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0" windowWidth="22980" windowHeight="8940"/>
  </bookViews>
  <sheets>
    <sheet name="CAF - Fall 2017" sheetId="6" r:id="rId1"/>
    <sheet name="Chart  AMSS &amp; Support Services" sheetId="4" r:id="rId2"/>
    <sheet name="Sub Proc PA&amp;S Youth Models" sheetId="1" r:id="rId3"/>
    <sheet name="AMSS &amp; Support Model Budgets" sheetId="2" r:id="rId4"/>
    <sheet name="S.Living Model - Models" sheetId="8" r:id="rId5"/>
    <sheet name="Stipends" sheetId="9" r:id="rId6"/>
    <sheet name="Add On Rates" sheetId="10" r:id="rId7"/>
    <sheet name="Sheet1" sheetId="7" state="hidden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Cap">[1]RawDataCalcs!$L$70:$DB$70</definedName>
    <definedName name="Floor">[1]RawDataCalcs!$L$69:$DB$69</definedName>
    <definedName name="gk" localSheetId="3">#REF!</definedName>
    <definedName name="gk" localSheetId="1">#REF!</definedName>
    <definedName name="gk" localSheetId="4">#REF!</definedName>
    <definedName name="gk" localSheetId="2">#REF!</definedName>
    <definedName name="gk">#REF!</definedName>
    <definedName name="hhh" localSheetId="4">#REF!</definedName>
    <definedName name="hhh">#REF!</definedName>
    <definedName name="ok" localSheetId="4">#REF!</definedName>
    <definedName name="ok">#REF!</definedName>
    <definedName name="_xlnm.Print_Area" localSheetId="6">'Add On Rates'!$D$7:$P$17</definedName>
    <definedName name="_xlnm.Print_Area" localSheetId="3">'AMSS &amp; Support Model Budgets'!$K$5:$AS$47</definedName>
    <definedName name="_xlnm.Print_Area" localSheetId="0">'CAF - Fall 2017'!$BE$16:$BP$29</definedName>
    <definedName name="_xlnm.Print_Area" localSheetId="1">'Chart  AMSS &amp; Support Services'!$E$1:$L$72</definedName>
    <definedName name="_xlnm.Print_Area" localSheetId="4">'S.Living Model - Models'!$S$2:$AI$38</definedName>
    <definedName name="_xlnm.Print_Area" localSheetId="5">Stipends!$L$2:$V$28</definedName>
    <definedName name="_xlnm.Print_Area" localSheetId="2">'Sub Proc PA&amp;S Youth Models'!$B$1:$EA$63</definedName>
    <definedName name="_xlnm.Print_Titles" localSheetId="0">'CAF - Fall 2017'!$A:$A</definedName>
    <definedName name="Source_2" localSheetId="6">#REF!</definedName>
    <definedName name="Source_2" localSheetId="1">#REF!</definedName>
    <definedName name="Source_2" localSheetId="4">#REF!</definedName>
    <definedName name="Source_2" localSheetId="5">#REF!</definedName>
    <definedName name="Source_2">#REF!</definedName>
    <definedName name="Total_UFR" localSheetId="1">#REF!</definedName>
    <definedName name="Total_UFR" localSheetId="4">#REF!</definedName>
    <definedName name="Total_UFR">#REF!</definedName>
  </definedNames>
  <calcPr calcId="145621"/>
</workbook>
</file>

<file path=xl/calcChain.xml><?xml version="1.0" encoding="utf-8"?>
<calcChain xmlns="http://schemas.openxmlformats.org/spreadsheetml/2006/main">
  <c r="P17" i="10" l="1"/>
  <c r="M17" i="10"/>
  <c r="I17" i="10"/>
  <c r="E17" i="10"/>
  <c r="P15" i="10"/>
  <c r="P11" i="10"/>
  <c r="P13" i="10"/>
  <c r="P14" i="10" s="1"/>
  <c r="P16" i="10" s="1"/>
  <c r="M13" i="10"/>
  <c r="M14" i="10" s="1"/>
  <c r="I13" i="10"/>
  <c r="I14" i="10" s="1"/>
  <c r="K69" i="4" l="1"/>
  <c r="AZ44" i="1"/>
  <c r="BB32" i="1"/>
  <c r="AZ39" i="1"/>
  <c r="CO30" i="1" l="1"/>
  <c r="CA30" i="1"/>
  <c r="BO46" i="1"/>
  <c r="BQ32" i="1"/>
  <c r="AT46" i="1"/>
  <c r="AV35" i="1"/>
  <c r="L31" i="1"/>
  <c r="E15" i="10" l="1"/>
  <c r="E13" i="10"/>
  <c r="E14" i="10" s="1"/>
  <c r="E11" i="10"/>
  <c r="B621" i="9"/>
  <c r="F620" i="9"/>
  <c r="G620" i="9" s="1"/>
  <c r="D620" i="9"/>
  <c r="F619" i="9"/>
  <c r="G619" i="9" s="1"/>
  <c r="D619" i="9"/>
  <c r="F618" i="9"/>
  <c r="G618" i="9" s="1"/>
  <c r="D618" i="9"/>
  <c r="F617" i="9"/>
  <c r="G617" i="9" s="1"/>
  <c r="D617" i="9"/>
  <c r="J616" i="9"/>
  <c r="F616" i="9"/>
  <c r="G616" i="9" s="1"/>
  <c r="D616" i="9"/>
  <c r="J615" i="9"/>
  <c r="E615" i="9"/>
  <c r="F615" i="9" s="1"/>
  <c r="G615" i="9" s="1"/>
  <c r="D615" i="9"/>
  <c r="E614" i="9"/>
  <c r="F614" i="9" s="1"/>
  <c r="G614" i="9" s="1"/>
  <c r="D614" i="9"/>
  <c r="E613" i="9"/>
  <c r="F613" i="9" s="1"/>
  <c r="G613" i="9" s="1"/>
  <c r="D613" i="9"/>
  <c r="E612" i="9"/>
  <c r="F612" i="9" s="1"/>
  <c r="G612" i="9" s="1"/>
  <c r="D612" i="9"/>
  <c r="F611" i="9"/>
  <c r="G611" i="9" s="1"/>
  <c r="E611" i="9"/>
  <c r="D611" i="9"/>
  <c r="E610" i="9"/>
  <c r="F610" i="9" s="1"/>
  <c r="G610" i="9" s="1"/>
  <c r="D610" i="9"/>
  <c r="F609" i="9"/>
  <c r="G609" i="9" s="1"/>
  <c r="E609" i="9"/>
  <c r="D609" i="9"/>
  <c r="E608" i="9"/>
  <c r="F608" i="9" s="1"/>
  <c r="G608" i="9" s="1"/>
  <c r="D608" i="9"/>
  <c r="F607" i="9"/>
  <c r="G607" i="9" s="1"/>
  <c r="E607" i="9"/>
  <c r="D607" i="9"/>
  <c r="J606" i="9"/>
  <c r="G606" i="9"/>
  <c r="E606" i="9"/>
  <c r="F606" i="9" s="1"/>
  <c r="D606" i="9"/>
  <c r="E605" i="9"/>
  <c r="F605" i="9" s="1"/>
  <c r="G605" i="9" s="1"/>
  <c r="D605" i="9"/>
  <c r="E604" i="9"/>
  <c r="F604" i="9" s="1"/>
  <c r="G604" i="9" s="1"/>
  <c r="D604" i="9"/>
  <c r="E603" i="9"/>
  <c r="F603" i="9" s="1"/>
  <c r="G603" i="9" s="1"/>
  <c r="D603" i="9"/>
  <c r="G602" i="9"/>
  <c r="E602" i="9"/>
  <c r="F602" i="9" s="1"/>
  <c r="D602" i="9"/>
  <c r="E601" i="9"/>
  <c r="F601" i="9" s="1"/>
  <c r="G601" i="9" s="1"/>
  <c r="D601" i="9"/>
  <c r="E600" i="9"/>
  <c r="F600" i="9" s="1"/>
  <c r="G600" i="9" s="1"/>
  <c r="D600" i="9"/>
  <c r="E599" i="9"/>
  <c r="F599" i="9" s="1"/>
  <c r="G599" i="9" s="1"/>
  <c r="D599" i="9"/>
  <c r="G598" i="9"/>
  <c r="E598" i="9"/>
  <c r="F598" i="9" s="1"/>
  <c r="D598" i="9"/>
  <c r="E597" i="9"/>
  <c r="F597" i="9" s="1"/>
  <c r="G597" i="9" s="1"/>
  <c r="D597" i="9"/>
  <c r="E596" i="9"/>
  <c r="F596" i="9" s="1"/>
  <c r="G596" i="9" s="1"/>
  <c r="D596" i="9"/>
  <c r="E595" i="9"/>
  <c r="F595" i="9" s="1"/>
  <c r="G595" i="9" s="1"/>
  <c r="D595" i="9"/>
  <c r="G594" i="9"/>
  <c r="E594" i="9"/>
  <c r="F594" i="9" s="1"/>
  <c r="D594" i="9"/>
  <c r="E593" i="9"/>
  <c r="F593" i="9" s="1"/>
  <c r="G593" i="9" s="1"/>
  <c r="D593" i="9"/>
  <c r="E592" i="9"/>
  <c r="F592" i="9" s="1"/>
  <c r="G592" i="9" s="1"/>
  <c r="D592" i="9"/>
  <c r="E591" i="9"/>
  <c r="F591" i="9" s="1"/>
  <c r="G591" i="9" s="1"/>
  <c r="D591" i="9"/>
  <c r="G590" i="9"/>
  <c r="E590" i="9"/>
  <c r="F590" i="9" s="1"/>
  <c r="D590" i="9"/>
  <c r="E589" i="9"/>
  <c r="F589" i="9" s="1"/>
  <c r="G589" i="9" s="1"/>
  <c r="D589" i="9"/>
  <c r="E588" i="9"/>
  <c r="F588" i="9" s="1"/>
  <c r="G588" i="9" s="1"/>
  <c r="D588" i="9"/>
  <c r="E587" i="9"/>
  <c r="F587" i="9" s="1"/>
  <c r="G587" i="9" s="1"/>
  <c r="D587" i="9"/>
  <c r="G586" i="9"/>
  <c r="E586" i="9"/>
  <c r="F586" i="9" s="1"/>
  <c r="D586" i="9"/>
  <c r="E585" i="9"/>
  <c r="F585" i="9" s="1"/>
  <c r="G585" i="9" s="1"/>
  <c r="D585" i="9"/>
  <c r="E584" i="9"/>
  <c r="F584" i="9" s="1"/>
  <c r="G584" i="9" s="1"/>
  <c r="D584" i="9"/>
  <c r="E583" i="9"/>
  <c r="F583" i="9" s="1"/>
  <c r="G583" i="9" s="1"/>
  <c r="D583" i="9"/>
  <c r="G582" i="9"/>
  <c r="E582" i="9"/>
  <c r="F582" i="9" s="1"/>
  <c r="D582" i="9"/>
  <c r="E581" i="9"/>
  <c r="F581" i="9" s="1"/>
  <c r="G581" i="9" s="1"/>
  <c r="D581" i="9"/>
  <c r="E580" i="9"/>
  <c r="F580" i="9" s="1"/>
  <c r="G580" i="9" s="1"/>
  <c r="D580" i="9"/>
  <c r="J579" i="9"/>
  <c r="E579" i="9"/>
  <c r="F579" i="9" s="1"/>
  <c r="G579" i="9" s="1"/>
  <c r="D579" i="9"/>
  <c r="F578" i="9"/>
  <c r="G578" i="9" s="1"/>
  <c r="E578" i="9"/>
  <c r="D578" i="9"/>
  <c r="E577" i="9"/>
  <c r="F577" i="9" s="1"/>
  <c r="G577" i="9" s="1"/>
  <c r="D577" i="9"/>
  <c r="F576" i="9"/>
  <c r="G576" i="9" s="1"/>
  <c r="E576" i="9"/>
  <c r="D576" i="9"/>
  <c r="E575" i="9"/>
  <c r="F575" i="9" s="1"/>
  <c r="G575" i="9" s="1"/>
  <c r="D575" i="9"/>
  <c r="F574" i="9"/>
  <c r="G574" i="9" s="1"/>
  <c r="E574" i="9"/>
  <c r="D574" i="9"/>
  <c r="E573" i="9"/>
  <c r="F573" i="9" s="1"/>
  <c r="G573" i="9" s="1"/>
  <c r="D573" i="9"/>
  <c r="F572" i="9"/>
  <c r="G572" i="9" s="1"/>
  <c r="E572" i="9"/>
  <c r="D572" i="9"/>
  <c r="E571" i="9"/>
  <c r="F571" i="9" s="1"/>
  <c r="G571" i="9" s="1"/>
  <c r="D571" i="9"/>
  <c r="F570" i="9"/>
  <c r="G570" i="9" s="1"/>
  <c r="E570" i="9"/>
  <c r="D570" i="9"/>
  <c r="E569" i="9"/>
  <c r="F569" i="9" s="1"/>
  <c r="G569" i="9" s="1"/>
  <c r="D569" i="9"/>
  <c r="F568" i="9"/>
  <c r="G568" i="9" s="1"/>
  <c r="E568" i="9"/>
  <c r="D568" i="9"/>
  <c r="E567" i="9"/>
  <c r="F567" i="9" s="1"/>
  <c r="G567" i="9" s="1"/>
  <c r="D567" i="9"/>
  <c r="F566" i="9"/>
  <c r="G566" i="9" s="1"/>
  <c r="E566" i="9"/>
  <c r="D566" i="9"/>
  <c r="E565" i="9"/>
  <c r="F565" i="9" s="1"/>
  <c r="G565" i="9" s="1"/>
  <c r="D565" i="9"/>
  <c r="F564" i="9"/>
  <c r="G564" i="9" s="1"/>
  <c r="E564" i="9"/>
  <c r="D564" i="9"/>
  <c r="E563" i="9"/>
  <c r="F563" i="9" s="1"/>
  <c r="G563" i="9" s="1"/>
  <c r="D563" i="9"/>
  <c r="F562" i="9"/>
  <c r="G562" i="9" s="1"/>
  <c r="E562" i="9"/>
  <c r="D562" i="9"/>
  <c r="E561" i="9"/>
  <c r="F561" i="9" s="1"/>
  <c r="G561" i="9" s="1"/>
  <c r="D561" i="9"/>
  <c r="F560" i="9"/>
  <c r="G560" i="9" s="1"/>
  <c r="E560" i="9"/>
  <c r="D560" i="9"/>
  <c r="F559" i="9"/>
  <c r="G559" i="9" s="1"/>
  <c r="D559" i="9"/>
  <c r="F558" i="9"/>
  <c r="G558" i="9" s="1"/>
  <c r="D558" i="9"/>
  <c r="F557" i="9"/>
  <c r="G557" i="9" s="1"/>
  <c r="D557" i="9"/>
  <c r="G556" i="9"/>
  <c r="F556" i="9"/>
  <c r="D556" i="9"/>
  <c r="F555" i="9"/>
  <c r="G555" i="9" s="1"/>
  <c r="D555" i="9"/>
  <c r="F554" i="9"/>
  <c r="G554" i="9" s="1"/>
  <c r="D554" i="9"/>
  <c r="F553" i="9"/>
  <c r="G553" i="9" s="1"/>
  <c r="D553" i="9"/>
  <c r="G552" i="9"/>
  <c r="F552" i="9"/>
  <c r="D552" i="9"/>
  <c r="F551" i="9"/>
  <c r="G551" i="9" s="1"/>
  <c r="D551" i="9"/>
  <c r="F550" i="9"/>
  <c r="G550" i="9" s="1"/>
  <c r="D550" i="9"/>
  <c r="F549" i="9"/>
  <c r="G549" i="9" s="1"/>
  <c r="D549" i="9"/>
  <c r="G548" i="9"/>
  <c r="F548" i="9"/>
  <c r="D548" i="9"/>
  <c r="F547" i="9"/>
  <c r="G547" i="9" s="1"/>
  <c r="D547" i="9"/>
  <c r="F546" i="9"/>
  <c r="G546" i="9" s="1"/>
  <c r="D546" i="9"/>
  <c r="F545" i="9"/>
  <c r="G545" i="9" s="1"/>
  <c r="D545" i="9"/>
  <c r="G544" i="9"/>
  <c r="F544" i="9"/>
  <c r="D544" i="9"/>
  <c r="F543" i="9"/>
  <c r="G543" i="9" s="1"/>
  <c r="D543" i="9"/>
  <c r="F542" i="9"/>
  <c r="G542" i="9" s="1"/>
  <c r="D542" i="9"/>
  <c r="F541" i="9"/>
  <c r="G541" i="9" s="1"/>
  <c r="D541" i="9"/>
  <c r="G540" i="9"/>
  <c r="F540" i="9"/>
  <c r="D540" i="9"/>
  <c r="F539" i="9"/>
  <c r="G539" i="9" s="1"/>
  <c r="D539" i="9"/>
  <c r="F538" i="9"/>
  <c r="G538" i="9" s="1"/>
  <c r="D538" i="9"/>
  <c r="F537" i="9"/>
  <c r="G537" i="9" s="1"/>
  <c r="D537" i="9"/>
  <c r="G536" i="9"/>
  <c r="F536" i="9"/>
  <c r="D536" i="9"/>
  <c r="F535" i="9"/>
  <c r="G535" i="9" s="1"/>
  <c r="D535" i="9"/>
  <c r="F534" i="9"/>
  <c r="G534" i="9" s="1"/>
  <c r="D534" i="9"/>
  <c r="F533" i="9"/>
  <c r="G533" i="9" s="1"/>
  <c r="D533" i="9"/>
  <c r="G532" i="9"/>
  <c r="F532" i="9"/>
  <c r="D532" i="9"/>
  <c r="F531" i="9"/>
  <c r="G531" i="9" s="1"/>
  <c r="D531" i="9"/>
  <c r="F530" i="9"/>
  <c r="G530" i="9" s="1"/>
  <c r="D530" i="9"/>
  <c r="F529" i="9"/>
  <c r="G529" i="9" s="1"/>
  <c r="D529" i="9"/>
  <c r="G528" i="9"/>
  <c r="F528" i="9"/>
  <c r="D528" i="9"/>
  <c r="F527" i="9"/>
  <c r="G527" i="9" s="1"/>
  <c r="D527" i="9"/>
  <c r="J526" i="9"/>
  <c r="F526" i="9"/>
  <c r="G526" i="9" s="1"/>
  <c r="D526" i="9"/>
  <c r="E525" i="9"/>
  <c r="F525" i="9" s="1"/>
  <c r="G525" i="9" s="1"/>
  <c r="D525" i="9"/>
  <c r="G524" i="9"/>
  <c r="E524" i="9"/>
  <c r="F524" i="9" s="1"/>
  <c r="D524" i="9"/>
  <c r="E523" i="9"/>
  <c r="F523" i="9" s="1"/>
  <c r="G523" i="9" s="1"/>
  <c r="D523" i="9"/>
  <c r="E522" i="9"/>
  <c r="F522" i="9" s="1"/>
  <c r="G522" i="9" s="1"/>
  <c r="D522" i="9"/>
  <c r="E521" i="9"/>
  <c r="F521" i="9" s="1"/>
  <c r="G521" i="9" s="1"/>
  <c r="D521" i="9"/>
  <c r="G520" i="9"/>
  <c r="E520" i="9"/>
  <c r="F520" i="9" s="1"/>
  <c r="D520" i="9"/>
  <c r="E519" i="9"/>
  <c r="F519" i="9" s="1"/>
  <c r="G519" i="9" s="1"/>
  <c r="D519" i="9"/>
  <c r="F518" i="9"/>
  <c r="G518" i="9" s="1"/>
  <c r="E518" i="9"/>
  <c r="D518" i="9"/>
  <c r="E517" i="9"/>
  <c r="F517" i="9" s="1"/>
  <c r="G517" i="9" s="1"/>
  <c r="D517" i="9"/>
  <c r="F516" i="9"/>
  <c r="G516" i="9" s="1"/>
  <c r="E516" i="9"/>
  <c r="D516" i="9"/>
  <c r="E515" i="9"/>
  <c r="F515" i="9" s="1"/>
  <c r="G515" i="9" s="1"/>
  <c r="D515" i="9"/>
  <c r="F514" i="9"/>
  <c r="G514" i="9" s="1"/>
  <c r="E514" i="9"/>
  <c r="D514" i="9"/>
  <c r="E513" i="9"/>
  <c r="F513" i="9" s="1"/>
  <c r="G513" i="9" s="1"/>
  <c r="D513" i="9"/>
  <c r="F512" i="9"/>
  <c r="G512" i="9" s="1"/>
  <c r="E512" i="9"/>
  <c r="D512" i="9"/>
  <c r="E511" i="9"/>
  <c r="F511" i="9" s="1"/>
  <c r="G511" i="9" s="1"/>
  <c r="D511" i="9"/>
  <c r="F510" i="9"/>
  <c r="G510" i="9" s="1"/>
  <c r="E510" i="9"/>
  <c r="D510" i="9"/>
  <c r="E509" i="9"/>
  <c r="F509" i="9" s="1"/>
  <c r="G509" i="9" s="1"/>
  <c r="D509" i="9"/>
  <c r="F508" i="9"/>
  <c r="G508" i="9" s="1"/>
  <c r="E508" i="9"/>
  <c r="D508" i="9"/>
  <c r="E507" i="9"/>
  <c r="F507" i="9" s="1"/>
  <c r="G507" i="9" s="1"/>
  <c r="D507" i="9"/>
  <c r="F506" i="9"/>
  <c r="G506" i="9" s="1"/>
  <c r="E506" i="9"/>
  <c r="D506" i="9"/>
  <c r="E505" i="9"/>
  <c r="F505" i="9" s="1"/>
  <c r="G505" i="9" s="1"/>
  <c r="D505" i="9"/>
  <c r="F504" i="9"/>
  <c r="G504" i="9" s="1"/>
  <c r="E504" i="9"/>
  <c r="D504" i="9"/>
  <c r="E503" i="9"/>
  <c r="F503" i="9" s="1"/>
  <c r="G503" i="9" s="1"/>
  <c r="D503" i="9"/>
  <c r="F502" i="9"/>
  <c r="G502" i="9" s="1"/>
  <c r="E502" i="9"/>
  <c r="D502" i="9"/>
  <c r="E501" i="9"/>
  <c r="F501" i="9" s="1"/>
  <c r="G501" i="9" s="1"/>
  <c r="D501" i="9"/>
  <c r="F500" i="9"/>
  <c r="G500" i="9" s="1"/>
  <c r="E500" i="9"/>
  <c r="D500" i="9"/>
  <c r="E499" i="9"/>
  <c r="F499" i="9" s="1"/>
  <c r="G499" i="9" s="1"/>
  <c r="D499" i="9"/>
  <c r="F498" i="9"/>
  <c r="G498" i="9" s="1"/>
  <c r="E498" i="9"/>
  <c r="D498" i="9"/>
  <c r="E497" i="9"/>
  <c r="F497" i="9" s="1"/>
  <c r="G497" i="9" s="1"/>
  <c r="D497" i="9"/>
  <c r="F496" i="9"/>
  <c r="G496" i="9" s="1"/>
  <c r="E496" i="9"/>
  <c r="D496" i="9"/>
  <c r="E495" i="9"/>
  <c r="F495" i="9" s="1"/>
  <c r="G495" i="9" s="1"/>
  <c r="D495" i="9"/>
  <c r="F494" i="9"/>
  <c r="G494" i="9" s="1"/>
  <c r="E494" i="9"/>
  <c r="D494" i="9"/>
  <c r="E493" i="9"/>
  <c r="F493" i="9" s="1"/>
  <c r="G493" i="9" s="1"/>
  <c r="D493" i="9"/>
  <c r="F492" i="9"/>
  <c r="G492" i="9" s="1"/>
  <c r="E492" i="9"/>
  <c r="D492" i="9"/>
  <c r="E491" i="9"/>
  <c r="F491" i="9" s="1"/>
  <c r="G491" i="9" s="1"/>
  <c r="D491" i="9"/>
  <c r="F490" i="9"/>
  <c r="G490" i="9" s="1"/>
  <c r="E490" i="9"/>
  <c r="D490" i="9"/>
  <c r="E489" i="9"/>
  <c r="F489" i="9" s="1"/>
  <c r="G489" i="9" s="1"/>
  <c r="D489" i="9"/>
  <c r="F488" i="9"/>
  <c r="G488" i="9" s="1"/>
  <c r="E488" i="9"/>
  <c r="D488" i="9"/>
  <c r="E487" i="9"/>
  <c r="F487" i="9" s="1"/>
  <c r="G487" i="9" s="1"/>
  <c r="D487" i="9"/>
  <c r="F486" i="9"/>
  <c r="G486" i="9" s="1"/>
  <c r="E486" i="9"/>
  <c r="D486" i="9"/>
  <c r="E485" i="9"/>
  <c r="F485" i="9" s="1"/>
  <c r="G485" i="9" s="1"/>
  <c r="D485" i="9"/>
  <c r="F484" i="9"/>
  <c r="G484" i="9" s="1"/>
  <c r="E484" i="9"/>
  <c r="D484" i="9"/>
  <c r="E483" i="9"/>
  <c r="F483" i="9" s="1"/>
  <c r="G483" i="9" s="1"/>
  <c r="D483" i="9"/>
  <c r="F482" i="9"/>
  <c r="G482" i="9" s="1"/>
  <c r="E482" i="9"/>
  <c r="D482" i="9"/>
  <c r="E481" i="9"/>
  <c r="F481" i="9" s="1"/>
  <c r="G481" i="9" s="1"/>
  <c r="D481" i="9"/>
  <c r="F480" i="9"/>
  <c r="G480" i="9" s="1"/>
  <c r="E480" i="9"/>
  <c r="D480" i="9"/>
  <c r="E479" i="9"/>
  <c r="F479" i="9" s="1"/>
  <c r="G479" i="9" s="1"/>
  <c r="D479" i="9"/>
  <c r="F478" i="9"/>
  <c r="G478" i="9" s="1"/>
  <c r="E478" i="9"/>
  <c r="D478" i="9"/>
  <c r="E477" i="9"/>
  <c r="F477" i="9" s="1"/>
  <c r="G477" i="9" s="1"/>
  <c r="D477" i="9"/>
  <c r="F476" i="9"/>
  <c r="G476" i="9" s="1"/>
  <c r="E476" i="9"/>
  <c r="D476" i="9"/>
  <c r="E475" i="9"/>
  <c r="F475" i="9" s="1"/>
  <c r="G475" i="9" s="1"/>
  <c r="D475" i="9"/>
  <c r="F474" i="9"/>
  <c r="G474" i="9" s="1"/>
  <c r="E474" i="9"/>
  <c r="D474" i="9"/>
  <c r="E473" i="9"/>
  <c r="F473" i="9" s="1"/>
  <c r="G473" i="9" s="1"/>
  <c r="D473" i="9"/>
  <c r="F472" i="9"/>
  <c r="G472" i="9" s="1"/>
  <c r="E472" i="9"/>
  <c r="D472" i="9"/>
  <c r="E471" i="9"/>
  <c r="F471" i="9" s="1"/>
  <c r="G471" i="9" s="1"/>
  <c r="D471" i="9"/>
  <c r="F470" i="9"/>
  <c r="G470" i="9" s="1"/>
  <c r="E470" i="9"/>
  <c r="D470" i="9"/>
  <c r="E469" i="9"/>
  <c r="F469" i="9" s="1"/>
  <c r="G469" i="9" s="1"/>
  <c r="D469" i="9"/>
  <c r="F468" i="9"/>
  <c r="G468" i="9" s="1"/>
  <c r="D468" i="9"/>
  <c r="G467" i="9"/>
  <c r="F467" i="9"/>
  <c r="D467" i="9"/>
  <c r="F466" i="9"/>
  <c r="G466" i="9" s="1"/>
  <c r="D466" i="9"/>
  <c r="F465" i="9"/>
  <c r="G465" i="9" s="1"/>
  <c r="D465" i="9"/>
  <c r="F464" i="9"/>
  <c r="G464" i="9" s="1"/>
  <c r="D464" i="9"/>
  <c r="G463" i="9"/>
  <c r="F463" i="9"/>
  <c r="D463" i="9"/>
  <c r="F462" i="9"/>
  <c r="G462" i="9" s="1"/>
  <c r="D462" i="9"/>
  <c r="F461" i="9"/>
  <c r="G461" i="9" s="1"/>
  <c r="D461" i="9"/>
  <c r="F460" i="9"/>
  <c r="G460" i="9" s="1"/>
  <c r="D460" i="9"/>
  <c r="G459" i="9"/>
  <c r="F459" i="9"/>
  <c r="D459" i="9"/>
  <c r="F458" i="9"/>
  <c r="G458" i="9" s="1"/>
  <c r="D458" i="9"/>
  <c r="F457" i="9"/>
  <c r="G457" i="9" s="1"/>
  <c r="D457" i="9"/>
  <c r="F456" i="9"/>
  <c r="G456" i="9" s="1"/>
  <c r="D456" i="9"/>
  <c r="G455" i="9"/>
  <c r="F455" i="9"/>
  <c r="D455" i="9"/>
  <c r="F454" i="9"/>
  <c r="G454" i="9" s="1"/>
  <c r="D454" i="9"/>
  <c r="F453" i="9"/>
  <c r="G453" i="9" s="1"/>
  <c r="D453" i="9"/>
  <c r="F452" i="9"/>
  <c r="G452" i="9" s="1"/>
  <c r="D452" i="9"/>
  <c r="G451" i="9"/>
  <c r="F451" i="9"/>
  <c r="D451" i="9"/>
  <c r="F450" i="9"/>
  <c r="G450" i="9" s="1"/>
  <c r="D450" i="9"/>
  <c r="F449" i="9"/>
  <c r="G449" i="9" s="1"/>
  <c r="D449" i="9"/>
  <c r="F448" i="9"/>
  <c r="G448" i="9" s="1"/>
  <c r="D448" i="9"/>
  <c r="G447" i="9"/>
  <c r="F447" i="9"/>
  <c r="D447" i="9"/>
  <c r="J446" i="9"/>
  <c r="G446" i="9"/>
  <c r="F446" i="9"/>
  <c r="D446" i="9"/>
  <c r="F445" i="9"/>
  <c r="G445" i="9" s="1"/>
  <c r="D445" i="9"/>
  <c r="F444" i="9"/>
  <c r="G444" i="9" s="1"/>
  <c r="D444" i="9"/>
  <c r="F443" i="9"/>
  <c r="G443" i="9" s="1"/>
  <c r="D443" i="9"/>
  <c r="G442" i="9"/>
  <c r="F442" i="9"/>
  <c r="D442" i="9"/>
  <c r="F441" i="9"/>
  <c r="G441" i="9" s="1"/>
  <c r="D441" i="9"/>
  <c r="F440" i="9"/>
  <c r="G440" i="9" s="1"/>
  <c r="D440" i="9"/>
  <c r="F439" i="9"/>
  <c r="G439" i="9" s="1"/>
  <c r="D439" i="9"/>
  <c r="G438" i="9"/>
  <c r="F438" i="9"/>
  <c r="D438" i="9"/>
  <c r="F437" i="9"/>
  <c r="G437" i="9" s="1"/>
  <c r="D437" i="9"/>
  <c r="F436" i="9"/>
  <c r="G436" i="9" s="1"/>
  <c r="D436" i="9"/>
  <c r="F435" i="9"/>
  <c r="G435" i="9" s="1"/>
  <c r="D435" i="9"/>
  <c r="G434" i="9"/>
  <c r="F434" i="9"/>
  <c r="D434" i="9"/>
  <c r="F433" i="9"/>
  <c r="G433" i="9" s="1"/>
  <c r="D433" i="9"/>
  <c r="F432" i="9"/>
  <c r="G432" i="9" s="1"/>
  <c r="D432" i="9"/>
  <c r="F431" i="9"/>
  <c r="G431" i="9" s="1"/>
  <c r="D431" i="9"/>
  <c r="G430" i="9"/>
  <c r="F430" i="9"/>
  <c r="D430" i="9"/>
  <c r="F429" i="9"/>
  <c r="G429" i="9" s="1"/>
  <c r="D429" i="9"/>
  <c r="F428" i="9"/>
  <c r="G428" i="9" s="1"/>
  <c r="D428" i="9"/>
  <c r="F427" i="9"/>
  <c r="G427" i="9" s="1"/>
  <c r="D427" i="9"/>
  <c r="G426" i="9"/>
  <c r="F426" i="9"/>
  <c r="D426" i="9"/>
  <c r="F425" i="9"/>
  <c r="G425" i="9" s="1"/>
  <c r="D425" i="9"/>
  <c r="F424" i="9"/>
  <c r="G424" i="9" s="1"/>
  <c r="D424" i="9"/>
  <c r="F423" i="9"/>
  <c r="G423" i="9" s="1"/>
  <c r="D423" i="9"/>
  <c r="G422" i="9"/>
  <c r="F422" i="9"/>
  <c r="D422" i="9"/>
  <c r="F421" i="9"/>
  <c r="G421" i="9" s="1"/>
  <c r="D421" i="9"/>
  <c r="F420" i="9"/>
  <c r="G420" i="9" s="1"/>
  <c r="D420" i="9"/>
  <c r="F419" i="9"/>
  <c r="G419" i="9" s="1"/>
  <c r="D419" i="9"/>
  <c r="G418" i="9"/>
  <c r="F418" i="9"/>
  <c r="D418" i="9"/>
  <c r="F417" i="9"/>
  <c r="G417" i="9" s="1"/>
  <c r="D417" i="9"/>
  <c r="F416" i="9"/>
  <c r="G416" i="9" s="1"/>
  <c r="D416" i="9"/>
  <c r="F415" i="9"/>
  <c r="G415" i="9" s="1"/>
  <c r="D415" i="9"/>
  <c r="G414" i="9"/>
  <c r="F414" i="9"/>
  <c r="D414" i="9"/>
  <c r="J413" i="9"/>
  <c r="G413" i="9"/>
  <c r="F413" i="9"/>
  <c r="D413" i="9"/>
  <c r="F412" i="9"/>
  <c r="G412" i="9" s="1"/>
  <c r="D412" i="9"/>
  <c r="F411" i="9"/>
  <c r="G411" i="9" s="1"/>
  <c r="D411" i="9"/>
  <c r="F410" i="9"/>
  <c r="G410" i="9" s="1"/>
  <c r="D410" i="9"/>
  <c r="G409" i="9"/>
  <c r="F409" i="9"/>
  <c r="D409" i="9"/>
  <c r="F408" i="9"/>
  <c r="G408" i="9" s="1"/>
  <c r="D408" i="9"/>
  <c r="F407" i="9"/>
  <c r="G407" i="9" s="1"/>
  <c r="D407" i="9"/>
  <c r="F406" i="9"/>
  <c r="G406" i="9" s="1"/>
  <c r="D406" i="9"/>
  <c r="G405" i="9"/>
  <c r="F405" i="9"/>
  <c r="D405" i="9"/>
  <c r="F404" i="9"/>
  <c r="G404" i="9" s="1"/>
  <c r="D404" i="9"/>
  <c r="F403" i="9"/>
  <c r="G403" i="9" s="1"/>
  <c r="D403" i="9"/>
  <c r="F402" i="9"/>
  <c r="G402" i="9" s="1"/>
  <c r="D402" i="9"/>
  <c r="G401" i="9"/>
  <c r="F401" i="9"/>
  <c r="D401" i="9"/>
  <c r="F400" i="9"/>
  <c r="G400" i="9" s="1"/>
  <c r="D400" i="9"/>
  <c r="F399" i="9"/>
  <c r="G399" i="9" s="1"/>
  <c r="D399" i="9"/>
  <c r="F398" i="9"/>
  <c r="G398" i="9" s="1"/>
  <c r="D398" i="9"/>
  <c r="G397" i="9"/>
  <c r="F397" i="9"/>
  <c r="D397" i="9"/>
  <c r="F396" i="9"/>
  <c r="G396" i="9" s="1"/>
  <c r="D396" i="9"/>
  <c r="F395" i="9"/>
  <c r="G395" i="9" s="1"/>
  <c r="D395" i="9"/>
  <c r="F394" i="9"/>
  <c r="G394" i="9" s="1"/>
  <c r="D394" i="9"/>
  <c r="G393" i="9"/>
  <c r="F393" i="9"/>
  <c r="D393" i="9"/>
  <c r="F392" i="9"/>
  <c r="G392" i="9" s="1"/>
  <c r="D392" i="9"/>
  <c r="F391" i="9"/>
  <c r="G391" i="9" s="1"/>
  <c r="D391" i="9"/>
  <c r="F390" i="9"/>
  <c r="G390" i="9" s="1"/>
  <c r="D390" i="9"/>
  <c r="G389" i="9"/>
  <c r="F389" i="9"/>
  <c r="D389" i="9"/>
  <c r="F388" i="9"/>
  <c r="G388" i="9" s="1"/>
  <c r="D388" i="9"/>
  <c r="F387" i="9"/>
  <c r="G387" i="9" s="1"/>
  <c r="D387" i="9"/>
  <c r="F386" i="9"/>
  <c r="G386" i="9" s="1"/>
  <c r="D386" i="9"/>
  <c r="G385" i="9"/>
  <c r="F385" i="9"/>
  <c r="D385" i="9"/>
  <c r="F384" i="9"/>
  <c r="G384" i="9" s="1"/>
  <c r="D384" i="9"/>
  <c r="F383" i="9"/>
  <c r="G383" i="9" s="1"/>
  <c r="D383" i="9"/>
  <c r="F382" i="9"/>
  <c r="G382" i="9" s="1"/>
  <c r="D382" i="9"/>
  <c r="J381" i="9"/>
  <c r="F381" i="9"/>
  <c r="G381" i="9" s="1"/>
  <c r="D381" i="9"/>
  <c r="E380" i="9"/>
  <c r="F380" i="9" s="1"/>
  <c r="G380" i="9" s="1"/>
  <c r="D380" i="9"/>
  <c r="E379" i="9"/>
  <c r="F379" i="9" s="1"/>
  <c r="G379" i="9" s="1"/>
  <c r="D379" i="9"/>
  <c r="E378" i="9"/>
  <c r="F378" i="9" s="1"/>
  <c r="G378" i="9" s="1"/>
  <c r="D378" i="9"/>
  <c r="E377" i="9"/>
  <c r="F377" i="9" s="1"/>
  <c r="G377" i="9" s="1"/>
  <c r="D377" i="9"/>
  <c r="E376" i="9"/>
  <c r="F376" i="9" s="1"/>
  <c r="G376" i="9" s="1"/>
  <c r="D376" i="9"/>
  <c r="E375" i="9"/>
  <c r="F375" i="9" s="1"/>
  <c r="G375" i="9" s="1"/>
  <c r="D375" i="9"/>
  <c r="E374" i="9"/>
  <c r="F374" i="9" s="1"/>
  <c r="G374" i="9" s="1"/>
  <c r="D374" i="9"/>
  <c r="E373" i="9"/>
  <c r="F373" i="9" s="1"/>
  <c r="G373" i="9" s="1"/>
  <c r="D373" i="9"/>
  <c r="E372" i="9"/>
  <c r="F372" i="9" s="1"/>
  <c r="G372" i="9" s="1"/>
  <c r="D372" i="9"/>
  <c r="E371" i="9"/>
  <c r="F371" i="9" s="1"/>
  <c r="G371" i="9" s="1"/>
  <c r="D371" i="9"/>
  <c r="E370" i="9"/>
  <c r="F370" i="9" s="1"/>
  <c r="G370" i="9" s="1"/>
  <c r="D370" i="9"/>
  <c r="E369" i="9"/>
  <c r="F369" i="9" s="1"/>
  <c r="G369" i="9" s="1"/>
  <c r="D369" i="9"/>
  <c r="E368" i="9"/>
  <c r="F368" i="9" s="1"/>
  <c r="G368" i="9" s="1"/>
  <c r="D368" i="9"/>
  <c r="E367" i="9"/>
  <c r="F367" i="9" s="1"/>
  <c r="G367" i="9" s="1"/>
  <c r="D367" i="9"/>
  <c r="E366" i="9"/>
  <c r="F366" i="9" s="1"/>
  <c r="G366" i="9" s="1"/>
  <c r="D366" i="9"/>
  <c r="E365" i="9"/>
  <c r="F365" i="9" s="1"/>
  <c r="G365" i="9" s="1"/>
  <c r="D365" i="9"/>
  <c r="E364" i="9"/>
  <c r="F364" i="9" s="1"/>
  <c r="G364" i="9" s="1"/>
  <c r="D364" i="9"/>
  <c r="E363" i="9"/>
  <c r="F363" i="9" s="1"/>
  <c r="G363" i="9" s="1"/>
  <c r="D363" i="9"/>
  <c r="E362" i="9"/>
  <c r="F362" i="9" s="1"/>
  <c r="G362" i="9" s="1"/>
  <c r="D362" i="9"/>
  <c r="E361" i="9"/>
  <c r="F361" i="9" s="1"/>
  <c r="G361" i="9" s="1"/>
  <c r="D361" i="9"/>
  <c r="E360" i="9"/>
  <c r="F360" i="9" s="1"/>
  <c r="G360" i="9" s="1"/>
  <c r="D360" i="9"/>
  <c r="E359" i="9"/>
  <c r="F359" i="9" s="1"/>
  <c r="G359" i="9" s="1"/>
  <c r="D359" i="9"/>
  <c r="E358" i="9"/>
  <c r="F358" i="9" s="1"/>
  <c r="G358" i="9" s="1"/>
  <c r="D358" i="9"/>
  <c r="E357" i="9"/>
  <c r="F357" i="9" s="1"/>
  <c r="G357" i="9" s="1"/>
  <c r="D357" i="9"/>
  <c r="E356" i="9"/>
  <c r="F356" i="9" s="1"/>
  <c r="G356" i="9" s="1"/>
  <c r="D356" i="9"/>
  <c r="E355" i="9"/>
  <c r="F355" i="9" s="1"/>
  <c r="G355" i="9" s="1"/>
  <c r="D355" i="9"/>
  <c r="E354" i="9"/>
  <c r="F354" i="9" s="1"/>
  <c r="G354" i="9" s="1"/>
  <c r="D354" i="9"/>
  <c r="E353" i="9"/>
  <c r="F353" i="9" s="1"/>
  <c r="G353" i="9" s="1"/>
  <c r="D353" i="9"/>
  <c r="E352" i="9"/>
  <c r="F352" i="9" s="1"/>
  <c r="G352" i="9" s="1"/>
  <c r="D352" i="9"/>
  <c r="E351" i="9"/>
  <c r="F351" i="9" s="1"/>
  <c r="G351" i="9" s="1"/>
  <c r="D351" i="9"/>
  <c r="E350" i="9"/>
  <c r="F350" i="9" s="1"/>
  <c r="G350" i="9" s="1"/>
  <c r="D350" i="9"/>
  <c r="E349" i="9"/>
  <c r="F349" i="9" s="1"/>
  <c r="G349" i="9" s="1"/>
  <c r="D349" i="9"/>
  <c r="E348" i="9"/>
  <c r="F348" i="9" s="1"/>
  <c r="G348" i="9" s="1"/>
  <c r="D348" i="9"/>
  <c r="E347" i="9"/>
  <c r="F347" i="9" s="1"/>
  <c r="G347" i="9" s="1"/>
  <c r="D347" i="9"/>
  <c r="E346" i="9"/>
  <c r="F346" i="9" s="1"/>
  <c r="G346" i="9" s="1"/>
  <c r="D346" i="9"/>
  <c r="E345" i="9"/>
  <c r="F345" i="9" s="1"/>
  <c r="G345" i="9" s="1"/>
  <c r="D345" i="9"/>
  <c r="E344" i="9"/>
  <c r="F344" i="9" s="1"/>
  <c r="G344" i="9" s="1"/>
  <c r="D344" i="9"/>
  <c r="E343" i="9"/>
  <c r="F343" i="9" s="1"/>
  <c r="G343" i="9" s="1"/>
  <c r="D343" i="9"/>
  <c r="E342" i="9"/>
  <c r="F342" i="9" s="1"/>
  <c r="G342" i="9" s="1"/>
  <c r="D342" i="9"/>
  <c r="E341" i="9"/>
  <c r="F341" i="9" s="1"/>
  <c r="G341" i="9" s="1"/>
  <c r="D341" i="9"/>
  <c r="E340" i="9"/>
  <c r="F340" i="9" s="1"/>
  <c r="G340" i="9" s="1"/>
  <c r="D340" i="9"/>
  <c r="E339" i="9"/>
  <c r="F339" i="9" s="1"/>
  <c r="G339" i="9" s="1"/>
  <c r="D339" i="9"/>
  <c r="E338" i="9"/>
  <c r="F338" i="9" s="1"/>
  <c r="G338" i="9" s="1"/>
  <c r="D338" i="9"/>
  <c r="E337" i="9"/>
  <c r="F337" i="9" s="1"/>
  <c r="G337" i="9" s="1"/>
  <c r="D337" i="9"/>
  <c r="E336" i="9"/>
  <c r="F336" i="9" s="1"/>
  <c r="G336" i="9" s="1"/>
  <c r="D336" i="9"/>
  <c r="E335" i="9"/>
  <c r="F335" i="9" s="1"/>
  <c r="G335" i="9" s="1"/>
  <c r="D335" i="9"/>
  <c r="E334" i="9"/>
  <c r="F334" i="9" s="1"/>
  <c r="G334" i="9" s="1"/>
  <c r="D334" i="9"/>
  <c r="E333" i="9"/>
  <c r="F333" i="9" s="1"/>
  <c r="G333" i="9" s="1"/>
  <c r="D333" i="9"/>
  <c r="E332" i="9"/>
  <c r="F332" i="9" s="1"/>
  <c r="G332" i="9" s="1"/>
  <c r="D332" i="9"/>
  <c r="E331" i="9"/>
  <c r="F331" i="9" s="1"/>
  <c r="G331" i="9" s="1"/>
  <c r="D331" i="9"/>
  <c r="E330" i="9"/>
  <c r="F330" i="9" s="1"/>
  <c r="G330" i="9" s="1"/>
  <c r="D330" i="9"/>
  <c r="E329" i="9"/>
  <c r="F329" i="9" s="1"/>
  <c r="G329" i="9" s="1"/>
  <c r="D329" i="9"/>
  <c r="E328" i="9"/>
  <c r="F328" i="9" s="1"/>
  <c r="G328" i="9" s="1"/>
  <c r="D328" i="9"/>
  <c r="E327" i="9"/>
  <c r="F327" i="9" s="1"/>
  <c r="G327" i="9" s="1"/>
  <c r="D327" i="9"/>
  <c r="F326" i="9"/>
  <c r="G326" i="9" s="1"/>
  <c r="E326" i="9"/>
  <c r="D326" i="9"/>
  <c r="E325" i="9"/>
  <c r="F325" i="9" s="1"/>
  <c r="G325" i="9" s="1"/>
  <c r="D325" i="9"/>
  <c r="F324" i="9"/>
  <c r="G324" i="9" s="1"/>
  <c r="E324" i="9"/>
  <c r="D324" i="9"/>
  <c r="E323" i="9"/>
  <c r="F323" i="9" s="1"/>
  <c r="G323" i="9" s="1"/>
  <c r="D323" i="9"/>
  <c r="F322" i="9"/>
  <c r="G322" i="9" s="1"/>
  <c r="E322" i="9"/>
  <c r="D322" i="9"/>
  <c r="E321" i="9"/>
  <c r="F321" i="9" s="1"/>
  <c r="G321" i="9" s="1"/>
  <c r="D321" i="9"/>
  <c r="F320" i="9"/>
  <c r="G320" i="9" s="1"/>
  <c r="E320" i="9"/>
  <c r="D320" i="9"/>
  <c r="J319" i="9"/>
  <c r="E319" i="9"/>
  <c r="F319" i="9" s="1"/>
  <c r="G319" i="9" s="1"/>
  <c r="D319" i="9"/>
  <c r="G318" i="9"/>
  <c r="F318" i="9"/>
  <c r="D318" i="9"/>
  <c r="F317" i="9"/>
  <c r="G317" i="9" s="1"/>
  <c r="D317" i="9"/>
  <c r="F316" i="9"/>
  <c r="G316" i="9" s="1"/>
  <c r="D316" i="9"/>
  <c r="F315" i="9"/>
  <c r="G315" i="9" s="1"/>
  <c r="D315" i="9"/>
  <c r="G314" i="9"/>
  <c r="F314" i="9"/>
  <c r="D314" i="9"/>
  <c r="F313" i="9"/>
  <c r="G313" i="9" s="1"/>
  <c r="D313" i="9"/>
  <c r="F312" i="9"/>
  <c r="G312" i="9" s="1"/>
  <c r="D312" i="9"/>
  <c r="F311" i="9"/>
  <c r="G311" i="9" s="1"/>
  <c r="D311" i="9"/>
  <c r="G310" i="9"/>
  <c r="F310" i="9"/>
  <c r="D310" i="9"/>
  <c r="F309" i="9"/>
  <c r="G309" i="9" s="1"/>
  <c r="D309" i="9"/>
  <c r="F308" i="9"/>
  <c r="G308" i="9" s="1"/>
  <c r="D308" i="9"/>
  <c r="F307" i="9"/>
  <c r="G307" i="9" s="1"/>
  <c r="D307" i="9"/>
  <c r="F306" i="9"/>
  <c r="G306" i="9" s="1"/>
  <c r="D306" i="9"/>
  <c r="F305" i="9"/>
  <c r="G305" i="9" s="1"/>
  <c r="D305" i="9"/>
  <c r="G304" i="9"/>
  <c r="F304" i="9"/>
  <c r="D304" i="9"/>
  <c r="F303" i="9"/>
  <c r="G303" i="9" s="1"/>
  <c r="D303" i="9"/>
  <c r="F302" i="9"/>
  <c r="G302" i="9" s="1"/>
  <c r="D302" i="9"/>
  <c r="F301" i="9"/>
  <c r="G301" i="9" s="1"/>
  <c r="D301" i="9"/>
  <c r="G300" i="9"/>
  <c r="F300" i="9"/>
  <c r="D300" i="9"/>
  <c r="F299" i="9"/>
  <c r="G299" i="9" s="1"/>
  <c r="D299" i="9"/>
  <c r="F298" i="9"/>
  <c r="G298" i="9" s="1"/>
  <c r="D298" i="9"/>
  <c r="F297" i="9"/>
  <c r="G297" i="9" s="1"/>
  <c r="D297" i="9"/>
  <c r="G296" i="9"/>
  <c r="F296" i="9"/>
  <c r="D296" i="9"/>
  <c r="F295" i="9"/>
  <c r="G295" i="9" s="1"/>
  <c r="D295" i="9"/>
  <c r="F294" i="9"/>
  <c r="G294" i="9" s="1"/>
  <c r="D294" i="9"/>
  <c r="F293" i="9"/>
  <c r="G293" i="9" s="1"/>
  <c r="D293" i="9"/>
  <c r="G292" i="9"/>
  <c r="F292" i="9"/>
  <c r="D292" i="9"/>
  <c r="F291" i="9"/>
  <c r="G291" i="9" s="1"/>
  <c r="D291" i="9"/>
  <c r="F290" i="9"/>
  <c r="G290" i="9" s="1"/>
  <c r="D290" i="9"/>
  <c r="F289" i="9"/>
  <c r="G289" i="9" s="1"/>
  <c r="D289" i="9"/>
  <c r="G288" i="9"/>
  <c r="F288" i="9"/>
  <c r="D288" i="9"/>
  <c r="F287" i="9"/>
  <c r="G287" i="9" s="1"/>
  <c r="D287" i="9"/>
  <c r="F286" i="9"/>
  <c r="G286" i="9" s="1"/>
  <c r="D286" i="9"/>
  <c r="F285" i="9"/>
  <c r="G285" i="9" s="1"/>
  <c r="D285" i="9"/>
  <c r="G284" i="9"/>
  <c r="F284" i="9"/>
  <c r="D284" i="9"/>
  <c r="F283" i="9"/>
  <c r="G283" i="9" s="1"/>
  <c r="D283" i="9"/>
  <c r="F282" i="9"/>
  <c r="G282" i="9" s="1"/>
  <c r="D282" i="9"/>
  <c r="F281" i="9"/>
  <c r="G281" i="9" s="1"/>
  <c r="D281" i="9"/>
  <c r="G280" i="9"/>
  <c r="F280" i="9"/>
  <c r="D280" i="9"/>
  <c r="F279" i="9"/>
  <c r="G279" i="9" s="1"/>
  <c r="D279" i="9"/>
  <c r="F278" i="9"/>
  <c r="G278" i="9" s="1"/>
  <c r="D278" i="9"/>
  <c r="F277" i="9"/>
  <c r="G277" i="9" s="1"/>
  <c r="D277" i="9"/>
  <c r="G276" i="9"/>
  <c r="F276" i="9"/>
  <c r="D276" i="9"/>
  <c r="J275" i="9"/>
  <c r="G275" i="9"/>
  <c r="F275" i="9"/>
  <c r="D275" i="9"/>
  <c r="E274" i="9"/>
  <c r="F274" i="9" s="1"/>
  <c r="G274" i="9" s="1"/>
  <c r="D274" i="9"/>
  <c r="E273" i="9"/>
  <c r="F273" i="9" s="1"/>
  <c r="G273" i="9" s="1"/>
  <c r="D273" i="9"/>
  <c r="E272" i="9"/>
  <c r="F272" i="9" s="1"/>
  <c r="G272" i="9" s="1"/>
  <c r="D272" i="9"/>
  <c r="E271" i="9"/>
  <c r="F271" i="9" s="1"/>
  <c r="G271" i="9" s="1"/>
  <c r="D271" i="9"/>
  <c r="E270" i="9"/>
  <c r="F270" i="9" s="1"/>
  <c r="G270" i="9" s="1"/>
  <c r="D270" i="9"/>
  <c r="E269" i="9"/>
  <c r="F269" i="9" s="1"/>
  <c r="G269" i="9" s="1"/>
  <c r="D269" i="9"/>
  <c r="E268" i="9"/>
  <c r="F268" i="9" s="1"/>
  <c r="G268" i="9" s="1"/>
  <c r="D268" i="9"/>
  <c r="E267" i="9"/>
  <c r="F267" i="9" s="1"/>
  <c r="G267" i="9" s="1"/>
  <c r="D267" i="9"/>
  <c r="E266" i="9"/>
  <c r="F266" i="9" s="1"/>
  <c r="G266" i="9" s="1"/>
  <c r="D266" i="9"/>
  <c r="E265" i="9"/>
  <c r="F265" i="9" s="1"/>
  <c r="G265" i="9" s="1"/>
  <c r="D265" i="9"/>
  <c r="E264" i="9"/>
  <c r="F264" i="9" s="1"/>
  <c r="G264" i="9" s="1"/>
  <c r="D264" i="9"/>
  <c r="E263" i="9"/>
  <c r="F263" i="9" s="1"/>
  <c r="G263" i="9" s="1"/>
  <c r="D263" i="9"/>
  <c r="E262" i="9"/>
  <c r="F262" i="9" s="1"/>
  <c r="G262" i="9" s="1"/>
  <c r="D262" i="9"/>
  <c r="E261" i="9"/>
  <c r="F261" i="9" s="1"/>
  <c r="G261" i="9" s="1"/>
  <c r="D261" i="9"/>
  <c r="E260" i="9"/>
  <c r="F260" i="9" s="1"/>
  <c r="G260" i="9" s="1"/>
  <c r="D260" i="9"/>
  <c r="E259" i="9"/>
  <c r="F259" i="9" s="1"/>
  <c r="G259" i="9" s="1"/>
  <c r="D259" i="9"/>
  <c r="E258" i="9"/>
  <c r="F258" i="9" s="1"/>
  <c r="G258" i="9" s="1"/>
  <c r="D258" i="9"/>
  <c r="E257" i="9"/>
  <c r="F257" i="9" s="1"/>
  <c r="G257" i="9" s="1"/>
  <c r="D257" i="9"/>
  <c r="E256" i="9"/>
  <c r="F256" i="9" s="1"/>
  <c r="G256" i="9" s="1"/>
  <c r="D256" i="9"/>
  <c r="E255" i="9"/>
  <c r="F255" i="9" s="1"/>
  <c r="G255" i="9" s="1"/>
  <c r="D255" i="9"/>
  <c r="E254" i="9"/>
  <c r="F254" i="9" s="1"/>
  <c r="G254" i="9" s="1"/>
  <c r="D254" i="9"/>
  <c r="E253" i="9"/>
  <c r="F253" i="9" s="1"/>
  <c r="G253" i="9" s="1"/>
  <c r="D253" i="9"/>
  <c r="E252" i="9"/>
  <c r="F252" i="9" s="1"/>
  <c r="G252" i="9" s="1"/>
  <c r="D252" i="9"/>
  <c r="E251" i="9"/>
  <c r="F251" i="9" s="1"/>
  <c r="G251" i="9" s="1"/>
  <c r="D251" i="9"/>
  <c r="E250" i="9"/>
  <c r="F250" i="9" s="1"/>
  <c r="G250" i="9" s="1"/>
  <c r="D250" i="9"/>
  <c r="E249" i="9"/>
  <c r="F249" i="9" s="1"/>
  <c r="G249" i="9" s="1"/>
  <c r="D249" i="9"/>
  <c r="E248" i="9"/>
  <c r="F248" i="9" s="1"/>
  <c r="G248" i="9" s="1"/>
  <c r="D248" i="9"/>
  <c r="E247" i="9"/>
  <c r="F247" i="9" s="1"/>
  <c r="G247" i="9" s="1"/>
  <c r="D247" i="9"/>
  <c r="E246" i="9"/>
  <c r="F246" i="9" s="1"/>
  <c r="G246" i="9" s="1"/>
  <c r="D246" i="9"/>
  <c r="E245" i="9"/>
  <c r="F245" i="9" s="1"/>
  <c r="G245" i="9" s="1"/>
  <c r="D245" i="9"/>
  <c r="E244" i="9"/>
  <c r="F244" i="9" s="1"/>
  <c r="G244" i="9" s="1"/>
  <c r="D244" i="9"/>
  <c r="E243" i="9"/>
  <c r="F243" i="9" s="1"/>
  <c r="G243" i="9" s="1"/>
  <c r="D243" i="9"/>
  <c r="E242" i="9"/>
  <c r="F242" i="9" s="1"/>
  <c r="G242" i="9" s="1"/>
  <c r="D242" i="9"/>
  <c r="E241" i="9"/>
  <c r="F241" i="9" s="1"/>
  <c r="G241" i="9" s="1"/>
  <c r="D241" i="9"/>
  <c r="E240" i="9"/>
  <c r="F240" i="9" s="1"/>
  <c r="G240" i="9" s="1"/>
  <c r="D240" i="9"/>
  <c r="E239" i="9"/>
  <c r="F239" i="9" s="1"/>
  <c r="G239" i="9" s="1"/>
  <c r="D239" i="9"/>
  <c r="E238" i="9"/>
  <c r="F238" i="9" s="1"/>
  <c r="G238" i="9" s="1"/>
  <c r="D238" i="9"/>
  <c r="E237" i="9"/>
  <c r="F237" i="9" s="1"/>
  <c r="G237" i="9" s="1"/>
  <c r="D237" i="9"/>
  <c r="E236" i="9"/>
  <c r="F236" i="9" s="1"/>
  <c r="G236" i="9" s="1"/>
  <c r="D236" i="9"/>
  <c r="E235" i="9"/>
  <c r="F235" i="9" s="1"/>
  <c r="G235" i="9" s="1"/>
  <c r="D235" i="9"/>
  <c r="F234" i="9"/>
  <c r="G234" i="9" s="1"/>
  <c r="E234" i="9"/>
  <c r="D234" i="9"/>
  <c r="E233" i="9"/>
  <c r="F233" i="9" s="1"/>
  <c r="G233" i="9" s="1"/>
  <c r="D233" i="9"/>
  <c r="F232" i="9"/>
  <c r="G232" i="9" s="1"/>
  <c r="E232" i="9"/>
  <c r="D232" i="9"/>
  <c r="E231" i="9"/>
  <c r="F231" i="9" s="1"/>
  <c r="G231" i="9" s="1"/>
  <c r="D231" i="9"/>
  <c r="F230" i="9"/>
  <c r="G230" i="9" s="1"/>
  <c r="E230" i="9"/>
  <c r="D230" i="9"/>
  <c r="E229" i="9"/>
  <c r="F229" i="9" s="1"/>
  <c r="G229" i="9" s="1"/>
  <c r="D229" i="9"/>
  <c r="F228" i="9"/>
  <c r="G228" i="9" s="1"/>
  <c r="E228" i="9"/>
  <c r="D228" i="9"/>
  <c r="E227" i="9"/>
  <c r="F227" i="9" s="1"/>
  <c r="G227" i="9" s="1"/>
  <c r="D227" i="9"/>
  <c r="F226" i="9"/>
  <c r="G226" i="9" s="1"/>
  <c r="E226" i="9"/>
  <c r="D226" i="9"/>
  <c r="E225" i="9"/>
  <c r="F225" i="9" s="1"/>
  <c r="G225" i="9" s="1"/>
  <c r="D225" i="9"/>
  <c r="F224" i="9"/>
  <c r="G224" i="9" s="1"/>
  <c r="E224" i="9"/>
  <c r="D224" i="9"/>
  <c r="E223" i="9"/>
  <c r="F223" i="9" s="1"/>
  <c r="G223" i="9" s="1"/>
  <c r="D223" i="9"/>
  <c r="F222" i="9"/>
  <c r="G222" i="9" s="1"/>
  <c r="E222" i="9"/>
  <c r="D222" i="9"/>
  <c r="E221" i="9"/>
  <c r="F221" i="9" s="1"/>
  <c r="G221" i="9" s="1"/>
  <c r="D221" i="9"/>
  <c r="F220" i="9"/>
  <c r="G220" i="9" s="1"/>
  <c r="E220" i="9"/>
  <c r="D220" i="9"/>
  <c r="E219" i="9"/>
  <c r="F219" i="9" s="1"/>
  <c r="G219" i="9" s="1"/>
  <c r="D219" i="9"/>
  <c r="F218" i="9"/>
  <c r="G218" i="9" s="1"/>
  <c r="E218" i="9"/>
  <c r="D218" i="9"/>
  <c r="E217" i="9"/>
  <c r="F217" i="9" s="1"/>
  <c r="G217" i="9" s="1"/>
  <c r="D217" i="9"/>
  <c r="F216" i="9"/>
  <c r="G216" i="9" s="1"/>
  <c r="E216" i="9"/>
  <c r="D216" i="9"/>
  <c r="E215" i="9"/>
  <c r="F215" i="9" s="1"/>
  <c r="G215" i="9" s="1"/>
  <c r="D215" i="9"/>
  <c r="F214" i="9"/>
  <c r="G214" i="9" s="1"/>
  <c r="E214" i="9"/>
  <c r="D214" i="9"/>
  <c r="E213" i="9"/>
  <c r="F213" i="9" s="1"/>
  <c r="G213" i="9" s="1"/>
  <c r="D213" i="9"/>
  <c r="F212" i="9"/>
  <c r="G212" i="9" s="1"/>
  <c r="E212" i="9"/>
  <c r="D212" i="9"/>
  <c r="E211" i="9"/>
  <c r="F211" i="9" s="1"/>
  <c r="G211" i="9" s="1"/>
  <c r="D211" i="9"/>
  <c r="F210" i="9"/>
  <c r="G210" i="9" s="1"/>
  <c r="E210" i="9"/>
  <c r="D210" i="9"/>
  <c r="E209" i="9"/>
  <c r="F209" i="9" s="1"/>
  <c r="G209" i="9" s="1"/>
  <c r="D209" i="9"/>
  <c r="F208" i="9"/>
  <c r="G208" i="9" s="1"/>
  <c r="E208" i="9"/>
  <c r="D208" i="9"/>
  <c r="E207" i="9"/>
  <c r="F207" i="9" s="1"/>
  <c r="G207" i="9" s="1"/>
  <c r="D207" i="9"/>
  <c r="F206" i="9"/>
  <c r="G206" i="9" s="1"/>
  <c r="E206" i="9"/>
  <c r="D206" i="9"/>
  <c r="E205" i="9"/>
  <c r="F205" i="9" s="1"/>
  <c r="G205" i="9" s="1"/>
  <c r="D205" i="9"/>
  <c r="F204" i="9"/>
  <c r="G204" i="9" s="1"/>
  <c r="E204" i="9"/>
  <c r="D204" i="9"/>
  <c r="E203" i="9"/>
  <c r="F203" i="9" s="1"/>
  <c r="G203" i="9" s="1"/>
  <c r="D203" i="9"/>
  <c r="F202" i="9"/>
  <c r="G202" i="9" s="1"/>
  <c r="E202" i="9"/>
  <c r="D202" i="9"/>
  <c r="E201" i="9"/>
  <c r="F201" i="9" s="1"/>
  <c r="G201" i="9" s="1"/>
  <c r="D201" i="9"/>
  <c r="F200" i="9"/>
  <c r="G200" i="9" s="1"/>
  <c r="E200" i="9"/>
  <c r="D200" i="9"/>
  <c r="E199" i="9"/>
  <c r="F199" i="9" s="1"/>
  <c r="G199" i="9" s="1"/>
  <c r="D199" i="9"/>
  <c r="F198" i="9"/>
  <c r="G198" i="9" s="1"/>
  <c r="E198" i="9"/>
  <c r="D198" i="9"/>
  <c r="E197" i="9"/>
  <c r="F197" i="9" s="1"/>
  <c r="G197" i="9" s="1"/>
  <c r="D197" i="9"/>
  <c r="F196" i="9"/>
  <c r="G196" i="9" s="1"/>
  <c r="E196" i="9"/>
  <c r="D196" i="9"/>
  <c r="E195" i="9"/>
  <c r="F195" i="9" s="1"/>
  <c r="G195" i="9" s="1"/>
  <c r="D195" i="9"/>
  <c r="F194" i="9"/>
  <c r="G194" i="9" s="1"/>
  <c r="E194" i="9"/>
  <c r="D194" i="9"/>
  <c r="E193" i="9"/>
  <c r="F193" i="9" s="1"/>
  <c r="G193" i="9" s="1"/>
  <c r="D193" i="9"/>
  <c r="F192" i="9"/>
  <c r="G192" i="9" s="1"/>
  <c r="E192" i="9"/>
  <c r="D192" i="9"/>
  <c r="E191" i="9"/>
  <c r="F191" i="9" s="1"/>
  <c r="G191" i="9" s="1"/>
  <c r="D191" i="9"/>
  <c r="F190" i="9"/>
  <c r="G190" i="9" s="1"/>
  <c r="E190" i="9"/>
  <c r="D190" i="9"/>
  <c r="E189" i="9"/>
  <c r="F189" i="9" s="1"/>
  <c r="G189" i="9" s="1"/>
  <c r="D189" i="9"/>
  <c r="F188" i="9"/>
  <c r="G188" i="9" s="1"/>
  <c r="E188" i="9"/>
  <c r="D188" i="9"/>
  <c r="E187" i="9"/>
  <c r="F187" i="9" s="1"/>
  <c r="G187" i="9" s="1"/>
  <c r="D187" i="9"/>
  <c r="F186" i="9"/>
  <c r="G186" i="9" s="1"/>
  <c r="E186" i="9"/>
  <c r="D186" i="9"/>
  <c r="E185" i="9"/>
  <c r="F185" i="9" s="1"/>
  <c r="G185" i="9" s="1"/>
  <c r="D185" i="9"/>
  <c r="F184" i="9"/>
  <c r="G184" i="9" s="1"/>
  <c r="E184" i="9"/>
  <c r="D184" i="9"/>
  <c r="E183" i="9"/>
  <c r="F183" i="9" s="1"/>
  <c r="G183" i="9" s="1"/>
  <c r="D183" i="9"/>
  <c r="F182" i="9"/>
  <c r="G182" i="9" s="1"/>
  <c r="E182" i="9"/>
  <c r="D182" i="9"/>
  <c r="J181" i="9"/>
  <c r="E181" i="9"/>
  <c r="F181" i="9" s="1"/>
  <c r="G181" i="9" s="1"/>
  <c r="D181" i="9"/>
  <c r="E180" i="9"/>
  <c r="F180" i="9" s="1"/>
  <c r="G180" i="9" s="1"/>
  <c r="D180" i="9"/>
  <c r="E179" i="9"/>
  <c r="F179" i="9" s="1"/>
  <c r="G179" i="9" s="1"/>
  <c r="D179" i="9"/>
  <c r="E178" i="9"/>
  <c r="F178" i="9" s="1"/>
  <c r="G178" i="9" s="1"/>
  <c r="D178" i="9"/>
  <c r="E177" i="9"/>
  <c r="F177" i="9" s="1"/>
  <c r="G177" i="9" s="1"/>
  <c r="D177" i="9"/>
  <c r="E176" i="9"/>
  <c r="F176" i="9" s="1"/>
  <c r="G176" i="9" s="1"/>
  <c r="D176" i="9"/>
  <c r="E175" i="9"/>
  <c r="F175" i="9" s="1"/>
  <c r="G175" i="9" s="1"/>
  <c r="D175" i="9"/>
  <c r="E174" i="9"/>
  <c r="F174" i="9" s="1"/>
  <c r="G174" i="9" s="1"/>
  <c r="D174" i="9"/>
  <c r="E173" i="9"/>
  <c r="F173" i="9" s="1"/>
  <c r="G173" i="9" s="1"/>
  <c r="D173" i="9"/>
  <c r="E172" i="9"/>
  <c r="F172" i="9" s="1"/>
  <c r="G172" i="9" s="1"/>
  <c r="D172" i="9"/>
  <c r="E171" i="9"/>
  <c r="F171" i="9" s="1"/>
  <c r="G171" i="9" s="1"/>
  <c r="D171" i="9"/>
  <c r="E170" i="9"/>
  <c r="F170" i="9" s="1"/>
  <c r="G170" i="9" s="1"/>
  <c r="D170" i="9"/>
  <c r="E169" i="9"/>
  <c r="F169" i="9" s="1"/>
  <c r="G169" i="9" s="1"/>
  <c r="D169" i="9"/>
  <c r="E168" i="9"/>
  <c r="F168" i="9" s="1"/>
  <c r="G168" i="9" s="1"/>
  <c r="D168" i="9"/>
  <c r="E167" i="9"/>
  <c r="F167" i="9" s="1"/>
  <c r="G167" i="9" s="1"/>
  <c r="D167" i="9"/>
  <c r="E166" i="9"/>
  <c r="F166" i="9" s="1"/>
  <c r="G166" i="9" s="1"/>
  <c r="D166" i="9"/>
  <c r="E165" i="9"/>
  <c r="F165" i="9" s="1"/>
  <c r="G165" i="9" s="1"/>
  <c r="D165" i="9"/>
  <c r="E164" i="9"/>
  <c r="F164" i="9" s="1"/>
  <c r="G164" i="9" s="1"/>
  <c r="D164" i="9"/>
  <c r="E163" i="9"/>
  <c r="F163" i="9" s="1"/>
  <c r="G163" i="9" s="1"/>
  <c r="D163" i="9"/>
  <c r="E162" i="9"/>
  <c r="F162" i="9" s="1"/>
  <c r="G162" i="9" s="1"/>
  <c r="D162" i="9"/>
  <c r="E161" i="9"/>
  <c r="F161" i="9" s="1"/>
  <c r="G161" i="9" s="1"/>
  <c r="D161" i="9"/>
  <c r="E160" i="9"/>
  <c r="F160" i="9" s="1"/>
  <c r="G160" i="9" s="1"/>
  <c r="D160" i="9"/>
  <c r="E159" i="9"/>
  <c r="F159" i="9" s="1"/>
  <c r="G159" i="9" s="1"/>
  <c r="D159" i="9"/>
  <c r="E158" i="9"/>
  <c r="F158" i="9" s="1"/>
  <c r="G158" i="9" s="1"/>
  <c r="D158" i="9"/>
  <c r="E157" i="9"/>
  <c r="F157" i="9" s="1"/>
  <c r="G157" i="9" s="1"/>
  <c r="D157" i="9"/>
  <c r="E156" i="9"/>
  <c r="F156" i="9" s="1"/>
  <c r="G156" i="9" s="1"/>
  <c r="D156" i="9"/>
  <c r="E155" i="9"/>
  <c r="F155" i="9" s="1"/>
  <c r="G155" i="9" s="1"/>
  <c r="D155" i="9"/>
  <c r="E154" i="9"/>
  <c r="F154" i="9" s="1"/>
  <c r="G154" i="9" s="1"/>
  <c r="D154" i="9"/>
  <c r="E153" i="9"/>
  <c r="F153" i="9" s="1"/>
  <c r="G153" i="9" s="1"/>
  <c r="D153" i="9"/>
  <c r="E152" i="9"/>
  <c r="F152" i="9" s="1"/>
  <c r="G152" i="9" s="1"/>
  <c r="D152" i="9"/>
  <c r="E151" i="9"/>
  <c r="F151" i="9" s="1"/>
  <c r="G151" i="9" s="1"/>
  <c r="D151" i="9"/>
  <c r="E150" i="9"/>
  <c r="F150" i="9" s="1"/>
  <c r="G150" i="9" s="1"/>
  <c r="D150" i="9"/>
  <c r="E149" i="9"/>
  <c r="F149" i="9" s="1"/>
  <c r="G149" i="9" s="1"/>
  <c r="D149" i="9"/>
  <c r="E148" i="9"/>
  <c r="F148" i="9" s="1"/>
  <c r="G148" i="9" s="1"/>
  <c r="D148" i="9"/>
  <c r="E147" i="9"/>
  <c r="F147" i="9" s="1"/>
  <c r="G147" i="9" s="1"/>
  <c r="D147" i="9"/>
  <c r="E146" i="9"/>
  <c r="F146" i="9" s="1"/>
  <c r="G146" i="9" s="1"/>
  <c r="D146" i="9"/>
  <c r="E145" i="9"/>
  <c r="F145" i="9" s="1"/>
  <c r="G145" i="9" s="1"/>
  <c r="D145" i="9"/>
  <c r="E144" i="9"/>
  <c r="F144" i="9" s="1"/>
  <c r="G144" i="9" s="1"/>
  <c r="D144" i="9"/>
  <c r="E143" i="9"/>
  <c r="F143" i="9" s="1"/>
  <c r="G143" i="9" s="1"/>
  <c r="D143" i="9"/>
  <c r="E142" i="9"/>
  <c r="F142" i="9" s="1"/>
  <c r="G142" i="9" s="1"/>
  <c r="D142" i="9"/>
  <c r="E141" i="9"/>
  <c r="F141" i="9" s="1"/>
  <c r="G141" i="9" s="1"/>
  <c r="D141" i="9"/>
  <c r="J140" i="9"/>
  <c r="E140" i="9"/>
  <c r="F140" i="9" s="1"/>
  <c r="G140" i="9" s="1"/>
  <c r="D140" i="9"/>
  <c r="F139" i="9"/>
  <c r="G139" i="9" s="1"/>
  <c r="E139" i="9"/>
  <c r="D139" i="9"/>
  <c r="E138" i="9"/>
  <c r="F138" i="9" s="1"/>
  <c r="G138" i="9" s="1"/>
  <c r="D138" i="9"/>
  <c r="F137" i="9"/>
  <c r="G137" i="9" s="1"/>
  <c r="E137" i="9"/>
  <c r="D137" i="9"/>
  <c r="E136" i="9"/>
  <c r="F136" i="9" s="1"/>
  <c r="G136" i="9" s="1"/>
  <c r="D136" i="9"/>
  <c r="F135" i="9"/>
  <c r="G135" i="9" s="1"/>
  <c r="E135" i="9"/>
  <c r="D135" i="9"/>
  <c r="E134" i="9"/>
  <c r="F134" i="9" s="1"/>
  <c r="G134" i="9" s="1"/>
  <c r="D134" i="9"/>
  <c r="F133" i="9"/>
  <c r="G133" i="9" s="1"/>
  <c r="E133" i="9"/>
  <c r="D133" i="9"/>
  <c r="E132" i="9"/>
  <c r="F132" i="9" s="1"/>
  <c r="G132" i="9" s="1"/>
  <c r="D132" i="9"/>
  <c r="F131" i="9"/>
  <c r="G131" i="9" s="1"/>
  <c r="E131" i="9"/>
  <c r="D131" i="9"/>
  <c r="E130" i="9"/>
  <c r="F130" i="9" s="1"/>
  <c r="G130" i="9" s="1"/>
  <c r="D130" i="9"/>
  <c r="F129" i="9"/>
  <c r="G129" i="9" s="1"/>
  <c r="E129" i="9"/>
  <c r="D129" i="9"/>
  <c r="E128" i="9"/>
  <c r="F128" i="9" s="1"/>
  <c r="G128" i="9" s="1"/>
  <c r="D128" i="9"/>
  <c r="F127" i="9"/>
  <c r="G127" i="9" s="1"/>
  <c r="E127" i="9"/>
  <c r="D127" i="9"/>
  <c r="E126" i="9"/>
  <c r="F126" i="9" s="1"/>
  <c r="G126" i="9" s="1"/>
  <c r="D126" i="9"/>
  <c r="F125" i="9"/>
  <c r="G125" i="9" s="1"/>
  <c r="E125" i="9"/>
  <c r="D125" i="9"/>
  <c r="E124" i="9"/>
  <c r="F124" i="9" s="1"/>
  <c r="G124" i="9" s="1"/>
  <c r="D124" i="9"/>
  <c r="F123" i="9"/>
  <c r="G123" i="9" s="1"/>
  <c r="E123" i="9"/>
  <c r="D123" i="9"/>
  <c r="E122" i="9"/>
  <c r="F122" i="9" s="1"/>
  <c r="G122" i="9" s="1"/>
  <c r="D122" i="9"/>
  <c r="F121" i="9"/>
  <c r="G121" i="9" s="1"/>
  <c r="E121" i="9"/>
  <c r="D121" i="9"/>
  <c r="E120" i="9"/>
  <c r="F120" i="9" s="1"/>
  <c r="G120" i="9" s="1"/>
  <c r="D120" i="9"/>
  <c r="F119" i="9"/>
  <c r="G119" i="9" s="1"/>
  <c r="E119" i="9"/>
  <c r="D119" i="9"/>
  <c r="E118" i="9"/>
  <c r="F118" i="9" s="1"/>
  <c r="G118" i="9" s="1"/>
  <c r="D118" i="9"/>
  <c r="F117" i="9"/>
  <c r="G117" i="9" s="1"/>
  <c r="E117" i="9"/>
  <c r="D117" i="9"/>
  <c r="E116" i="9"/>
  <c r="F116" i="9" s="1"/>
  <c r="G116" i="9" s="1"/>
  <c r="D116" i="9"/>
  <c r="F115" i="9"/>
  <c r="G115" i="9" s="1"/>
  <c r="E115" i="9"/>
  <c r="D115" i="9"/>
  <c r="E114" i="9"/>
  <c r="F114" i="9" s="1"/>
  <c r="G114" i="9" s="1"/>
  <c r="D114" i="9"/>
  <c r="F113" i="9"/>
  <c r="G113" i="9" s="1"/>
  <c r="E113" i="9"/>
  <c r="D113" i="9"/>
  <c r="E112" i="9"/>
  <c r="F112" i="9" s="1"/>
  <c r="G112" i="9" s="1"/>
  <c r="D112" i="9"/>
  <c r="F111" i="9"/>
  <c r="G111" i="9" s="1"/>
  <c r="E111" i="9"/>
  <c r="D111" i="9"/>
  <c r="E110" i="9"/>
  <c r="F110" i="9" s="1"/>
  <c r="G110" i="9" s="1"/>
  <c r="D110" i="9"/>
  <c r="F109" i="9"/>
  <c r="G109" i="9" s="1"/>
  <c r="E109" i="9"/>
  <c r="D109" i="9"/>
  <c r="E108" i="9"/>
  <c r="F108" i="9" s="1"/>
  <c r="G108" i="9" s="1"/>
  <c r="D108" i="9"/>
  <c r="F107" i="9"/>
  <c r="G107" i="9" s="1"/>
  <c r="E107" i="9"/>
  <c r="D107" i="9"/>
  <c r="E106" i="9"/>
  <c r="F106" i="9" s="1"/>
  <c r="G106" i="9" s="1"/>
  <c r="D106" i="9"/>
  <c r="F105" i="9"/>
  <c r="G105" i="9" s="1"/>
  <c r="E105" i="9"/>
  <c r="D105" i="9"/>
  <c r="E104" i="9"/>
  <c r="F104" i="9" s="1"/>
  <c r="G104" i="9" s="1"/>
  <c r="D104" i="9"/>
  <c r="E103" i="9"/>
  <c r="F103" i="9" s="1"/>
  <c r="G103" i="9" s="1"/>
  <c r="D103" i="9"/>
  <c r="E102" i="9"/>
  <c r="F102" i="9" s="1"/>
  <c r="G102" i="9" s="1"/>
  <c r="D102" i="9"/>
  <c r="E101" i="9"/>
  <c r="F101" i="9" s="1"/>
  <c r="G101" i="9" s="1"/>
  <c r="D101" i="9"/>
  <c r="E100" i="9"/>
  <c r="F100" i="9" s="1"/>
  <c r="G100" i="9" s="1"/>
  <c r="D100" i="9"/>
  <c r="E99" i="9"/>
  <c r="F99" i="9" s="1"/>
  <c r="G99" i="9" s="1"/>
  <c r="D99" i="9"/>
  <c r="E98" i="9"/>
  <c r="F98" i="9" s="1"/>
  <c r="G98" i="9" s="1"/>
  <c r="D98" i="9"/>
  <c r="E97" i="9"/>
  <c r="F97" i="9" s="1"/>
  <c r="G97" i="9" s="1"/>
  <c r="D97" i="9"/>
  <c r="E96" i="9"/>
  <c r="F96" i="9" s="1"/>
  <c r="G96" i="9" s="1"/>
  <c r="D96" i="9"/>
  <c r="E95" i="9"/>
  <c r="F95" i="9" s="1"/>
  <c r="G95" i="9" s="1"/>
  <c r="D95" i="9"/>
  <c r="E94" i="9"/>
  <c r="F94" i="9" s="1"/>
  <c r="G94" i="9" s="1"/>
  <c r="D94" i="9"/>
  <c r="E93" i="9"/>
  <c r="F93" i="9" s="1"/>
  <c r="G93" i="9" s="1"/>
  <c r="D93" i="9"/>
  <c r="E92" i="9"/>
  <c r="F92" i="9" s="1"/>
  <c r="G92" i="9" s="1"/>
  <c r="D92" i="9"/>
  <c r="E91" i="9"/>
  <c r="F91" i="9" s="1"/>
  <c r="G91" i="9" s="1"/>
  <c r="D91" i="9"/>
  <c r="E90" i="9"/>
  <c r="F90" i="9" s="1"/>
  <c r="G90" i="9" s="1"/>
  <c r="D90" i="9"/>
  <c r="E89" i="9"/>
  <c r="F89" i="9" s="1"/>
  <c r="G89" i="9" s="1"/>
  <c r="D89" i="9"/>
  <c r="E88" i="9"/>
  <c r="F88" i="9" s="1"/>
  <c r="G88" i="9" s="1"/>
  <c r="D88" i="9"/>
  <c r="E87" i="9"/>
  <c r="F87" i="9" s="1"/>
  <c r="G87" i="9" s="1"/>
  <c r="D87" i="9"/>
  <c r="E86" i="9"/>
  <c r="F86" i="9" s="1"/>
  <c r="G86" i="9" s="1"/>
  <c r="D86" i="9"/>
  <c r="E85" i="9"/>
  <c r="F85" i="9" s="1"/>
  <c r="G85" i="9" s="1"/>
  <c r="D85" i="9"/>
  <c r="E84" i="9"/>
  <c r="F84" i="9" s="1"/>
  <c r="G84" i="9" s="1"/>
  <c r="D84" i="9"/>
  <c r="E83" i="9"/>
  <c r="F83" i="9" s="1"/>
  <c r="G83" i="9" s="1"/>
  <c r="D83" i="9"/>
  <c r="E82" i="9"/>
  <c r="F82" i="9" s="1"/>
  <c r="G82" i="9" s="1"/>
  <c r="D82" i="9"/>
  <c r="E81" i="9"/>
  <c r="F81" i="9" s="1"/>
  <c r="G81" i="9" s="1"/>
  <c r="D81" i="9"/>
  <c r="E80" i="9"/>
  <c r="F80" i="9" s="1"/>
  <c r="G80" i="9" s="1"/>
  <c r="D80" i="9"/>
  <c r="E79" i="9"/>
  <c r="F79" i="9" s="1"/>
  <c r="G79" i="9" s="1"/>
  <c r="D79" i="9"/>
  <c r="E78" i="9"/>
  <c r="F78" i="9" s="1"/>
  <c r="G78" i="9" s="1"/>
  <c r="D78" i="9"/>
  <c r="E77" i="9"/>
  <c r="F77" i="9" s="1"/>
  <c r="G77" i="9" s="1"/>
  <c r="D77" i="9"/>
  <c r="E76" i="9"/>
  <c r="F76" i="9" s="1"/>
  <c r="G76" i="9" s="1"/>
  <c r="D76" i="9"/>
  <c r="E75" i="9"/>
  <c r="F75" i="9" s="1"/>
  <c r="G75" i="9" s="1"/>
  <c r="D75" i="9"/>
  <c r="E74" i="9"/>
  <c r="F74" i="9" s="1"/>
  <c r="G74" i="9" s="1"/>
  <c r="D74" i="9"/>
  <c r="E73" i="9"/>
  <c r="F73" i="9" s="1"/>
  <c r="G73" i="9" s="1"/>
  <c r="D73" i="9"/>
  <c r="E72" i="9"/>
  <c r="F72" i="9" s="1"/>
  <c r="G72" i="9" s="1"/>
  <c r="D72" i="9"/>
  <c r="E71" i="9"/>
  <c r="F71" i="9" s="1"/>
  <c r="G71" i="9" s="1"/>
  <c r="D71" i="9"/>
  <c r="E70" i="9"/>
  <c r="F70" i="9" s="1"/>
  <c r="G70" i="9" s="1"/>
  <c r="D70" i="9"/>
  <c r="E69" i="9"/>
  <c r="F69" i="9" s="1"/>
  <c r="G69" i="9" s="1"/>
  <c r="D69" i="9"/>
  <c r="E68" i="9"/>
  <c r="F68" i="9" s="1"/>
  <c r="G68" i="9" s="1"/>
  <c r="D68" i="9"/>
  <c r="E67" i="9"/>
  <c r="F67" i="9" s="1"/>
  <c r="G67" i="9" s="1"/>
  <c r="D67" i="9"/>
  <c r="E66" i="9"/>
  <c r="F66" i="9" s="1"/>
  <c r="G66" i="9" s="1"/>
  <c r="D66" i="9"/>
  <c r="J65" i="9"/>
  <c r="F65" i="9"/>
  <c r="G65" i="9" s="1"/>
  <c r="E65" i="9"/>
  <c r="D65" i="9"/>
  <c r="E64" i="9"/>
  <c r="F64" i="9" s="1"/>
  <c r="G64" i="9" s="1"/>
  <c r="D64" i="9"/>
  <c r="F63" i="9"/>
  <c r="G63" i="9" s="1"/>
  <c r="E63" i="9"/>
  <c r="D63" i="9"/>
  <c r="E62" i="9"/>
  <c r="F62" i="9" s="1"/>
  <c r="G62" i="9" s="1"/>
  <c r="D62" i="9"/>
  <c r="F61" i="9"/>
  <c r="G61" i="9" s="1"/>
  <c r="E61" i="9"/>
  <c r="D61" i="9"/>
  <c r="E60" i="9"/>
  <c r="F60" i="9" s="1"/>
  <c r="G60" i="9" s="1"/>
  <c r="D60" i="9"/>
  <c r="F59" i="9"/>
  <c r="G59" i="9" s="1"/>
  <c r="E59" i="9"/>
  <c r="D59" i="9"/>
  <c r="E58" i="9"/>
  <c r="F58" i="9" s="1"/>
  <c r="G58" i="9" s="1"/>
  <c r="D58" i="9"/>
  <c r="F57" i="9"/>
  <c r="G57" i="9" s="1"/>
  <c r="E57" i="9"/>
  <c r="D57" i="9"/>
  <c r="E56" i="9"/>
  <c r="F56" i="9" s="1"/>
  <c r="G56" i="9" s="1"/>
  <c r="D56" i="9"/>
  <c r="F55" i="9"/>
  <c r="G55" i="9" s="1"/>
  <c r="E55" i="9"/>
  <c r="D55" i="9"/>
  <c r="E54" i="9"/>
  <c r="F54" i="9" s="1"/>
  <c r="G54" i="9" s="1"/>
  <c r="D54" i="9"/>
  <c r="F53" i="9"/>
  <c r="G53" i="9" s="1"/>
  <c r="E53" i="9"/>
  <c r="D53" i="9"/>
  <c r="E52" i="9"/>
  <c r="F52" i="9" s="1"/>
  <c r="G52" i="9" s="1"/>
  <c r="D52" i="9"/>
  <c r="F51" i="9"/>
  <c r="G51" i="9" s="1"/>
  <c r="E51" i="9"/>
  <c r="D51" i="9"/>
  <c r="E50" i="9"/>
  <c r="F50" i="9" s="1"/>
  <c r="G50" i="9" s="1"/>
  <c r="D50" i="9"/>
  <c r="F49" i="9"/>
  <c r="G49" i="9" s="1"/>
  <c r="E49" i="9"/>
  <c r="D49" i="9"/>
  <c r="E48" i="9"/>
  <c r="F48" i="9" s="1"/>
  <c r="G48" i="9" s="1"/>
  <c r="D48" i="9"/>
  <c r="F47" i="9"/>
  <c r="G47" i="9" s="1"/>
  <c r="E47" i="9"/>
  <c r="D47" i="9"/>
  <c r="E46" i="9"/>
  <c r="F46" i="9" s="1"/>
  <c r="G46" i="9" s="1"/>
  <c r="D46" i="9"/>
  <c r="F45" i="9"/>
  <c r="G45" i="9" s="1"/>
  <c r="E45" i="9"/>
  <c r="D45" i="9"/>
  <c r="E44" i="9"/>
  <c r="F44" i="9" s="1"/>
  <c r="G44" i="9" s="1"/>
  <c r="D44" i="9"/>
  <c r="F43" i="9"/>
  <c r="G43" i="9" s="1"/>
  <c r="E43" i="9"/>
  <c r="D43" i="9"/>
  <c r="E42" i="9"/>
  <c r="F42" i="9" s="1"/>
  <c r="G42" i="9" s="1"/>
  <c r="D42" i="9"/>
  <c r="F41" i="9"/>
  <c r="G41" i="9" s="1"/>
  <c r="D41" i="9"/>
  <c r="G40" i="9"/>
  <c r="F40" i="9"/>
  <c r="D40" i="9"/>
  <c r="F39" i="9"/>
  <c r="G39" i="9" s="1"/>
  <c r="D39" i="9"/>
  <c r="F38" i="9"/>
  <c r="G38" i="9" s="1"/>
  <c r="D38" i="9"/>
  <c r="F37" i="9"/>
  <c r="G37" i="9" s="1"/>
  <c r="D37" i="9"/>
  <c r="G36" i="9"/>
  <c r="F36" i="9"/>
  <c r="D36" i="9"/>
  <c r="F35" i="9"/>
  <c r="G35" i="9" s="1"/>
  <c r="D35" i="9"/>
  <c r="F34" i="9"/>
  <c r="G34" i="9" s="1"/>
  <c r="D34" i="9"/>
  <c r="F33" i="9"/>
  <c r="G33" i="9" s="1"/>
  <c r="D33" i="9"/>
  <c r="F32" i="9"/>
  <c r="G32" i="9" s="1"/>
  <c r="D32" i="9"/>
  <c r="G31" i="9"/>
  <c r="F31" i="9"/>
  <c r="D31" i="9"/>
  <c r="F30" i="9"/>
  <c r="G30" i="9" s="1"/>
  <c r="D30" i="9"/>
  <c r="F29" i="9"/>
  <c r="G29" i="9" s="1"/>
  <c r="D29" i="9"/>
  <c r="Q28" i="9"/>
  <c r="P28" i="9"/>
  <c r="O28" i="9"/>
  <c r="N28" i="9"/>
  <c r="G28" i="9"/>
  <c r="F28" i="9"/>
  <c r="D28" i="9"/>
  <c r="P27" i="9"/>
  <c r="Q27" i="9" s="1"/>
  <c r="N27" i="9"/>
  <c r="O27" i="9" s="1"/>
  <c r="J27" i="9"/>
  <c r="F27" i="9"/>
  <c r="G27" i="9" s="1"/>
  <c r="D27" i="9"/>
  <c r="Q26" i="9"/>
  <c r="P26" i="9"/>
  <c r="O26" i="9"/>
  <c r="N26" i="9"/>
  <c r="G26" i="9"/>
  <c r="F26" i="9"/>
  <c r="D26" i="9"/>
  <c r="P25" i="9"/>
  <c r="Q25" i="9" s="1"/>
  <c r="N25" i="9"/>
  <c r="O25" i="9" s="1"/>
  <c r="F25" i="9"/>
  <c r="G25" i="9" s="1"/>
  <c r="D25" i="9"/>
  <c r="P24" i="9"/>
  <c r="Q24" i="9" s="1"/>
  <c r="N24" i="9"/>
  <c r="O24" i="9" s="1"/>
  <c r="F24" i="9"/>
  <c r="G24" i="9" s="1"/>
  <c r="D24" i="9"/>
  <c r="P23" i="9"/>
  <c r="N23" i="9"/>
  <c r="O23" i="9" s="1"/>
  <c r="F23" i="9"/>
  <c r="G23" i="9" s="1"/>
  <c r="D23" i="9"/>
  <c r="Q22" i="9"/>
  <c r="P22" i="9"/>
  <c r="O22" i="9"/>
  <c r="N22" i="9"/>
  <c r="G22" i="9"/>
  <c r="F22" i="9"/>
  <c r="D22" i="9"/>
  <c r="P21" i="9"/>
  <c r="N21" i="9"/>
  <c r="O21" i="9" s="1"/>
  <c r="F21" i="9"/>
  <c r="G21" i="9" s="1"/>
  <c r="D21" i="9"/>
  <c r="P20" i="9"/>
  <c r="Q20" i="9" s="1"/>
  <c r="N20" i="9"/>
  <c r="O20" i="9" s="1"/>
  <c r="F20" i="9"/>
  <c r="G20" i="9" s="1"/>
  <c r="D20" i="9"/>
  <c r="P19" i="9"/>
  <c r="N19" i="9"/>
  <c r="O19" i="9" s="1"/>
  <c r="F19" i="9"/>
  <c r="G19" i="9" s="1"/>
  <c r="D19" i="9"/>
  <c r="Q18" i="9"/>
  <c r="P18" i="9"/>
  <c r="O18" i="9"/>
  <c r="N18" i="9"/>
  <c r="G18" i="9"/>
  <c r="F18" i="9"/>
  <c r="D18" i="9"/>
  <c r="P17" i="9"/>
  <c r="N17" i="9"/>
  <c r="O17" i="9" s="1"/>
  <c r="F17" i="9"/>
  <c r="G17" i="9" s="1"/>
  <c r="D17" i="9"/>
  <c r="P16" i="9"/>
  <c r="Q16" i="9" s="1"/>
  <c r="N16" i="9"/>
  <c r="O16" i="9" s="1"/>
  <c r="F16" i="9"/>
  <c r="G16" i="9" s="1"/>
  <c r="D16" i="9"/>
  <c r="P15" i="9"/>
  <c r="N15" i="9"/>
  <c r="O15" i="9" s="1"/>
  <c r="F15" i="9"/>
  <c r="G15" i="9" s="1"/>
  <c r="D15" i="9"/>
  <c r="Q14" i="9"/>
  <c r="P14" i="9"/>
  <c r="O14" i="9"/>
  <c r="N14" i="9"/>
  <c r="G14" i="9"/>
  <c r="F14" i="9"/>
  <c r="D14" i="9"/>
  <c r="P13" i="9"/>
  <c r="N13" i="9"/>
  <c r="O13" i="9" s="1"/>
  <c r="F13" i="9"/>
  <c r="G13" i="9" s="1"/>
  <c r="D13" i="9"/>
  <c r="P12" i="9"/>
  <c r="Q12" i="9" s="1"/>
  <c r="N12" i="9"/>
  <c r="O12" i="9" s="1"/>
  <c r="F12" i="9"/>
  <c r="G12" i="9" s="1"/>
  <c r="D12" i="9"/>
  <c r="P11" i="9"/>
  <c r="N11" i="9"/>
  <c r="O11" i="9" s="1"/>
  <c r="F11" i="9"/>
  <c r="G11" i="9" s="1"/>
  <c r="D11" i="9"/>
  <c r="Q10" i="9"/>
  <c r="P10" i="9"/>
  <c r="O10" i="9"/>
  <c r="N10" i="9"/>
  <c r="G10" i="9"/>
  <c r="F10" i="9"/>
  <c r="D10" i="9"/>
  <c r="P9" i="9"/>
  <c r="N9" i="9"/>
  <c r="O9" i="9" s="1"/>
  <c r="F9" i="9"/>
  <c r="G9" i="9" s="1"/>
  <c r="D9" i="9"/>
  <c r="P8" i="9"/>
  <c r="N8" i="9"/>
  <c r="O8" i="9" s="1"/>
  <c r="F8" i="9"/>
  <c r="G8" i="9" s="1"/>
  <c r="D8" i="9"/>
  <c r="P7" i="9"/>
  <c r="N7" i="9"/>
  <c r="O7" i="9" s="1"/>
  <c r="F7" i="9"/>
  <c r="G7" i="9" s="1"/>
  <c r="D7" i="9"/>
  <c r="Q6" i="9"/>
  <c r="P6" i="9"/>
  <c r="O6" i="9"/>
  <c r="N6" i="9"/>
  <c r="G6" i="9"/>
  <c r="F6" i="9"/>
  <c r="D6" i="9"/>
  <c r="P5" i="9"/>
  <c r="N5" i="9"/>
  <c r="O5" i="9" s="1"/>
  <c r="F5" i="9"/>
  <c r="G5" i="9" s="1"/>
  <c r="D5" i="9"/>
  <c r="P4" i="9"/>
  <c r="Q4" i="9" s="1"/>
  <c r="N4" i="9"/>
  <c r="O4" i="9" s="1"/>
  <c r="F4" i="9"/>
  <c r="G4" i="9" s="1"/>
  <c r="D4" i="9"/>
  <c r="F3" i="9"/>
  <c r="G3" i="9" s="1"/>
  <c r="D3" i="9"/>
  <c r="J2" i="9"/>
  <c r="F2" i="9"/>
  <c r="D2" i="9"/>
  <c r="AG110" i="8"/>
  <c r="AA110" i="8"/>
  <c r="U110" i="8"/>
  <c r="AB104" i="8"/>
  <c r="V104" i="8"/>
  <c r="AB103" i="8"/>
  <c r="AH102" i="8"/>
  <c r="AB102" i="8"/>
  <c r="AB105" i="8" s="1"/>
  <c r="V102" i="8"/>
  <c r="AI100" i="8"/>
  <c r="AH100" i="8"/>
  <c r="AC100" i="8"/>
  <c r="AB100" i="8"/>
  <c r="W100" i="8"/>
  <c r="V100" i="8"/>
  <c r="S100" i="8"/>
  <c r="AI99" i="8"/>
  <c r="U91" i="8"/>
  <c r="W91" i="8" s="1"/>
  <c r="V90" i="8"/>
  <c r="AH88" i="8"/>
  <c r="AB88" i="8"/>
  <c r="V88" i="8"/>
  <c r="AI85" i="8"/>
  <c r="AC85" i="8"/>
  <c r="AC99" i="8" s="1"/>
  <c r="W85" i="8"/>
  <c r="W99" i="8" s="1"/>
  <c r="E69" i="8"/>
  <c r="D69" i="8"/>
  <c r="E67" i="8"/>
  <c r="D67" i="8"/>
  <c r="H64" i="8"/>
  <c r="D64" i="8"/>
  <c r="E64" i="8" s="1"/>
  <c r="H63" i="8"/>
  <c r="E63" i="8"/>
  <c r="D63" i="8"/>
  <c r="H60" i="8"/>
  <c r="H59" i="8"/>
  <c r="E59" i="8"/>
  <c r="D59" i="8"/>
  <c r="H57" i="8"/>
  <c r="H56" i="8"/>
  <c r="I56" i="8" s="1"/>
  <c r="H53" i="8"/>
  <c r="H54" i="8" s="1"/>
  <c r="H52" i="8"/>
  <c r="G46" i="8"/>
  <c r="L38" i="8"/>
  <c r="K38" i="8"/>
  <c r="J38" i="8"/>
  <c r="I38" i="8"/>
  <c r="AH104" i="8" s="1"/>
  <c r="L37" i="8"/>
  <c r="K37" i="8"/>
  <c r="K40" i="8" s="1"/>
  <c r="J37" i="8"/>
  <c r="I37" i="8"/>
  <c r="AH23" i="8" s="1"/>
  <c r="G37" i="8"/>
  <c r="L36" i="8"/>
  <c r="K36" i="8"/>
  <c r="J36" i="8"/>
  <c r="L35" i="8"/>
  <c r="L40" i="8" s="1"/>
  <c r="K35" i="8"/>
  <c r="J35" i="8"/>
  <c r="J40" i="8" s="1"/>
  <c r="H35" i="8"/>
  <c r="L32" i="8"/>
  <c r="K32" i="8"/>
  <c r="J32" i="8"/>
  <c r="H32" i="8"/>
  <c r="AB101" i="8" s="1"/>
  <c r="AI30" i="8"/>
  <c r="AC30" i="8"/>
  <c r="W30" i="8"/>
  <c r="AG29" i="8"/>
  <c r="AA29" i="8"/>
  <c r="U29" i="8"/>
  <c r="L28" i="8"/>
  <c r="K28" i="8"/>
  <c r="J28" i="8"/>
  <c r="I28" i="8"/>
  <c r="H28" i="8"/>
  <c r="G28" i="8"/>
  <c r="L25" i="8"/>
  <c r="K25" i="8"/>
  <c r="J25" i="8"/>
  <c r="I25" i="8"/>
  <c r="AH91" i="8" s="1"/>
  <c r="H25" i="8"/>
  <c r="AB12" i="8" s="1"/>
  <c r="G25" i="8"/>
  <c r="V91" i="8" s="1"/>
  <c r="AH24" i="8"/>
  <c r="AB24" i="8"/>
  <c r="V24" i="8"/>
  <c r="V23" i="8"/>
  <c r="H23" i="8"/>
  <c r="AH22" i="8"/>
  <c r="AB22" i="8"/>
  <c r="V22" i="8"/>
  <c r="V25" i="8" s="1"/>
  <c r="AB21" i="8"/>
  <c r="I19" i="8"/>
  <c r="K23" i="8" s="1"/>
  <c r="H19" i="8"/>
  <c r="G19" i="8"/>
  <c r="G23" i="8" s="1"/>
  <c r="AG16" i="8"/>
  <c r="AA16" i="8"/>
  <c r="U16" i="8"/>
  <c r="L15" i="8"/>
  <c r="K15" i="8"/>
  <c r="J15" i="8"/>
  <c r="I15" i="8"/>
  <c r="AG91" i="8" s="1"/>
  <c r="AI91" i="8" s="1"/>
  <c r="H15" i="8"/>
  <c r="AA91" i="8" s="1"/>
  <c r="G15" i="8"/>
  <c r="L14" i="8"/>
  <c r="K14" i="8"/>
  <c r="J14" i="8"/>
  <c r="I14" i="8"/>
  <c r="AG90" i="8" s="1"/>
  <c r="H14" i="8"/>
  <c r="AA90" i="8" s="1"/>
  <c r="G14" i="8"/>
  <c r="U90" i="8" s="1"/>
  <c r="I13" i="8"/>
  <c r="AG89" i="8" s="1"/>
  <c r="H13" i="8"/>
  <c r="AA89" i="8" s="1"/>
  <c r="G13" i="8"/>
  <c r="U89" i="8" s="1"/>
  <c r="AH12" i="8"/>
  <c r="AG12" i="8"/>
  <c r="AI12" i="8" s="1"/>
  <c r="AA12" i="8"/>
  <c r="AC12" i="8" s="1"/>
  <c r="V12" i="8"/>
  <c r="U12" i="8"/>
  <c r="W12" i="8" s="1"/>
  <c r="I12" i="8"/>
  <c r="AG88" i="8" s="1"/>
  <c r="AI88" i="8" s="1"/>
  <c r="H12" i="8"/>
  <c r="AA88" i="8" s="1"/>
  <c r="AC88" i="8" s="1"/>
  <c r="G12" i="8"/>
  <c r="U88" i="8" s="1"/>
  <c r="W88" i="8" s="1"/>
  <c r="AG11" i="8"/>
  <c r="AA11" i="8"/>
  <c r="V11" i="8"/>
  <c r="U11" i="8"/>
  <c r="W11" i="8" s="1"/>
  <c r="AG10" i="8"/>
  <c r="AB10" i="8"/>
  <c r="AA10" i="8"/>
  <c r="AC10" i="8" s="1"/>
  <c r="U10" i="8"/>
  <c r="AH9" i="8"/>
  <c r="AB9" i="8"/>
  <c r="AA9" i="8"/>
  <c r="AC9" i="8" s="1"/>
  <c r="V9" i="8"/>
  <c r="G7" i="8"/>
  <c r="AI6" i="8"/>
  <c r="AI20" i="8" s="1"/>
  <c r="AC6" i="8"/>
  <c r="AC20" i="8" s="1"/>
  <c r="W6" i="8"/>
  <c r="W20" i="8" s="1"/>
  <c r="G6" i="8"/>
  <c r="G5" i="8"/>
  <c r="G4" i="8"/>
  <c r="G8" i="8" s="1"/>
  <c r="G9" i="8" s="1"/>
  <c r="R8" i="9" l="1"/>
  <c r="R6" i="9"/>
  <c r="Q8" i="9"/>
  <c r="R10" i="9"/>
  <c r="R14" i="9"/>
  <c r="R18" i="9"/>
  <c r="R22" i="9"/>
  <c r="R26" i="9"/>
  <c r="R28" i="9"/>
  <c r="R4" i="9"/>
  <c r="R12" i="9"/>
  <c r="R16" i="9"/>
  <c r="R20" i="9"/>
  <c r="R24" i="9"/>
  <c r="R27" i="9"/>
  <c r="E16" i="10"/>
  <c r="M11" i="10"/>
  <c r="I11" i="10"/>
  <c r="M15" i="10"/>
  <c r="M16" i="10" s="1"/>
  <c r="I15" i="10"/>
  <c r="I16" i="10" s="1"/>
  <c r="F621" i="9"/>
  <c r="R11" i="9"/>
  <c r="R13" i="9"/>
  <c r="R15" i="9"/>
  <c r="R17" i="9"/>
  <c r="R19" i="9"/>
  <c r="R21" i="9"/>
  <c r="R23" i="9"/>
  <c r="R25" i="9"/>
  <c r="R5" i="9"/>
  <c r="R7" i="9"/>
  <c r="R9" i="9"/>
  <c r="D621" i="9"/>
  <c r="G2" i="9"/>
  <c r="Q5" i="9"/>
  <c r="Q7" i="9"/>
  <c r="Q9" i="9"/>
  <c r="Q11" i="9"/>
  <c r="Q13" i="9"/>
  <c r="Q15" i="9"/>
  <c r="Q17" i="9"/>
  <c r="Q19" i="9"/>
  <c r="Q21" i="9"/>
  <c r="Q23" i="9"/>
  <c r="E621" i="9"/>
  <c r="E622" i="9" s="1"/>
  <c r="W89" i="8"/>
  <c r="W93" i="8" s="1"/>
  <c r="V89" i="8"/>
  <c r="H69" i="8"/>
  <c r="V10" i="8"/>
  <c r="V14" i="8" s="1"/>
  <c r="W25" i="8" s="1"/>
  <c r="AC91" i="8"/>
  <c r="AH25" i="8"/>
  <c r="H68" i="8"/>
  <c r="I68" i="8" s="1"/>
  <c r="H24" i="8"/>
  <c r="J23" i="8"/>
  <c r="L23" i="8"/>
  <c r="V93" i="8"/>
  <c r="AB91" i="8"/>
  <c r="U9" i="8"/>
  <c r="W9" i="8" s="1"/>
  <c r="AG9" i="8"/>
  <c r="AI9" i="8" s="1"/>
  <c r="AC89" i="8"/>
  <c r="W90" i="8"/>
  <c r="AB19" i="8"/>
  <c r="AC19" i="8" s="1"/>
  <c r="I23" i="8"/>
  <c r="AG95" i="8"/>
  <c r="AA95" i="8"/>
  <c r="U95" i="8"/>
  <c r="AH103" i="8"/>
  <c r="V103" i="8"/>
  <c r="V105" i="8" s="1"/>
  <c r="W105" i="8" s="1"/>
  <c r="AG114" i="8"/>
  <c r="AA114" i="8"/>
  <c r="U114" i="8"/>
  <c r="H37" i="8"/>
  <c r="AB23" i="8" s="1"/>
  <c r="AB25" i="8" s="1"/>
  <c r="I35" i="8"/>
  <c r="G35" i="8"/>
  <c r="I32" i="8"/>
  <c r="G32" i="8"/>
  <c r="AB89" i="8"/>
  <c r="AB98" i="8"/>
  <c r="AC98" i="8" s="1"/>
  <c r="AH105" i="8"/>
  <c r="V101" i="8" l="1"/>
  <c r="W101" i="8" s="1"/>
  <c r="V21" i="8"/>
  <c r="W21" i="8" s="1"/>
  <c r="V19" i="8"/>
  <c r="W19" i="8" s="1"/>
  <c r="V98" i="8"/>
  <c r="W98" i="8" s="1"/>
  <c r="G40" i="8"/>
  <c r="W95" i="8"/>
  <c r="W96" i="8" s="1"/>
  <c r="W108" i="8" s="1"/>
  <c r="W14" i="8"/>
  <c r="W16" i="8" s="1"/>
  <c r="W17" i="8" s="1"/>
  <c r="W27" i="8" s="1"/>
  <c r="J69" i="8"/>
  <c r="I69" i="8"/>
  <c r="W10" i="8"/>
  <c r="AH101" i="8"/>
  <c r="AH21" i="8"/>
  <c r="I40" i="8"/>
  <c r="AH19" i="8"/>
  <c r="AI19" i="8" s="1"/>
  <c r="AH98" i="8"/>
  <c r="AI98" i="8" s="1"/>
  <c r="AH89" i="8"/>
  <c r="AH10" i="8"/>
  <c r="H40" i="8"/>
  <c r="AB90" i="8"/>
  <c r="AC90" i="8" s="1"/>
  <c r="AC93" i="8" s="1"/>
  <c r="AC95" i="8" s="1"/>
  <c r="AC96" i="8" s="1"/>
  <c r="K24" i="8"/>
  <c r="AB11" i="8"/>
  <c r="I24" i="8"/>
  <c r="J24" i="8"/>
  <c r="L24" i="8" l="1"/>
  <c r="AH90" i="8"/>
  <c r="AI90" i="8" s="1"/>
  <c r="AH11" i="8"/>
  <c r="AI11" i="8" s="1"/>
  <c r="AB14" i="8"/>
  <c r="AC11" i="8"/>
  <c r="AC14" i="8" s="1"/>
  <c r="AC16" i="8" s="1"/>
  <c r="AC17" i="8" s="1"/>
  <c r="AI89" i="8"/>
  <c r="AI93" i="8" s="1"/>
  <c r="AI95" i="8" s="1"/>
  <c r="AI96" i="8" s="1"/>
  <c r="AH93" i="8"/>
  <c r="AI105" i="8" s="1"/>
  <c r="W32" i="8"/>
  <c r="W29" i="8"/>
  <c r="W112" i="8"/>
  <c r="W110" i="8"/>
  <c r="AI10" i="8"/>
  <c r="AI14" i="8" s="1"/>
  <c r="AI16" i="8" s="1"/>
  <c r="AI17" i="8" s="1"/>
  <c r="AB93" i="8"/>
  <c r="V117" i="8" l="1"/>
  <c r="W117" i="8" s="1"/>
  <c r="W118" i="8" s="1"/>
  <c r="W114" i="8"/>
  <c r="V37" i="8"/>
  <c r="W37" i="8" s="1"/>
  <c r="W38" i="8" s="1"/>
  <c r="W34" i="8"/>
  <c r="AC105" i="8"/>
  <c r="AC101" i="8"/>
  <c r="AC108" i="8" s="1"/>
  <c r="AH14" i="8"/>
  <c r="AI101" i="8"/>
  <c r="AI108" i="8" s="1"/>
  <c r="AC21" i="8"/>
  <c r="AC27" i="8" s="1"/>
  <c r="AC25" i="8"/>
  <c r="AI110" i="8" l="1"/>
  <c r="AI112" i="8" s="1"/>
  <c r="AC29" i="8"/>
  <c r="AC32" i="8" s="1"/>
  <c r="AC110" i="8"/>
  <c r="AC112" i="8" s="1"/>
  <c r="AI25" i="8"/>
  <c r="AI21" i="8"/>
  <c r="AI27" i="8" s="1"/>
  <c r="AC34" i="8" l="1"/>
  <c r="AB37" i="8"/>
  <c r="AC37" i="8" s="1"/>
  <c r="AC38" i="8" s="1"/>
  <c r="AB117" i="8"/>
  <c r="AC117" i="8" s="1"/>
  <c r="AC118" i="8" s="1"/>
  <c r="AC114" i="8"/>
  <c r="AH117" i="8"/>
  <c r="AI117" i="8" s="1"/>
  <c r="AI118" i="8" s="1"/>
  <c r="AI114" i="8"/>
  <c r="AI29" i="8"/>
  <c r="AI32" i="8" s="1"/>
  <c r="AI34" i="8" l="1"/>
  <c r="AH37" i="8"/>
  <c r="AI37" i="8" s="1"/>
  <c r="AI38" i="8" s="1"/>
  <c r="DY26" i="1" l="1"/>
  <c r="DS26" i="1"/>
  <c r="DD26" i="1"/>
  <c r="R62" i="1" l="1"/>
  <c r="CO31" i="1" l="1"/>
  <c r="CA31" i="1"/>
  <c r="BU31" i="1"/>
  <c r="BO32" i="1"/>
  <c r="AZ32" i="1"/>
  <c r="AT35" i="1"/>
  <c r="AF29" i="1"/>
  <c r="R26" i="1"/>
  <c r="L26" i="1"/>
  <c r="R40" i="1" l="1"/>
  <c r="L44" i="1" l="1"/>
  <c r="CO37" i="1"/>
  <c r="CA38" i="1"/>
  <c r="BU38" i="1"/>
  <c r="BO40" i="1"/>
  <c r="AZ38" i="1"/>
  <c r="AT40" i="1"/>
  <c r="AF36" i="1"/>
  <c r="S31" i="1"/>
  <c r="L43" i="1"/>
  <c r="L37" i="1"/>
  <c r="L45" i="1" l="1"/>
  <c r="L63" i="4" l="1"/>
  <c r="P40" i="1" l="1"/>
  <c r="BN25" i="6"/>
  <c r="BM25" i="6"/>
  <c r="BL25" i="6"/>
  <c r="BK25" i="6"/>
  <c r="BJ25" i="6"/>
  <c r="BI25" i="6"/>
  <c r="BH25" i="6"/>
  <c r="BG25" i="6"/>
  <c r="BP25" i="6" s="1"/>
  <c r="BN24" i="6"/>
  <c r="BM24" i="6"/>
  <c r="BL24" i="6"/>
  <c r="BK24" i="6"/>
  <c r="BJ24" i="6"/>
  <c r="BI24" i="6"/>
  <c r="BH24" i="6"/>
  <c r="BG24" i="6"/>
  <c r="BP21" i="6"/>
  <c r="BG21" i="6"/>
  <c r="BG20" i="6"/>
  <c r="BP27" i="6" l="1"/>
  <c r="J72" i="4"/>
  <c r="F72" i="4"/>
  <c r="J71" i="4"/>
  <c r="F71" i="4"/>
  <c r="J70" i="4"/>
  <c r="F70" i="4"/>
  <c r="J69" i="4"/>
  <c r="F69" i="4"/>
  <c r="J68" i="4"/>
  <c r="F68" i="4"/>
  <c r="J67" i="4"/>
  <c r="F67" i="4"/>
  <c r="J62" i="4"/>
  <c r="J59" i="4"/>
  <c r="H59" i="4"/>
  <c r="J58" i="4"/>
  <c r="H58" i="4"/>
  <c r="J57" i="4"/>
  <c r="H57" i="4"/>
  <c r="J55" i="4"/>
  <c r="K55" i="4" s="1"/>
  <c r="L55" i="4" s="1"/>
  <c r="J53" i="4"/>
  <c r="H53" i="4"/>
  <c r="J52" i="4"/>
  <c r="H52" i="4"/>
  <c r="J50" i="4"/>
  <c r="H50" i="4"/>
  <c r="J49" i="4"/>
  <c r="H49" i="4"/>
  <c r="J47" i="4"/>
  <c r="H47" i="4"/>
  <c r="L46" i="4"/>
  <c r="J45" i="4"/>
  <c r="H45" i="4"/>
  <c r="L44" i="4"/>
  <c r="J43" i="4"/>
  <c r="H43" i="4"/>
  <c r="J41" i="4"/>
  <c r="H41" i="4"/>
  <c r="J39" i="4"/>
  <c r="H39" i="4"/>
  <c r="J38" i="4"/>
  <c r="H38" i="4"/>
  <c r="J37" i="4"/>
  <c r="H37" i="4"/>
  <c r="J36" i="4"/>
  <c r="H36" i="4"/>
  <c r="J33" i="4"/>
  <c r="H33" i="4"/>
  <c r="J32" i="4"/>
  <c r="H32" i="4"/>
  <c r="J31" i="4"/>
  <c r="H31" i="4"/>
  <c r="J30" i="4"/>
  <c r="H30" i="4"/>
  <c r="J28" i="4"/>
  <c r="H28" i="4"/>
  <c r="J27" i="4"/>
  <c r="H27" i="4"/>
  <c r="J26" i="4"/>
  <c r="H26" i="4"/>
  <c r="J24" i="4"/>
  <c r="H24" i="4"/>
  <c r="J23" i="4"/>
  <c r="H23" i="4"/>
  <c r="J22" i="4"/>
  <c r="H22" i="4"/>
  <c r="J20" i="4"/>
  <c r="H20" i="4"/>
  <c r="J19" i="4"/>
  <c r="H19" i="4"/>
  <c r="J18" i="4"/>
  <c r="H18" i="4"/>
  <c r="J16" i="4"/>
  <c r="H16" i="4"/>
  <c r="J15" i="4"/>
  <c r="H15" i="4"/>
  <c r="J14" i="4"/>
  <c r="H14" i="4"/>
  <c r="J12" i="4"/>
  <c r="H12" i="4"/>
  <c r="J11" i="4"/>
  <c r="H11" i="4"/>
  <c r="J9" i="4"/>
  <c r="H9" i="4"/>
  <c r="J7" i="4"/>
  <c r="H7" i="4"/>
  <c r="J5" i="4"/>
  <c r="H5" i="4"/>
  <c r="J4" i="4"/>
  <c r="H4" i="4"/>
  <c r="K62" i="4" l="1"/>
  <c r="L62" i="4" s="1"/>
  <c r="K45" i="4"/>
  <c r="L45" i="4" s="1"/>
  <c r="K57" i="4"/>
  <c r="L57" i="4" s="1"/>
  <c r="K58" i="4"/>
  <c r="L58" i="4" s="1"/>
  <c r="K59" i="4"/>
  <c r="L59" i="4" s="1"/>
  <c r="K4" i="4"/>
  <c r="L4" i="4" s="1"/>
  <c r="K5" i="4"/>
  <c r="L5" i="4" s="1"/>
  <c r="K7" i="4"/>
  <c r="L7" i="4" s="1"/>
  <c r="K9" i="4"/>
  <c r="L9" i="4" s="1"/>
  <c r="K11" i="4"/>
  <c r="L11" i="4" s="1"/>
  <c r="K12" i="4"/>
  <c r="L12" i="4" s="1"/>
  <c r="K14" i="4"/>
  <c r="L14" i="4" s="1"/>
  <c r="K15" i="4"/>
  <c r="L15" i="4" s="1"/>
  <c r="K16" i="4"/>
  <c r="L16" i="4" s="1"/>
  <c r="K18" i="4"/>
  <c r="L18" i="4" s="1"/>
  <c r="K19" i="4"/>
  <c r="L19" i="4" s="1"/>
  <c r="K20" i="4"/>
  <c r="L20" i="4" s="1"/>
  <c r="K22" i="4"/>
  <c r="L22" i="4" s="1"/>
  <c r="K23" i="4"/>
  <c r="L23" i="4" s="1"/>
  <c r="K24" i="4"/>
  <c r="L24" i="4" s="1"/>
  <c r="K26" i="4"/>
  <c r="L26" i="4" s="1"/>
  <c r="K27" i="4"/>
  <c r="L27" i="4" s="1"/>
  <c r="K28" i="4"/>
  <c r="L28" i="4" s="1"/>
  <c r="K30" i="4"/>
  <c r="L30" i="4" s="1"/>
  <c r="K31" i="4"/>
  <c r="L31" i="4" s="1"/>
  <c r="K32" i="4"/>
  <c r="L32" i="4" s="1"/>
  <c r="K33" i="4"/>
  <c r="L33" i="4" s="1"/>
  <c r="K36" i="4"/>
  <c r="L36" i="4" s="1"/>
  <c r="K37" i="4"/>
  <c r="L37" i="4" s="1"/>
  <c r="K38" i="4"/>
  <c r="L38" i="4" s="1"/>
  <c r="K39" i="4"/>
  <c r="L39" i="4" s="1"/>
  <c r="K41" i="4"/>
  <c r="L41" i="4" s="1"/>
  <c r="K43" i="4"/>
  <c r="L43" i="4" s="1"/>
  <c r="K47" i="4"/>
  <c r="L47" i="4" s="1"/>
  <c r="K49" i="4"/>
  <c r="L49" i="4" s="1"/>
  <c r="K50" i="4"/>
  <c r="L50" i="4" s="1"/>
  <c r="K52" i="4"/>
  <c r="L52" i="4" s="1"/>
  <c r="K53" i="4"/>
  <c r="L53" i="4" s="1"/>
  <c r="K67" i="4"/>
  <c r="L67" i="4" s="1"/>
  <c r="K68" i="4"/>
  <c r="L68" i="4" s="1"/>
  <c r="L69" i="4"/>
  <c r="K70" i="4"/>
  <c r="L70" i="4" s="1"/>
  <c r="K72" i="4"/>
  <c r="L72" i="4" s="1"/>
  <c r="K60" i="4"/>
  <c r="L60" i="4" s="1"/>
  <c r="C57" i="2" l="1"/>
  <c r="AP35" i="2" s="1"/>
  <c r="AA43" i="2"/>
  <c r="W41" i="2"/>
  <c r="H40" i="2"/>
  <c r="AA39" i="2"/>
  <c r="Q39" i="2"/>
  <c r="H39" i="2"/>
  <c r="AP21" i="2" s="1"/>
  <c r="G39" i="2"/>
  <c r="F39" i="2"/>
  <c r="AD16" i="2" s="1"/>
  <c r="F42" i="2" s="1"/>
  <c r="AG16" i="2" s="1"/>
  <c r="L38" i="2"/>
  <c r="R39" i="2" s="1"/>
  <c r="X41" i="2" s="1"/>
  <c r="AD35" i="2" s="1"/>
  <c r="AJ32" i="2" s="1"/>
  <c r="AP40" i="2" s="1"/>
  <c r="H38" i="2"/>
  <c r="AP28" i="2" s="1"/>
  <c r="H45" i="2" s="1"/>
  <c r="AS28" i="2" s="1"/>
  <c r="H37" i="2"/>
  <c r="E37" i="2"/>
  <c r="X21" i="2" s="1"/>
  <c r="E44" i="2" s="1"/>
  <c r="AA21" i="2" s="1"/>
  <c r="D37" i="2"/>
  <c r="C37" i="2"/>
  <c r="L23" i="2" s="1"/>
  <c r="C44" i="2" s="1"/>
  <c r="O23" i="2" s="1"/>
  <c r="AC35" i="2"/>
  <c r="R34" i="2"/>
  <c r="AP32" i="2"/>
  <c r="AI32" i="2"/>
  <c r="AO40" i="2" s="1"/>
  <c r="X32" i="2"/>
  <c r="R30" i="2"/>
  <c r="L29" i="2"/>
  <c r="AA28" i="2"/>
  <c r="AP26" i="2"/>
  <c r="H43" i="2" s="1"/>
  <c r="AS26" i="2" s="1"/>
  <c r="AD26" i="2"/>
  <c r="AA26" i="2"/>
  <c r="R26" i="2"/>
  <c r="D45" i="2" s="1"/>
  <c r="U26" i="2" s="1"/>
  <c r="AJ25" i="2"/>
  <c r="AA25" i="2"/>
  <c r="L25" i="2"/>
  <c r="C45" i="2" s="1"/>
  <c r="O25" i="2" s="1"/>
  <c r="AP24" i="2"/>
  <c r="H47" i="2" s="1"/>
  <c r="AS24" i="2" s="1"/>
  <c r="AA24" i="2"/>
  <c r="R24" i="2"/>
  <c r="D44" i="2" s="1"/>
  <c r="U24" i="2" s="1"/>
  <c r="AS23" i="2"/>
  <c r="AA23" i="2"/>
  <c r="U23" i="2"/>
  <c r="U22" i="2"/>
  <c r="O22" i="2"/>
  <c r="AM21" i="2"/>
  <c r="U21" i="2"/>
  <c r="O21" i="2"/>
  <c r="AM20" i="2"/>
  <c r="AA20" i="2"/>
  <c r="U20" i="2"/>
  <c r="AM19" i="2"/>
  <c r="AD19" i="2"/>
  <c r="AA19" i="2"/>
  <c r="AQ18" i="2"/>
  <c r="AM18" i="2"/>
  <c r="AA18" i="2"/>
  <c r="AA17" i="2"/>
  <c r="M17" i="2"/>
  <c r="AJ16" i="2"/>
  <c r="G42" i="2" s="1"/>
  <c r="AM16" i="2" s="1"/>
  <c r="S16" i="2"/>
  <c r="AQ15" i="2"/>
  <c r="AP15" i="2"/>
  <c r="AS15" i="2" s="1"/>
  <c r="AQ14" i="2"/>
  <c r="AP14" i="2"/>
  <c r="AS14" i="2" s="1"/>
  <c r="Y14" i="2"/>
  <c r="AQ13" i="2"/>
  <c r="AP13" i="2"/>
  <c r="AS13" i="2" s="1"/>
  <c r="AK13" i="2"/>
  <c r="AE13" i="2"/>
  <c r="M13" i="2"/>
  <c r="L13" i="2"/>
  <c r="O13" i="2" s="1"/>
  <c r="AQ12" i="2"/>
  <c r="AP12" i="2"/>
  <c r="AS12" i="2" s="1"/>
  <c r="S12" i="2"/>
  <c r="R12" i="2"/>
  <c r="U12" i="2" s="1"/>
  <c r="M12" i="2"/>
  <c r="L12" i="2"/>
  <c r="O12" i="2" s="1"/>
  <c r="AQ11" i="2"/>
  <c r="AP11" i="2"/>
  <c r="AS11" i="2" s="1"/>
  <c r="Y11" i="2"/>
  <c r="X11" i="2"/>
  <c r="AA11" i="2" s="1"/>
  <c r="S11" i="2"/>
  <c r="R11" i="2"/>
  <c r="U11" i="2" s="1"/>
  <c r="M11" i="2"/>
  <c r="L11" i="2"/>
  <c r="O11" i="2" s="1"/>
  <c r="AQ10" i="2"/>
  <c r="AP10" i="2"/>
  <c r="AS10" i="2" s="1"/>
  <c r="AE10" i="2"/>
  <c r="AD10" i="2"/>
  <c r="AG10" i="2" s="1"/>
  <c r="Y10" i="2"/>
  <c r="X10" i="2"/>
  <c r="AA10" i="2" s="1"/>
  <c r="S10" i="2"/>
  <c r="R10" i="2"/>
  <c r="U10" i="2" s="1"/>
  <c r="M10" i="2"/>
  <c r="L10" i="2"/>
  <c r="O10" i="2" s="1"/>
  <c r="AQ9" i="2"/>
  <c r="AP9" i="2"/>
  <c r="AS9" i="2" s="1"/>
  <c r="AK9" i="2"/>
  <c r="AJ9" i="2"/>
  <c r="AM9" i="2" s="1"/>
  <c r="AE9" i="2"/>
  <c r="AD9" i="2"/>
  <c r="AG9" i="2" s="1"/>
  <c r="Y9" i="2"/>
  <c r="X9" i="2"/>
  <c r="AA9" i="2" s="1"/>
  <c r="S9" i="2"/>
  <c r="R9" i="2"/>
  <c r="U9" i="2" s="1"/>
  <c r="M9" i="2"/>
  <c r="L9" i="2"/>
  <c r="O9" i="2" s="1"/>
  <c r="AQ8" i="2"/>
  <c r="AP8" i="2"/>
  <c r="AS8" i="2" s="1"/>
  <c r="AK8" i="2"/>
  <c r="AJ8" i="2"/>
  <c r="AM8" i="2" s="1"/>
  <c r="AE8" i="2"/>
  <c r="AD8" i="2"/>
  <c r="AG8" i="2" s="1"/>
  <c r="Y8" i="2"/>
  <c r="X8" i="2"/>
  <c r="AA8" i="2" s="1"/>
  <c r="S8" i="2"/>
  <c r="R8" i="2"/>
  <c r="U8" i="2" s="1"/>
  <c r="M8" i="2"/>
  <c r="L8" i="2"/>
  <c r="O8" i="2" s="1"/>
  <c r="AQ7" i="2"/>
  <c r="AQ16" i="2" s="1"/>
  <c r="H42" i="2" s="1"/>
  <c r="AS21" i="2" s="1"/>
  <c r="AP7" i="2"/>
  <c r="AS7" i="2" s="1"/>
  <c r="AS16" i="2" s="1"/>
  <c r="AK7" i="2"/>
  <c r="AK11" i="2" s="1"/>
  <c r="AJ7" i="2"/>
  <c r="AM7" i="2" s="1"/>
  <c r="AM11" i="2" s="1"/>
  <c r="AE7" i="2"/>
  <c r="AE11" i="2" s="1"/>
  <c r="AD7" i="2"/>
  <c r="AG7" i="2" s="1"/>
  <c r="AG11" i="2" s="1"/>
  <c r="Y7" i="2"/>
  <c r="Y12" i="2" s="1"/>
  <c r="X7" i="2"/>
  <c r="AA7" i="2" s="1"/>
  <c r="AA12" i="2" s="1"/>
  <c r="S7" i="2"/>
  <c r="S13" i="2" s="1"/>
  <c r="R7" i="2"/>
  <c r="U7" i="2" s="1"/>
  <c r="U13" i="2" s="1"/>
  <c r="M7" i="2"/>
  <c r="M14" i="2" s="1"/>
  <c r="L7" i="2"/>
  <c r="O7" i="2" s="1"/>
  <c r="O14" i="2" s="1"/>
  <c r="O17" i="2" s="1"/>
  <c r="O18" i="2" s="1"/>
  <c r="O27" i="2" l="1"/>
  <c r="O29" i="2" s="1"/>
  <c r="O31" i="2" s="1"/>
  <c r="AD29" i="2"/>
  <c r="AJ28" i="2"/>
  <c r="L33" i="2"/>
  <c r="X35" i="2"/>
  <c r="U16" i="2"/>
  <c r="U17" i="2" s="1"/>
  <c r="U28" i="2" s="1"/>
  <c r="F43" i="2"/>
  <c r="AG19" i="2" s="1"/>
  <c r="AG13" i="2"/>
  <c r="AG14" i="2" s="1"/>
  <c r="AG23" i="2" s="1"/>
  <c r="AM13" i="2"/>
  <c r="AM14" i="2" s="1"/>
  <c r="AM23" i="2" s="1"/>
  <c r="AA14" i="2"/>
  <c r="AA15" i="2" s="1"/>
  <c r="AA30" i="2" s="1"/>
  <c r="AS18" i="2"/>
  <c r="AS19" i="2" s="1"/>
  <c r="AS30" i="2" s="1"/>
  <c r="AA32" i="2" l="1"/>
  <c r="AA34" i="2" s="1"/>
  <c r="AG26" i="2"/>
  <c r="AG28" i="2" s="1"/>
  <c r="U30" i="2"/>
  <c r="U32" i="2" s="1"/>
  <c r="AS32" i="2"/>
  <c r="AS34" i="2" s="1"/>
  <c r="AM25" i="2"/>
  <c r="AM27" i="2" s="1"/>
  <c r="O33" i="2"/>
  <c r="O35" i="2" s="1"/>
  <c r="O37" i="2" s="1"/>
  <c r="O38" i="2" s="1"/>
  <c r="O39" i="2" s="1"/>
  <c r="CO36" i="1"/>
  <c r="CA37" i="1"/>
  <c r="BU37" i="1"/>
  <c r="BO39" i="1"/>
  <c r="AZ37" i="1"/>
  <c r="AT39" i="1"/>
  <c r="AF35" i="1"/>
  <c r="Q43" i="1"/>
  <c r="S30" i="1"/>
  <c r="L42" i="1"/>
  <c r="L36" i="1"/>
  <c r="AM28" i="2" l="1"/>
  <c r="AM30" i="2" s="1"/>
  <c r="AM31" i="2" s="1"/>
  <c r="AM32" i="2" s="1"/>
  <c r="AM33" i="2" s="1"/>
  <c r="AS35" i="2"/>
  <c r="AS37" i="2" s="1"/>
  <c r="AS39" i="2" s="1"/>
  <c r="AS40" i="2" s="1"/>
  <c r="AS41" i="2" s="1"/>
  <c r="U34" i="2"/>
  <c r="U36" i="2" s="1"/>
  <c r="U38" i="2" s="1"/>
  <c r="U39" i="2" s="1"/>
  <c r="U40" i="2" s="1"/>
  <c r="AG29" i="2"/>
  <c r="AG31" i="2" s="1"/>
  <c r="AG33" i="2" s="1"/>
  <c r="AG35" i="2" s="1"/>
  <c r="AG36" i="2" s="1"/>
  <c r="AA35" i="2"/>
  <c r="AA37" i="2" s="1"/>
  <c r="AA38" i="2" s="1"/>
  <c r="AA41" i="2" s="1"/>
  <c r="AA40" i="2" s="1"/>
  <c r="AA44" i="2" s="1"/>
  <c r="AA45" i="2" s="1"/>
  <c r="AA46" i="2" s="1"/>
  <c r="R54" i="1"/>
  <c r="AS44" i="1"/>
  <c r="CN42" i="1"/>
  <c r="R49" i="1"/>
  <c r="CN41" i="1"/>
  <c r="BZ43" i="1"/>
  <c r="AY38" i="1"/>
  <c r="AS40" i="1"/>
  <c r="AS41" i="1" s="1"/>
  <c r="AS45" i="1" s="1"/>
  <c r="K45" i="1"/>
  <c r="BZ42" i="1"/>
  <c r="AE41" i="1"/>
  <c r="K31" i="1"/>
  <c r="AE40" i="1"/>
  <c r="CN37" i="1"/>
  <c r="CO38" i="1" s="1"/>
  <c r="BZ38" i="1"/>
  <c r="CA39" i="1" s="1"/>
  <c r="AE36" i="1"/>
  <c r="AF37" i="1" s="1"/>
  <c r="R31" i="1"/>
  <c r="S32" i="1" s="1"/>
  <c r="K37" i="1"/>
  <c r="L38" i="1" s="1"/>
  <c r="AZ25" i="1"/>
  <c r="AT28" i="1"/>
  <c r="BO27" i="1"/>
  <c r="CO26" i="1"/>
  <c r="BU26" i="1"/>
  <c r="AF25" i="1"/>
  <c r="BH24" i="1"/>
  <c r="BI23" i="1"/>
  <c r="BV21" i="1" s="1"/>
  <c r="BH23" i="1"/>
  <c r="BV20" i="1" s="1"/>
  <c r="D23" i="1"/>
  <c r="B23" i="1"/>
  <c r="DY22" i="1"/>
  <c r="DS22" i="1"/>
  <c r="DD22" i="1"/>
  <c r="CP22" i="1"/>
  <c r="BA19" i="1"/>
  <c r="R22" i="1"/>
  <c r="L22" i="1"/>
  <c r="BP20" i="1"/>
  <c r="AU20" i="1"/>
  <c r="AG20" i="1"/>
  <c r="DZ19" i="1"/>
  <c r="DE19" i="1"/>
  <c r="CO19" i="1"/>
  <c r="CG19" i="1"/>
  <c r="AZ16" i="1"/>
  <c r="DZ18" i="1"/>
  <c r="DT18" i="1"/>
  <c r="DE18" i="1"/>
  <c r="DF18" i="1" s="1"/>
  <c r="CG18" i="1"/>
  <c r="CP10" i="1" s="1"/>
  <c r="BH18" i="1"/>
  <c r="DZ17" i="1"/>
  <c r="EA17" i="1" s="1"/>
  <c r="DT17" i="1"/>
  <c r="DU17" i="1" s="1"/>
  <c r="BU17" i="1"/>
  <c r="BO17" i="1"/>
  <c r="BH17" i="1"/>
  <c r="AT17" i="1"/>
  <c r="AF17" i="1"/>
  <c r="S17" i="1"/>
  <c r="DD16" i="1"/>
  <c r="CG16" i="1"/>
  <c r="Y16" i="1"/>
  <c r="AG11" i="1" s="1"/>
  <c r="M16" i="1"/>
  <c r="DY15" i="1"/>
  <c r="DS15" i="1"/>
  <c r="CG15" i="1"/>
  <c r="D15" i="1"/>
  <c r="E15" i="1" s="1"/>
  <c r="S10" i="1" s="1"/>
  <c r="CP14" i="1"/>
  <c r="CO14" i="1"/>
  <c r="BA11" i="1"/>
  <c r="AZ11" i="1"/>
  <c r="Y14" i="1"/>
  <c r="AG9" i="1" s="1"/>
  <c r="D14" i="1"/>
  <c r="E14" i="1" s="1"/>
  <c r="S9" i="1" s="1"/>
  <c r="DE13" i="1"/>
  <c r="DD13" i="1"/>
  <c r="CP13" i="1"/>
  <c r="CO13" i="1"/>
  <c r="CB13" i="1"/>
  <c r="BA10" i="1"/>
  <c r="AL13" i="1"/>
  <c r="Y13" i="1"/>
  <c r="R13" i="1"/>
  <c r="L13" i="1"/>
  <c r="E13" i="1"/>
  <c r="D13" i="1"/>
  <c r="DZ12" i="1"/>
  <c r="DY12" i="1"/>
  <c r="DT12" i="1"/>
  <c r="DS12" i="1"/>
  <c r="DE12" i="1"/>
  <c r="CP12" i="1"/>
  <c r="CO12" i="1"/>
  <c r="CB12" i="1"/>
  <c r="BV12" i="1"/>
  <c r="BU12" i="1"/>
  <c r="BP12" i="1"/>
  <c r="BO12" i="1"/>
  <c r="BA9" i="1"/>
  <c r="AZ9" i="1"/>
  <c r="AM12" i="1"/>
  <c r="AL12" i="1"/>
  <c r="AG12" i="1"/>
  <c r="AF12" i="1"/>
  <c r="Y12" i="1"/>
  <c r="E12" i="1"/>
  <c r="D12" i="1"/>
  <c r="M7" i="1" s="1"/>
  <c r="DZ11" i="1"/>
  <c r="DT11" i="1"/>
  <c r="DE11" i="1"/>
  <c r="DD11" i="1"/>
  <c r="CP11" i="1"/>
  <c r="CB11" i="1"/>
  <c r="CA11" i="1"/>
  <c r="BV11" i="1"/>
  <c r="BP11" i="1"/>
  <c r="BA8" i="1"/>
  <c r="AZ8" i="1"/>
  <c r="AU11" i="1"/>
  <c r="E11" i="1"/>
  <c r="D11" i="1"/>
  <c r="DZ10" i="1"/>
  <c r="DY10" i="1"/>
  <c r="DT10" i="1"/>
  <c r="DS10" i="1"/>
  <c r="DE10" i="1"/>
  <c r="DD10" i="1"/>
  <c r="CV10" i="1"/>
  <c r="DD12" i="1" s="1"/>
  <c r="CO10" i="1"/>
  <c r="CB10" i="1"/>
  <c r="CA10" i="1"/>
  <c r="BV10" i="1"/>
  <c r="BP10" i="1"/>
  <c r="BA7" i="1"/>
  <c r="AU10" i="1"/>
  <c r="AT10" i="1"/>
  <c r="AG10" i="1"/>
  <c r="AF10" i="1"/>
  <c r="M10" i="1"/>
  <c r="DZ9" i="1"/>
  <c r="DY9" i="1"/>
  <c r="DT9" i="1"/>
  <c r="DS9" i="1"/>
  <c r="DK9" i="1"/>
  <c r="DY11" i="1" s="1"/>
  <c r="EA11" i="1" s="1"/>
  <c r="DE9" i="1"/>
  <c r="CP9" i="1"/>
  <c r="CO9" i="1"/>
  <c r="CG9" i="1"/>
  <c r="CO11" i="1" s="1"/>
  <c r="CQ11" i="1" s="1"/>
  <c r="CB9" i="1"/>
  <c r="BV9" i="1"/>
  <c r="BU9" i="1"/>
  <c r="BP9" i="1"/>
  <c r="BO9" i="1"/>
  <c r="BH9" i="1"/>
  <c r="CA12" i="1" s="1"/>
  <c r="CC12" i="1" s="1"/>
  <c r="BA6" i="1"/>
  <c r="AZ6" i="1"/>
  <c r="AU9" i="1"/>
  <c r="AT9" i="1"/>
  <c r="AM9" i="1"/>
  <c r="AT11" i="1" s="1"/>
  <c r="AV11" i="1" s="1"/>
  <c r="AF9" i="1"/>
  <c r="Y9" i="1"/>
  <c r="AF11" i="1" s="1"/>
  <c r="R9" i="1"/>
  <c r="M9" i="1"/>
  <c r="L9" i="1"/>
  <c r="DZ8" i="1"/>
  <c r="DT8" i="1"/>
  <c r="DE8" i="1"/>
  <c r="DD8" i="1"/>
  <c r="CP8" i="1"/>
  <c r="CB8" i="1"/>
  <c r="CA8" i="1"/>
  <c r="BV8" i="1"/>
  <c r="BU8" i="1"/>
  <c r="BP8" i="1"/>
  <c r="BO8" i="1"/>
  <c r="AU8" i="1"/>
  <c r="AG8" i="1"/>
  <c r="S8" i="1"/>
  <c r="R8" i="1"/>
  <c r="M8" i="1"/>
  <c r="L8" i="1"/>
  <c r="D8" i="1"/>
  <c r="L10" i="1" s="1"/>
  <c r="DZ7" i="1"/>
  <c r="DY7" i="1"/>
  <c r="DT7" i="1"/>
  <c r="DS7" i="1"/>
  <c r="CV7" i="1"/>
  <c r="DD9" i="1" s="1"/>
  <c r="CP7" i="1"/>
  <c r="CO7" i="1"/>
  <c r="BV7" i="1"/>
  <c r="BP7" i="1"/>
  <c r="AU7" i="1"/>
  <c r="AT7" i="1"/>
  <c r="AG7" i="1"/>
  <c r="AF7" i="1"/>
  <c r="S7" i="1"/>
  <c r="DK6" i="1"/>
  <c r="DY8" i="1" s="1"/>
  <c r="CG6" i="1"/>
  <c r="CO8" i="1" s="1"/>
  <c r="BH6" i="1"/>
  <c r="BU7" i="1" s="1"/>
  <c r="BB3" i="1"/>
  <c r="AM6" i="1"/>
  <c r="AZ7" i="1" s="1"/>
  <c r="BB7" i="1" s="1"/>
  <c r="Y6" i="1"/>
  <c r="AF8" i="1" s="1"/>
  <c r="S6" i="1"/>
  <c r="R6" i="1"/>
  <c r="M6" i="1"/>
  <c r="L6" i="1"/>
  <c r="EA5" i="1"/>
  <c r="EA18" i="1" s="1"/>
  <c r="DU5" i="1"/>
  <c r="DF5" i="1"/>
  <c r="CC5" i="1"/>
  <c r="CC21" i="1" s="1"/>
  <c r="BH5" i="1"/>
  <c r="CA13" i="1" s="1"/>
  <c r="CC13" i="1" s="1"/>
  <c r="D5" i="1"/>
  <c r="L7" i="1" s="1"/>
  <c r="CQ4" i="1"/>
  <c r="BW4" i="1"/>
  <c r="BQ4" i="1"/>
  <c r="AV4" i="1"/>
  <c r="AH4" i="1"/>
  <c r="AH20" i="1" s="1"/>
  <c r="T3" i="1"/>
  <c r="T17" i="1" s="1"/>
  <c r="N3" i="1"/>
  <c r="N16" i="1" s="1"/>
  <c r="CO42" i="1" l="1"/>
  <c r="CA43" i="1"/>
  <c r="AZ43" i="1"/>
  <c r="AF41" i="1"/>
  <c r="P43" i="1"/>
  <c r="R53" i="1"/>
  <c r="R55" i="1" s="1"/>
  <c r="L71" i="4"/>
  <c r="AH8" i="1"/>
  <c r="CQ8" i="1"/>
  <c r="AU13" i="1"/>
  <c r="N10" i="1"/>
  <c r="DF12" i="1"/>
  <c r="BW7" i="1"/>
  <c r="AV20" i="1"/>
  <c r="N7" i="1"/>
  <c r="DU18" i="1"/>
  <c r="BB19" i="1"/>
  <c r="AH7" i="1"/>
  <c r="AV7" i="1"/>
  <c r="BP13" i="1"/>
  <c r="CQ7" i="1"/>
  <c r="DF9" i="1"/>
  <c r="DT13" i="1"/>
  <c r="DZ13" i="1"/>
  <c r="DE14" i="1"/>
  <c r="AH11" i="1"/>
  <c r="N8" i="1"/>
  <c r="T8" i="1"/>
  <c r="AV9" i="1"/>
  <c r="BB6" i="1"/>
  <c r="D16" i="1"/>
  <c r="EA9" i="1"/>
  <c r="AH10" i="1"/>
  <c r="AV10" i="1"/>
  <c r="DF10" i="1"/>
  <c r="EA10" i="1"/>
  <c r="BB8" i="1"/>
  <c r="CC11" i="1"/>
  <c r="AH12" i="1"/>
  <c r="BB9" i="1"/>
  <c r="EA8" i="1"/>
  <c r="BV13" i="1"/>
  <c r="CB14" i="1"/>
  <c r="AE42" i="1"/>
  <c r="BW21" i="1"/>
  <c r="M11" i="1"/>
  <c r="AG13" i="1"/>
  <c r="CP15" i="1"/>
  <c r="DF8" i="1"/>
  <c r="N9" i="1"/>
  <c r="BA12" i="1"/>
  <c r="BQ12" i="1"/>
  <c r="BW12" i="1"/>
  <c r="EA12" i="1"/>
  <c r="CQ13" i="1"/>
  <c r="DF13" i="1"/>
  <c r="CN43" i="1"/>
  <c r="AS46" i="1"/>
  <c r="N6" i="1"/>
  <c r="T6" i="1"/>
  <c r="EA7" i="1"/>
  <c r="BQ8" i="1"/>
  <c r="BW8" i="1"/>
  <c r="CC8" i="1"/>
  <c r="AH9" i="1"/>
  <c r="BQ9" i="1"/>
  <c r="BW9" i="1"/>
  <c r="CQ9" i="1"/>
  <c r="DU9" i="1"/>
  <c r="CC10" i="1"/>
  <c r="CQ10" i="1"/>
  <c r="DU10" i="1"/>
  <c r="E16" i="1"/>
  <c r="DF11" i="1"/>
  <c r="CQ12" i="1"/>
  <c r="DU12" i="1"/>
  <c r="BB11" i="1"/>
  <c r="CQ14" i="1"/>
  <c r="S11" i="1"/>
  <c r="R7" i="1"/>
  <c r="T7" i="1" s="1"/>
  <c r="AH13" i="1"/>
  <c r="AH17" i="1" s="1"/>
  <c r="AH18" i="1" s="1"/>
  <c r="AH23" i="1" s="1"/>
  <c r="AH24" i="1" s="1"/>
  <c r="AH25" i="1" s="1"/>
  <c r="T9" i="1"/>
  <c r="BO7" i="1"/>
  <c r="BQ7" i="1" s="1"/>
  <c r="DU7" i="1"/>
  <c r="AT8" i="1"/>
  <c r="AV8" i="1" s="1"/>
  <c r="DS8" i="1"/>
  <c r="DU8" i="1" s="1"/>
  <c r="CA9" i="1"/>
  <c r="CC9" i="1" s="1"/>
  <c r="R10" i="1"/>
  <c r="T10" i="1" s="1"/>
  <c r="BO10" i="1"/>
  <c r="BQ10" i="1" s="1"/>
  <c r="BU11" i="1"/>
  <c r="BW11" i="1" s="1"/>
  <c r="DS11" i="1"/>
  <c r="DU11" i="1" s="1"/>
  <c r="AZ10" i="1"/>
  <c r="BB10" i="1" s="1"/>
  <c r="EA19" i="1"/>
  <c r="BW20" i="1"/>
  <c r="R43" i="1"/>
  <c r="BU10" i="1"/>
  <c r="BW10" i="1" s="1"/>
  <c r="BO11" i="1"/>
  <c r="BQ11" i="1" s="1"/>
  <c r="BN45" i="1"/>
  <c r="BN44" i="1" s="1"/>
  <c r="BT39" i="1"/>
  <c r="BN41" i="1"/>
  <c r="BN40" i="1" s="1"/>
  <c r="BO41" i="1" s="1"/>
  <c r="DF19" i="1"/>
  <c r="BQ20" i="1"/>
  <c r="CQ22" i="1"/>
  <c r="AT41" i="1"/>
  <c r="L32" i="1" l="1"/>
  <c r="BO45" i="1"/>
  <c r="AT45" i="1"/>
  <c r="R61" i="1"/>
  <c r="AV13" i="1"/>
  <c r="AV17" i="1" s="1"/>
  <c r="AV18" i="1" s="1"/>
  <c r="AV23" i="1" s="1"/>
  <c r="AV26" i="1" s="1"/>
  <c r="AV28" i="1" s="1"/>
  <c r="N11" i="1"/>
  <c r="N13" i="1" s="1"/>
  <c r="N14" i="1" s="1"/>
  <c r="N18" i="1" s="1"/>
  <c r="N20" i="1" s="1"/>
  <c r="M24" i="1" s="1"/>
  <c r="N24" i="1" s="1"/>
  <c r="N25" i="1" s="1"/>
  <c r="N26" i="1" s="1"/>
  <c r="CQ15" i="1"/>
  <c r="CQ19" i="1" s="1"/>
  <c r="CQ20" i="1" s="1"/>
  <c r="CQ24" i="1" s="1"/>
  <c r="CQ25" i="1" s="1"/>
  <c r="AG27" i="1"/>
  <c r="AH27" i="1" s="1"/>
  <c r="BB12" i="1"/>
  <c r="BB16" i="1" s="1"/>
  <c r="BB17" i="1" s="1"/>
  <c r="BB21" i="1" s="1"/>
  <c r="BB23" i="1" s="1"/>
  <c r="BB25" i="1" s="1"/>
  <c r="DF14" i="1"/>
  <c r="DF16" i="1" s="1"/>
  <c r="DF17" i="1" s="1"/>
  <c r="DF20" i="1" s="1"/>
  <c r="DF21" i="1" s="1"/>
  <c r="EA13" i="1"/>
  <c r="EA15" i="1" s="1"/>
  <c r="EA16" i="1" s="1"/>
  <c r="EA20" i="1" s="1"/>
  <c r="EA21" i="1" s="1"/>
  <c r="BW13" i="1"/>
  <c r="BW17" i="1" s="1"/>
  <c r="BW18" i="1" s="1"/>
  <c r="BW23" i="1" s="1"/>
  <c r="BW24" i="1" s="1"/>
  <c r="BW26" i="1" s="1"/>
  <c r="CC14" i="1"/>
  <c r="CC18" i="1" s="1"/>
  <c r="CC19" i="1" s="1"/>
  <c r="CC22" i="1" s="1"/>
  <c r="CC24" i="1" s="1"/>
  <c r="CC26" i="1" s="1"/>
  <c r="T11" i="1"/>
  <c r="T13" i="1" s="1"/>
  <c r="T14" i="1" s="1"/>
  <c r="T19" i="1" s="1"/>
  <c r="T21" i="1" s="1"/>
  <c r="T22" i="1" s="1"/>
  <c r="S24" i="1" s="1"/>
  <c r="T24" i="1" s="1"/>
  <c r="BA30" i="1"/>
  <c r="BB30" i="1" s="1"/>
  <c r="BB31" i="1" s="1"/>
  <c r="DU13" i="1"/>
  <c r="BT43" i="1"/>
  <c r="BT42" i="1" s="1"/>
  <c r="BT38" i="1"/>
  <c r="BU39" i="1" s="1"/>
  <c r="BQ13" i="1"/>
  <c r="BQ17" i="1" s="1"/>
  <c r="BQ18" i="1" s="1"/>
  <c r="BQ23" i="1" s="1"/>
  <c r="BQ26" i="1" s="1"/>
  <c r="T25" i="1" l="1"/>
  <c r="BU43" i="1"/>
  <c r="AZ42" i="1"/>
  <c r="CB29" i="1"/>
  <c r="CC29" i="1" s="1"/>
  <c r="CC30" i="1" s="1"/>
  <c r="AU33" i="1"/>
  <c r="AV33" i="1" s="1"/>
  <c r="AV34" i="1" s="1"/>
  <c r="AH28" i="1"/>
  <c r="AH29" i="1" s="1"/>
  <c r="N22" i="1"/>
  <c r="BV29" i="1"/>
  <c r="BW29" i="1" s="1"/>
  <c r="R44" i="1"/>
  <c r="DZ24" i="1"/>
  <c r="EA24" i="1" s="1"/>
  <c r="EA25" i="1" s="1"/>
  <c r="EA26" i="1" s="1"/>
  <c r="EA22" i="1"/>
  <c r="DE24" i="1"/>
  <c r="DF24" i="1" s="1"/>
  <c r="DF25" i="1" s="1"/>
  <c r="DF26" i="1" s="1"/>
  <c r="DF22" i="1"/>
  <c r="CQ26" i="1"/>
  <c r="CP29" i="1"/>
  <c r="CQ29" i="1" s="1"/>
  <c r="BQ27" i="1"/>
  <c r="BP30" i="1"/>
  <c r="BQ30" i="1" s="1"/>
  <c r="BQ31" i="1" s="1"/>
  <c r="DU15" i="1"/>
  <c r="DU16" i="1" s="1"/>
  <c r="DU20" i="1" s="1"/>
  <c r="DU21" i="1" s="1"/>
  <c r="BA44" i="1" l="1"/>
  <c r="T26" i="1"/>
  <c r="BO44" i="1"/>
  <c r="BP46" i="1" s="1"/>
  <c r="CC31" i="1"/>
  <c r="CQ30" i="1"/>
  <c r="CQ31" i="1" s="1"/>
  <c r="BW30" i="1"/>
  <c r="BW31" i="1" s="1"/>
  <c r="DT24" i="1"/>
  <c r="DU24" i="1" s="1"/>
  <c r="DU22" i="1"/>
  <c r="BP44" i="1" l="1"/>
  <c r="DU25" i="1"/>
  <c r="DU26" i="1" s="1"/>
  <c r="CO41" i="1"/>
  <c r="CO43" i="1" s="1"/>
  <c r="CP43" i="1" s="1"/>
  <c r="AF40" i="1"/>
  <c r="AF42" i="1" s="1"/>
  <c r="AG42" i="1" s="1"/>
  <c r="CA42" i="1"/>
  <c r="CA44" i="1" s="1"/>
  <c r="CB44" i="1" s="1"/>
  <c r="AT44" i="1"/>
  <c r="AU46" i="1" l="1"/>
  <c r="BU42" i="1"/>
  <c r="BU44" i="1" s="1"/>
  <c r="BV44" i="1" s="1"/>
</calcChain>
</file>

<file path=xl/comments1.xml><?xml version="1.0" encoding="utf-8"?>
<comments xmlns="http://schemas.openxmlformats.org/spreadsheetml/2006/main">
  <authors>
    <author>DCF</author>
    <author>Andrew H.A. Meggison</author>
    <author>kara</author>
    <author>Administrator</author>
  </authors>
  <commentList>
    <comment ref="BY4" authorId="0">
      <text>
        <r>
          <rPr>
            <b/>
            <sz val="8"/>
            <color indexed="81"/>
            <rFont val="Tahoma"/>
            <family val="2"/>
          </rPr>
          <t>DCF: Kids 18-22 that have grown up in residential, transition to adult services.  This rate is paying for the transition program to a family setting before they enter adult services.   DCF would like to open this up to providers that will do this ages 15-17.</t>
        </r>
      </text>
    </comment>
    <comment ref="BP8" authorId="0">
      <text>
        <r>
          <rPr>
            <b/>
            <sz val="8"/>
            <color indexed="81"/>
            <rFont val="Tahoma"/>
            <family val="2"/>
          </rPr>
          <t>DCF:</t>
        </r>
        <r>
          <rPr>
            <sz val="8"/>
            <color indexed="81"/>
            <rFont val="Tahoma"/>
            <family val="2"/>
          </rPr>
          <t xml:space="preserve">
Reflects a blend of Level 1 &amp; 2.</t>
        </r>
      </text>
    </comment>
    <comment ref="BY8" authorId="0">
      <text>
        <r>
          <rPr>
            <b/>
            <sz val="8"/>
            <color indexed="81"/>
            <rFont val="Tahoma"/>
            <family val="2"/>
          </rPr>
          <t>DCF:</t>
        </r>
        <r>
          <rPr>
            <sz val="8"/>
            <color indexed="81"/>
            <rFont val="Tahoma"/>
            <family val="2"/>
          </rPr>
          <t xml:space="preserve">
day to day monitoring of the placement.</t>
        </r>
      </text>
    </comment>
    <comment ref="BA9" authorId="0">
      <text>
        <r>
          <rPr>
            <b/>
            <sz val="8"/>
            <color indexed="81"/>
            <rFont val="Tahoma"/>
            <family val="2"/>
          </rPr>
          <t>DCF:</t>
        </r>
        <r>
          <rPr>
            <sz val="8"/>
            <color indexed="81"/>
            <rFont val="Tahoma"/>
            <family val="2"/>
          </rPr>
          <t xml:space="preserve">
Increased per DCF need for more group work
</t>
        </r>
      </text>
    </comment>
    <comment ref="BA11" authorId="0">
      <text>
        <r>
          <rPr>
            <b/>
            <sz val="8"/>
            <color indexed="81"/>
            <rFont val="Tahoma"/>
            <family val="2"/>
          </rPr>
          <t>DCF:</t>
        </r>
        <r>
          <rPr>
            <sz val="8"/>
            <color indexed="81"/>
            <rFont val="Tahoma"/>
            <family val="2"/>
          </rPr>
          <t xml:space="preserve">
Prevention/outreach training. One-on-one mentor.
DCF defined </t>
        </r>
      </text>
    </comment>
    <comment ref="CB11" authorId="0">
      <text>
        <r>
          <rPr>
            <b/>
            <sz val="8"/>
            <color indexed="81"/>
            <rFont val="Tahoma"/>
            <family val="2"/>
          </rPr>
          <t>DCF:</t>
        </r>
        <r>
          <rPr>
            <sz val="8"/>
            <color indexed="81"/>
            <rFont val="Tahoma"/>
            <family val="2"/>
          </rPr>
          <t xml:space="preserve">
Occupational, physical, speech and Psychiatric supports.
</t>
        </r>
      </text>
    </comment>
    <comment ref="DU17" authorId="1">
      <text>
        <r>
          <rPr>
            <b/>
            <sz val="9"/>
            <color indexed="81"/>
            <rFont val="Tahoma"/>
            <family val="2"/>
          </rPr>
          <t>Andrew H.A. Meggison:</t>
        </r>
        <r>
          <rPr>
            <sz val="9"/>
            <color indexed="81"/>
            <rFont val="Tahoma"/>
            <family val="2"/>
          </rPr>
          <t xml:space="preserve">
26 hours is one hour of consultant time for every other week. </t>
        </r>
      </text>
    </comment>
    <comment ref="EA17" authorId="1">
      <text>
        <r>
          <rPr>
            <b/>
            <sz val="9"/>
            <color indexed="81"/>
            <rFont val="Tahoma"/>
            <family val="2"/>
          </rPr>
          <t>Andrew H.A. Meggison:</t>
        </r>
        <r>
          <rPr>
            <sz val="9"/>
            <color indexed="81"/>
            <rFont val="Tahoma"/>
            <family val="2"/>
          </rPr>
          <t xml:space="preserve">
26 hours is one hour of consultant time for every other week. </t>
        </r>
      </text>
    </comment>
    <comment ref="AG20" authorId="0">
      <text>
        <r>
          <rPr>
            <b/>
            <sz val="8"/>
            <color indexed="81"/>
            <rFont val="Tahoma"/>
            <family val="2"/>
          </rPr>
          <t>DCF:</t>
        </r>
        <r>
          <rPr>
            <sz val="8"/>
            <color indexed="81"/>
            <rFont val="Tahoma"/>
            <family val="2"/>
          </rPr>
          <t xml:space="preserve">
Increased for the fixed costs associated with security features in homes.  </t>
        </r>
      </text>
    </comment>
    <comment ref="BH23" authorId="1">
      <text>
        <r>
          <rPr>
            <b/>
            <sz val="9"/>
            <color indexed="81"/>
            <rFont val="Tahoma"/>
            <family val="2"/>
          </rPr>
          <t>Andrew H.A. Meggison:</t>
        </r>
        <r>
          <rPr>
            <sz val="9"/>
            <color indexed="81"/>
            <rFont val="Tahoma"/>
            <family val="2"/>
          </rPr>
          <t xml:space="preserve">
The number for STARR other expenses with food adjusted out should be $17.25 minus $5.83 = $11.42. 
</t>
        </r>
      </text>
    </comment>
    <comment ref="CC29" authorId="2">
      <text>
        <r>
          <rPr>
            <b/>
            <sz val="9"/>
            <color indexed="81"/>
            <rFont val="Tahoma"/>
            <family val="2"/>
          </rPr>
          <t>kara:</t>
        </r>
        <r>
          <rPr>
            <sz val="9"/>
            <color indexed="81"/>
            <rFont val="Tahoma"/>
            <family val="2"/>
          </rPr>
          <t xml:space="preserve">
Plus original Incidental Funding of $3.29
</t>
        </r>
      </text>
    </comment>
    <comment ref="L30" authorId="2">
      <text>
        <r>
          <rPr>
            <b/>
            <sz val="9"/>
            <color indexed="81"/>
            <rFont val="Tahoma"/>
            <family val="2"/>
          </rPr>
          <t>kara:</t>
        </r>
        <r>
          <rPr>
            <sz val="9"/>
            <color indexed="81"/>
            <rFont val="Tahoma"/>
            <family val="2"/>
          </rPr>
          <t xml:space="preserve">
New Stipend Rate for rate review for July 2018
</t>
        </r>
      </text>
    </comment>
    <comment ref="BB30" authorId="2">
      <text>
        <r>
          <rPr>
            <b/>
            <sz val="9"/>
            <color indexed="81"/>
            <rFont val="Tahoma"/>
            <family val="2"/>
          </rPr>
          <t>Andrew H.A. Meggison:
rate with addtion of $14</t>
        </r>
      </text>
    </comment>
    <comment ref="AZ42" authorId="3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Equals the rate w/ CAF + token economy daily amount.</t>
        </r>
      </text>
    </comment>
  </commentList>
</comments>
</file>

<file path=xl/comments2.xml><?xml version="1.0" encoding="utf-8"?>
<comments xmlns="http://schemas.openxmlformats.org/spreadsheetml/2006/main">
  <authors>
    <author>kara</author>
  </authors>
  <commentList>
    <comment ref="AA37" authorId="0">
      <text>
        <r>
          <rPr>
            <b/>
            <sz val="9"/>
            <color indexed="81"/>
            <rFont val="Tahoma"/>
            <family val="2"/>
          </rPr>
          <t>kara:</t>
        </r>
        <r>
          <rPr>
            <sz val="9"/>
            <color indexed="81"/>
            <rFont val="Tahoma"/>
            <family val="2"/>
          </rPr>
          <t xml:space="preserve">
3/17/16 changed from $162,338 (stipends) to 227,880 based on DCF rate $25.32 for 9000 days of respite for 7/1/16.  The difference in $$$ is $65,542 which, for the rate review was added to toal program costs before adding the CAF
</t>
        </r>
      </text>
    </comment>
    <comment ref="Y43" authorId="0">
      <text>
        <r>
          <rPr>
            <b/>
            <sz val="9"/>
            <color indexed="81"/>
            <rFont val="Tahoma"/>
            <family val="2"/>
          </rPr>
          <t>kara:</t>
        </r>
        <r>
          <rPr>
            <sz val="9"/>
            <color indexed="81"/>
            <rFont val="Tahoma"/>
            <family val="2"/>
          </rPr>
          <t xml:space="preserve">
Stipend</t>
        </r>
      </text>
    </comment>
    <comment ref="E52" authorId="0">
      <text>
        <r>
          <rPr>
            <b/>
            <sz val="9"/>
            <color indexed="81"/>
            <rFont val="Tahoma"/>
            <family val="2"/>
          </rPr>
          <t>kara:</t>
        </r>
        <r>
          <rPr>
            <sz val="9"/>
            <color indexed="81"/>
            <rFont val="Tahoma"/>
            <family val="2"/>
          </rPr>
          <t xml:space="preserve">
3/17/16 changed from $162,338 to 227,880 based on DCF rate $25.32 for 9000 days of respite</t>
        </r>
      </text>
    </comment>
  </commentList>
</comments>
</file>

<file path=xl/comments3.xml><?xml version="1.0" encoding="utf-8"?>
<comments xmlns="http://schemas.openxmlformats.org/spreadsheetml/2006/main">
  <authors>
    <author>EHS</author>
    <author>sysadmin</author>
    <author>kara</author>
  </authors>
  <commentList>
    <comment ref="F5" authorId="0">
      <text>
        <r>
          <rPr>
            <b/>
            <sz val="9"/>
            <color indexed="81"/>
            <rFont val="Tahoma"/>
            <family val="2"/>
          </rPr>
          <t xml:space="preserve">Kara: Increase from 10 days to 13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9" authorId="0">
      <text>
        <r>
          <rPr>
            <b/>
            <sz val="9"/>
            <color indexed="81"/>
            <rFont val="Tahoma"/>
            <family val="2"/>
          </rPr>
          <t>Kara: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This % if releif changes based off the increase in personal days by 3 days.  % was previously 15.4%</t>
        </r>
      </text>
    </comment>
    <comment ref="E15" authorId="0">
      <text>
        <r>
          <rPr>
            <b/>
            <sz val="9"/>
            <color indexed="81"/>
            <rFont val="Tahoma"/>
            <family val="2"/>
          </rPr>
          <t>Kara: Hourly rate increased from $8 (original Model) to $11/hr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5" authorId="1">
      <text>
        <r>
          <rPr>
            <b/>
            <sz val="9"/>
            <color indexed="81"/>
            <rFont val="Tahoma"/>
            <family val="2"/>
          </rPr>
          <t>sysadmin:</t>
        </r>
        <r>
          <rPr>
            <sz val="9"/>
            <color indexed="81"/>
            <rFont val="Tahoma"/>
            <family val="2"/>
          </rPr>
          <t xml:space="preserve">
FTE calculated by:
2080*$11 an hour/ pay amount depending on intensity level.
</t>
        </r>
      </text>
    </comment>
    <comment ref="E31" authorId="0">
      <text>
        <r>
          <rPr>
            <b/>
            <sz val="9"/>
            <color indexed="81"/>
            <rFont val="Tahoma"/>
            <family val="2"/>
          </rPr>
          <t>Kara: Increased fee to $14.50 per transaction from $13.62 as Fam Stab reg has been updated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44" authorId="2">
      <text>
        <r>
          <rPr>
            <b/>
            <sz val="9"/>
            <color indexed="81"/>
            <rFont val="Tahoma"/>
            <family val="2"/>
          </rPr>
          <t>kara: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7" authorId="1">
      <text>
        <r>
          <rPr>
            <b/>
            <sz val="9"/>
            <color indexed="81"/>
            <rFont val="Tahoma"/>
            <family val="2"/>
          </rPr>
          <t>sysadmin:</t>
        </r>
        <r>
          <rPr>
            <sz val="9"/>
            <color indexed="81"/>
            <rFont val="Tahoma"/>
            <family val="2"/>
          </rPr>
          <t xml:space="preserve">
2 weeks (14 days), 24 hours a day at min wage
24*14*8= 2688</t>
        </r>
      </text>
    </comment>
  </commentList>
</comments>
</file>

<file path=xl/comments4.xml><?xml version="1.0" encoding="utf-8"?>
<comments xmlns="http://schemas.openxmlformats.org/spreadsheetml/2006/main">
  <authors>
    <author>Andrew H.A. Meggison</author>
    <author>kara</author>
  </authors>
  <commentList>
    <comment ref="O3" authorId="0">
      <text>
        <r>
          <rPr>
            <b/>
            <sz val="9"/>
            <color indexed="81"/>
            <rFont val="Tahoma"/>
            <family val="2"/>
          </rPr>
          <t>Andrew H.A. Meggison:</t>
        </r>
        <r>
          <rPr>
            <sz val="9"/>
            <color indexed="81"/>
            <rFont val="Tahoma"/>
            <family val="2"/>
          </rPr>
          <t xml:space="preserve">
Rates used in regulation 
1/15/14</t>
        </r>
      </text>
    </comment>
    <comment ref="N13" authorId="0">
      <text>
        <r>
          <rPr>
            <b/>
            <sz val="9"/>
            <color indexed="81"/>
            <rFont val="Tahoma"/>
            <family val="2"/>
          </rPr>
          <t>Andrew H.A. Meggison:</t>
        </r>
        <r>
          <rPr>
            <sz val="9"/>
            <color indexed="81"/>
            <rFont val="Tahoma"/>
            <family val="2"/>
          </rPr>
          <t xml:space="preserve">
new levels are in pink. 
11/21/13</t>
        </r>
      </text>
    </comment>
    <comment ref="M25" authorId="1">
      <text>
        <r>
          <rPr>
            <b/>
            <sz val="9"/>
            <color indexed="81"/>
            <rFont val="Tahoma"/>
            <family val="2"/>
          </rPr>
          <t>kara:</t>
        </r>
        <r>
          <rPr>
            <sz val="9"/>
            <color indexed="81"/>
            <rFont val="Tahoma"/>
            <family val="2"/>
          </rPr>
          <t xml:space="preserve">
New stipend rages added for 2016 Rate review</t>
        </r>
      </text>
    </comment>
    <comment ref="E616" authorId="0">
      <text>
        <r>
          <rPr>
            <b/>
            <sz val="9"/>
            <color indexed="81"/>
            <rFont val="Tahoma"/>
            <family val="2"/>
          </rPr>
          <t>Andrew H.A. Meggison:</t>
        </r>
        <r>
          <rPr>
            <sz val="9"/>
            <color indexed="81"/>
            <rFont val="Tahoma"/>
            <family val="2"/>
          </rPr>
          <t xml:space="preserve">
whats in here, is this a stipend --  check with DDS</t>
        </r>
      </text>
    </comment>
  </commentList>
</comments>
</file>

<file path=xl/sharedStrings.xml><?xml version="1.0" encoding="utf-8"?>
<sst xmlns="http://schemas.openxmlformats.org/spreadsheetml/2006/main" count="1852" uniqueCount="642">
  <si>
    <t>IFC Look up table</t>
  </si>
  <si>
    <t>IFC Look Other up table</t>
  </si>
  <si>
    <t>Enhanced Foster Care Model Budget</t>
  </si>
  <si>
    <t>Benchmark Salary</t>
  </si>
  <si>
    <t>Youth:</t>
  </si>
  <si>
    <t>Service Days</t>
  </si>
  <si>
    <t>Child Home-Based Rehabilitation IFC Other Foster Care Model Budget</t>
  </si>
  <si>
    <t>Emergency Shelter Homes IFC Other Foster Care Model Budget</t>
  </si>
  <si>
    <t>Multiple Acute Level A</t>
  </si>
  <si>
    <t>Multiple Acute Level B</t>
  </si>
  <si>
    <t>Transitions to Adulthood IFC Other Foster Care Model Budget</t>
  </si>
  <si>
    <t xml:space="preserve">IFC Look Up Table Family Residential </t>
  </si>
  <si>
    <t>Family Resource Worker</t>
  </si>
  <si>
    <t>Benchmark to "Direct Care" in Continuum (for ed requirements), blended average of case worker and case worker masters</t>
  </si>
  <si>
    <t>Transitions to Adult Services IFC Other Foster Care Model Budget</t>
  </si>
  <si>
    <t xml:space="preserve">Family Residential </t>
  </si>
  <si>
    <t>Benchmark Salary Fam. Res Acute</t>
  </si>
  <si>
    <t>Family Residential Acute A</t>
  </si>
  <si>
    <t>Family Residential Acute B</t>
  </si>
  <si>
    <t>DC Supervisor</t>
  </si>
  <si>
    <t>Benchmark from YITS, 101 CMR 413</t>
  </si>
  <si>
    <t>Salary</t>
  </si>
  <si>
    <t>FTE</t>
  </si>
  <si>
    <t>Expense</t>
  </si>
  <si>
    <t>Sexually Exploited Youth IFC Other Foster Care Model Budget</t>
  </si>
  <si>
    <t>Clinical Care Manager</t>
  </si>
  <si>
    <t>Benchmark Salary Fam. Res</t>
  </si>
  <si>
    <t>Case Manager/Child Care Worker</t>
  </si>
  <si>
    <t>Support</t>
  </si>
  <si>
    <t>Program Director</t>
  </si>
  <si>
    <t>Case Manager/
Child Care Worker</t>
  </si>
  <si>
    <t>Family Resource Worker (called shared living coordinator in this program)</t>
  </si>
  <si>
    <t>FTE Ratios</t>
  </si>
  <si>
    <t>Capacity:</t>
  </si>
  <si>
    <t>8 Clients</t>
  </si>
  <si>
    <t>5 clients</t>
  </si>
  <si>
    <t>Nursing</t>
  </si>
  <si>
    <t>Mentors (paraprofessionals)</t>
  </si>
  <si>
    <t xml:space="preserve">DCF defined </t>
  </si>
  <si>
    <t xml:space="preserve">Family Resource Worker </t>
  </si>
  <si>
    <t>Social Worker (LICSW)</t>
  </si>
  <si>
    <t>Care Giver Respite (24 hour)</t>
  </si>
  <si>
    <t xml:space="preserve">Benchmarked to the Shared Living caregiver respite  </t>
  </si>
  <si>
    <t>Total Program Staff</t>
  </si>
  <si>
    <t>Transitions to Adult Services</t>
  </si>
  <si>
    <t>Level A</t>
  </si>
  <si>
    <t>Level B</t>
  </si>
  <si>
    <t>Social Worker (LSW)</t>
  </si>
  <si>
    <t>1 Client</t>
  </si>
  <si>
    <t xml:space="preserve">Assumes 1 DC Supervisor for every 6 Case Mangers.  </t>
  </si>
  <si>
    <t>Expenses</t>
  </si>
  <si>
    <t>Unit Cost</t>
  </si>
  <si>
    <t>DCF defined</t>
  </si>
  <si>
    <t>Nursing (RN)</t>
  </si>
  <si>
    <t>Capacity: 4 Clients</t>
  </si>
  <si>
    <t xml:space="preserve">Assumes a 1:8 and 1:5 ratio </t>
  </si>
  <si>
    <t>Tax and Fringe</t>
  </si>
  <si>
    <t xml:space="preserve">Assumes 1 DC Supervisor for every 6 Case Mangers.  5 client mod. is DCF defined </t>
  </si>
  <si>
    <t>Total Compensation</t>
  </si>
  <si>
    <t xml:space="preserve">Assumes a 1:8 ratio </t>
  </si>
  <si>
    <t>DCF defined : Increased per DCF need for enhanced documentation and training for foster parents/groups</t>
  </si>
  <si>
    <t>Direct Admin Expenses</t>
  </si>
  <si>
    <t>Consultation (Clinical/Behavioral)</t>
  </si>
  <si>
    <t>Benchmark Expenses</t>
  </si>
  <si>
    <t>Clinician Masters</t>
  </si>
  <si>
    <t>Taxes &amp; Fringe</t>
  </si>
  <si>
    <t xml:space="preserve">Benchmark to shared living rate analysis  </t>
  </si>
  <si>
    <t>Total Reimb excl M&amp;G</t>
  </si>
  <si>
    <t>Current stipend</t>
  </si>
  <si>
    <t xml:space="preserve">Benchmark to Shared Living Rate </t>
  </si>
  <si>
    <t>Benchmark to Shared Living rate</t>
  </si>
  <si>
    <t>Vehicle</t>
  </si>
  <si>
    <t>TOTAL</t>
  </si>
  <si>
    <t>Benchmark to Shared Living Rate</t>
  </si>
  <si>
    <t>Total Reimb including M&amp;G</t>
  </si>
  <si>
    <t>Benchmark to current rate</t>
  </si>
  <si>
    <t>Linked to current rates</t>
  </si>
  <si>
    <t xml:space="preserve"> </t>
  </si>
  <si>
    <t>CAF:</t>
  </si>
  <si>
    <t xml:space="preserve">Linked to current rates </t>
  </si>
  <si>
    <t>Total Reimb</t>
  </si>
  <si>
    <t>From ALTR single vehicle rate</t>
  </si>
  <si>
    <t>FY 2012</t>
  </si>
  <si>
    <t>Rate with CAF</t>
  </si>
  <si>
    <t xml:space="preserve">$10 Linked to current rates; $12 Increased for the fixed costs associated with security features in homes.  </t>
  </si>
  <si>
    <t>Linked to other costs for STARR, vehicle costs linked to wheelchair vans in ALTC</t>
  </si>
  <si>
    <t>Flex pool ( provider to maintain pool, amt is not child-specific)</t>
  </si>
  <si>
    <t>FY2012</t>
  </si>
  <si>
    <t>CAF Rate</t>
  </si>
  <si>
    <t>Source Tab: Operational CAF of  3.93%</t>
  </si>
  <si>
    <t>Per Child Per Day RATE:</t>
  </si>
  <si>
    <t xml:space="preserve"> Particular needs</t>
  </si>
  <si>
    <t>Particular needs of transitioning kids (CVS, gas etc.)
Represents 1/7 of the max $23/week.</t>
  </si>
  <si>
    <t xml:space="preserve">Stipend CAF rate   </t>
  </si>
  <si>
    <t>Source: CAF calculation source tab 4.60%</t>
  </si>
  <si>
    <t>Linked to current rate</t>
  </si>
  <si>
    <t>Teen Parent Rate</t>
  </si>
  <si>
    <t>Source Tab: Stipend CAF of 4.60%</t>
  </si>
  <si>
    <t>Current</t>
  </si>
  <si>
    <t>Proposed</t>
  </si>
  <si>
    <t xml:space="preserve">Enhanced Foster Care Stipend </t>
  </si>
  <si>
    <t>Admin</t>
  </si>
  <si>
    <t>Current Stipend</t>
  </si>
  <si>
    <t>Proposed Stipend</t>
  </si>
  <si>
    <t>Teen Parent Operational (Op.)</t>
  </si>
  <si>
    <t>STIPEND</t>
  </si>
  <si>
    <t xml:space="preserve">Average DCF Departmental Stipend </t>
  </si>
  <si>
    <t>IFC Operational Rate</t>
  </si>
  <si>
    <t>Operational Acuity</t>
  </si>
  <si>
    <t>Total (Op)</t>
  </si>
  <si>
    <t>Total</t>
  </si>
  <si>
    <t>Acuity</t>
  </si>
  <si>
    <t>DCF</t>
  </si>
  <si>
    <t>Teen Parent Stipend Rate</t>
  </si>
  <si>
    <t>IFC Stipend Rate</t>
  </si>
  <si>
    <t>Sibling Rate</t>
  </si>
  <si>
    <t>Total Stipend</t>
  </si>
  <si>
    <t>Intensive Foster Care Two Stipend</t>
  </si>
  <si>
    <t xml:space="preserve">Sibling </t>
  </si>
  <si>
    <t>Child home based 
rehab RATES</t>
  </si>
  <si>
    <t>Experience Incentive Added To Total</t>
  </si>
  <si>
    <t xml:space="preserve">Community-based Alternative to Detention Bed Hold </t>
  </si>
  <si>
    <t>Acuity (op.)</t>
  </si>
  <si>
    <t>Transitions to Adult Services RATES</t>
  </si>
  <si>
    <t>Transitions to Adulthood RATES</t>
  </si>
  <si>
    <t xml:space="preserve">Total Plus $10 added to the IFC stipend rate  </t>
  </si>
  <si>
    <t xml:space="preserve">Current JDAI Hold Rate </t>
  </si>
  <si>
    <t>Multiple AcuteLevel A</t>
  </si>
  <si>
    <t>Community-based Alternative to Detention Stipend</t>
  </si>
  <si>
    <t>Emergency Shelter Homes RATES</t>
  </si>
  <si>
    <t>Sexually Exploited RATES</t>
  </si>
  <si>
    <t xml:space="preserve">IFC proposed stipend rate </t>
  </si>
  <si>
    <t xml:space="preserve">Intensive Foster Care One Stipend </t>
  </si>
  <si>
    <t>Child Homebased Rehab Stipend</t>
  </si>
  <si>
    <t>Emergency Shelter Homes Stipend</t>
  </si>
  <si>
    <t>Multiple Acute Level A Stipend</t>
  </si>
  <si>
    <t>Multiple Acute Level B Stipend</t>
  </si>
  <si>
    <t>Transitions to Adult Services Stipend</t>
  </si>
  <si>
    <t>October 2018 CAF</t>
  </si>
  <si>
    <t>Community-based Alternative to Detention Ops</t>
  </si>
  <si>
    <t>Operational Rate</t>
  </si>
  <si>
    <t>Master Look Up Table</t>
  </si>
  <si>
    <t xml:space="preserve">Comprehensive Services Family Stabilization 114.4 CMR 14.00 </t>
  </si>
  <si>
    <t>Asst prog dir</t>
  </si>
  <si>
    <t>Supervisory</t>
  </si>
  <si>
    <t>Multiple Adoption Services Model</t>
  </si>
  <si>
    <t>Multiple Post Adoption Services</t>
  </si>
  <si>
    <t>Multiple Foster Parent Support Services Model</t>
  </si>
  <si>
    <t>Youth Permanency Connections Model</t>
  </si>
  <si>
    <t>Foster Home Management and Recruitment</t>
  </si>
  <si>
    <t>Complex Medical Foster Care  Compoment Model</t>
  </si>
  <si>
    <t>Prog Staff III</t>
  </si>
  <si>
    <t>FTEs</t>
  </si>
  <si>
    <t>Salary Exp</t>
  </si>
  <si>
    <t xml:space="preserve"> FTEs</t>
  </si>
  <si>
    <t>Prog Staff II</t>
  </si>
  <si>
    <t>Prog Dir</t>
  </si>
  <si>
    <t>Program Dir</t>
  </si>
  <si>
    <t>Program F. Mngr</t>
  </si>
  <si>
    <t>Prog Staff I</t>
  </si>
  <si>
    <t>Prog F. Mngr</t>
  </si>
  <si>
    <t>Casework Mngr</t>
  </si>
  <si>
    <t>Clinical</t>
  </si>
  <si>
    <t>Dir Care LSWs</t>
  </si>
  <si>
    <t>Asst Prog Dir</t>
  </si>
  <si>
    <t>Non Specialist</t>
  </si>
  <si>
    <t>Dir Care</t>
  </si>
  <si>
    <t>(adjusted to 2)</t>
  </si>
  <si>
    <t>RN</t>
  </si>
  <si>
    <t>Specialist (LICSW)</t>
  </si>
  <si>
    <t>Program Support</t>
  </si>
  <si>
    <t>Total Dir Staffing</t>
  </si>
  <si>
    <t>LPN</t>
  </si>
  <si>
    <t>Casework mngr</t>
  </si>
  <si>
    <t>Tax &amp; fringe</t>
  </si>
  <si>
    <t>Occupancy</t>
  </si>
  <si>
    <t>(per FTE)</t>
  </si>
  <si>
    <t>Subcontracted direct care</t>
  </si>
  <si>
    <t>Staff travel</t>
  </si>
  <si>
    <t>FTE Level</t>
  </si>
  <si>
    <t>Staff training</t>
  </si>
  <si>
    <t>Other program exp</t>
  </si>
  <si>
    <t>Meals</t>
  </si>
  <si>
    <t xml:space="preserve">DCF defined  </t>
  </si>
  <si>
    <t>Caregiver stipends</t>
  </si>
  <si>
    <t>(of total staff)</t>
  </si>
  <si>
    <t>Program supplies</t>
  </si>
  <si>
    <t>Program support</t>
  </si>
  <si>
    <t>Other program</t>
  </si>
  <si>
    <t>Staff training &amp; meals</t>
  </si>
  <si>
    <t>(FTE 2 of Prog Dir;others excl support)</t>
  </si>
  <si>
    <t>Travel/dir FTE</t>
  </si>
  <si>
    <t>Consultants</t>
  </si>
  <si>
    <t>Client transport</t>
  </si>
  <si>
    <t>Sub total</t>
  </si>
  <si>
    <t>(per asst dir, Prog Staff III,II,I)</t>
  </si>
  <si>
    <t>Travel</t>
  </si>
  <si>
    <t>Staff travel &amp; training</t>
  </si>
  <si>
    <t>Dir admin</t>
  </si>
  <si>
    <t>(Asst pr dir through specialist)</t>
  </si>
  <si>
    <t>A&amp;G</t>
  </si>
  <si>
    <t>(pr f. mngr through Prog I)</t>
  </si>
  <si>
    <t>(per Prog Staff III,II,I)</t>
  </si>
  <si>
    <t>Other prog exp</t>
  </si>
  <si>
    <t>A&amp; G</t>
  </si>
  <si>
    <t>Sub Total</t>
  </si>
  <si>
    <t>(per Non Spec and Specialist)</t>
  </si>
  <si>
    <t>Total excl CAF</t>
  </si>
  <si>
    <t>(per all but Support)</t>
  </si>
  <si>
    <t>Dir Admin exp</t>
  </si>
  <si>
    <t>CAF</t>
  </si>
  <si>
    <t>(RN thru Prog St I)</t>
  </si>
  <si>
    <t>Total Program Costs</t>
  </si>
  <si>
    <t xml:space="preserve">Sub total </t>
  </si>
  <si>
    <t>Total excl CAF:</t>
  </si>
  <si>
    <t>Rate/month</t>
  </si>
  <si>
    <t>Rate perclient per day</t>
  </si>
  <si>
    <t>October 2018 Rate Review</t>
  </si>
  <si>
    <t xml:space="preserve">Compensation Calculations </t>
  </si>
  <si>
    <t>Linked to UFR SchB Program Type</t>
  </si>
  <si>
    <t xml:space="preserve">$2,622 benchmark to Family Stabilization 114.4 CMR 14.03| $1,417 rate linked to model drafting </t>
  </si>
  <si>
    <t>CAF Oct 2016</t>
  </si>
  <si>
    <t>utilization factor</t>
  </si>
  <si>
    <t xml:space="preserve">$4,033 linked to UFR FY11 | $884 linked to model drafting </t>
  </si>
  <si>
    <t>Respite</t>
  </si>
  <si>
    <t>(10 beds = full cap)</t>
  </si>
  <si>
    <t>Rate/day</t>
  </si>
  <si>
    <t>20% benchmark to Family Stabilization 114.4 CMR 14.00 | $1,549 linked to model drafting</t>
  </si>
  <si>
    <t>Annual</t>
  </si>
  <si>
    <t xml:space="preserve">Total Other Expenses </t>
  </si>
  <si>
    <t>New Rate</t>
  </si>
  <si>
    <t>Respite Units</t>
  </si>
  <si>
    <t>New Base</t>
  </si>
  <si>
    <t xml:space="preserve">Staff training </t>
  </si>
  <si>
    <t>Tax and fringe</t>
  </si>
  <si>
    <t>Source: CAF calculation source tab</t>
  </si>
  <si>
    <t>Sibling</t>
  </si>
  <si>
    <t>Teen Parent</t>
  </si>
  <si>
    <t>Emergency Shelter Homes</t>
  </si>
  <si>
    <t>Child Home-Based Rehabilitation</t>
  </si>
  <si>
    <t>AMSS</t>
  </si>
  <si>
    <t>2018 CAF</t>
  </si>
  <si>
    <t>Description</t>
  </si>
  <si>
    <t>Original Rate</t>
  </si>
  <si>
    <t>Current Rate (4/1/14)</t>
  </si>
  <si>
    <t>Methodology</t>
  </si>
  <si>
    <t>Current Rate</t>
  </si>
  <si>
    <t xml:space="preserve">Proposed Rate Oct 2018 </t>
  </si>
  <si>
    <t>Adoption Assessment of a Child</t>
  </si>
  <si>
    <t>Apply 9.72% CAF</t>
  </si>
  <si>
    <t>Adoption Assessment/Homestudy of a Foster/relative family (with whom the child is placed)</t>
  </si>
  <si>
    <t>Adoption Assessment/Homestudy of a relative (child is not in the home)</t>
  </si>
  <si>
    <t>MAPP training/Homestudy of a referred person or couple</t>
  </si>
  <si>
    <t>Appearance fee</t>
  </si>
  <si>
    <t>Mapp Training only</t>
  </si>
  <si>
    <r>
      <t>2.</t>
    </r>
    <r>
      <rPr>
        <i/>
        <sz val="10"/>
        <rFont val="Arial"/>
        <family val="2"/>
      </rPr>
      <t xml:space="preserve"> Adoption Placement Case Management Services:</t>
    </r>
  </si>
  <si>
    <t>Case acceptance/assignment</t>
  </si>
  <si>
    <t>Adoption Assessment of a child</t>
  </si>
  <si>
    <t>Adoption AssessmentHomestudy of a family with whom the child is placed</t>
  </si>
  <si>
    <t>Placement</t>
  </si>
  <si>
    <t>Mild</t>
  </si>
  <si>
    <t>Moderate</t>
  </si>
  <si>
    <t>Severe</t>
  </si>
  <si>
    <t>Family Development</t>
  </si>
  <si>
    <t>Re-Evaluations</t>
  </si>
  <si>
    <t>Child(ren)/Legalization</t>
  </si>
  <si>
    <t xml:space="preserve">Adjustment for a case held at least 3 years but less than 5. </t>
  </si>
  <si>
    <t>Sibling Bonus in Same Home/Legalization</t>
  </si>
  <si>
    <t>2 siblings</t>
  </si>
  <si>
    <t>3 siblings</t>
  </si>
  <si>
    <t>4 siblings</t>
  </si>
  <si>
    <t>5 or more siblings</t>
  </si>
  <si>
    <t>Family Bonus for Provider's Home at Legalization per child, minimum of 2 children</t>
  </si>
  <si>
    <t>Closure</t>
  </si>
  <si>
    <t>Case Maintenance</t>
  </si>
  <si>
    <t>Delayed Adoption / Legal Delay / Appeal</t>
  </si>
  <si>
    <t>Conflict of Interest Family Resource</t>
  </si>
  <si>
    <t>Transfer of case (no activity for 6 months)</t>
  </si>
  <si>
    <r>
      <t>3</t>
    </r>
    <r>
      <rPr>
        <i/>
        <sz val="10"/>
        <rFont val="Arial"/>
        <family val="2"/>
      </rPr>
      <t>.Adoption Family Development Services:</t>
    </r>
  </si>
  <si>
    <t>Purchase of Home</t>
  </si>
  <si>
    <t>Re-Utilization of a Closed Home</t>
  </si>
  <si>
    <r>
      <t>4</t>
    </r>
    <r>
      <rPr>
        <i/>
        <sz val="10"/>
        <rFont val="Arial"/>
        <family val="2"/>
      </rPr>
      <t>.Recruitment</t>
    </r>
  </si>
  <si>
    <t>Child-specific recruitment</t>
  </si>
  <si>
    <t>Child-specific recruitment renewal</t>
  </si>
  <si>
    <r>
      <t>5</t>
    </r>
    <r>
      <rPr>
        <i/>
        <sz val="10"/>
        <rFont val="Arial"/>
        <family val="2"/>
      </rPr>
      <t>. Intervention Services</t>
    </r>
  </si>
  <si>
    <t>Negotiated rate</t>
  </si>
  <si>
    <t>$44.80 per hour</t>
  </si>
  <si>
    <t>Draft proposal of $44.80 based on $50k plus T&amp;F/1384. Rare cases for exceptional circumstances will use 114.5 CMR 4.00 for time limited rate.</t>
  </si>
  <si>
    <r>
      <t>6</t>
    </r>
    <r>
      <rPr>
        <i/>
        <sz val="10"/>
        <rFont val="Arial"/>
        <family val="2"/>
      </rPr>
      <t>. Interstate Cases</t>
    </r>
  </si>
  <si>
    <t>Homestudy</t>
  </si>
  <si>
    <t>Current Rate + 1/2 of the transfer of case rate</t>
  </si>
  <si>
    <t>Assignment</t>
  </si>
  <si>
    <t>Case Supervision</t>
  </si>
  <si>
    <t>Case Supervision (monthly)</t>
  </si>
  <si>
    <t>Family Evaluation Home Study in Puerto Rico</t>
  </si>
  <si>
    <t xml:space="preserve">DCF analysis looking at BLS social worker salary for the State of Massachusetts and Puerto Rico. </t>
  </si>
  <si>
    <t>Family Evaluation Home Study in Puerto Rico (Daily Rate)</t>
  </si>
  <si>
    <t>Additional Support Services (Support Contracts)</t>
  </si>
  <si>
    <t xml:space="preserve"> Current  Rate</t>
  </si>
  <si>
    <t xml:space="preserve">Rate Per </t>
  </si>
  <si>
    <t xml:space="preserve">Proposed Rate </t>
  </si>
  <si>
    <t xml:space="preserve">Multiple Adoption Services </t>
  </si>
  <si>
    <t>Per month -- Accommodations rate using true staffing levels</t>
  </si>
  <si>
    <t xml:space="preserve"> Youth Permanency Connections </t>
  </si>
  <si>
    <t>Per day increase. -- Unit rate</t>
  </si>
  <si>
    <t xml:space="preserve">Multiple Post Adoption Services </t>
  </si>
  <si>
    <t>Per month -- Accommodations rate</t>
  </si>
  <si>
    <t xml:space="preserve">Complex Foster Care Medical Component </t>
  </si>
  <si>
    <t>Per day -- Unit Rate</t>
  </si>
  <si>
    <t xml:space="preserve">Multiple Foster Parent Support Services </t>
  </si>
  <si>
    <t>Foster Home Management &amp; Recruitment</t>
  </si>
  <si>
    <t>Activity Code</t>
  </si>
  <si>
    <t>CFC0</t>
  </si>
  <si>
    <t>CFR0</t>
  </si>
  <si>
    <t>CFSS</t>
  </si>
  <si>
    <t>Unbundled IFC Special Support</t>
  </si>
  <si>
    <t>FY17</t>
  </si>
  <si>
    <t>Massachusetts Economic Indicators</t>
  </si>
  <si>
    <t>IHS Markit Economics Fall 2017 Forecast</t>
  </si>
  <si>
    <t>Prepared by Michael Lynch, 781-301-9129</t>
  </si>
  <si>
    <t>FY16</t>
  </si>
  <si>
    <t>FY18</t>
  </si>
  <si>
    <t>FY19</t>
  </si>
  <si>
    <t>FY20</t>
  </si>
  <si>
    <t>FY21</t>
  </si>
  <si>
    <t>NAME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</si>
  <si>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</si>
  <si>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</si>
  <si>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</si>
  <si>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</si>
  <si>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</si>
  <si>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</si>
  <si>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</si>
  <si>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</si>
  <si>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</si>
  <si>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</si>
  <si>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</si>
  <si>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</si>
  <si>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</si>
  <si>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</si>
  <si>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</si>
  <si>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</si>
  <si>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</si>
  <si>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</si>
  <si>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</si>
  <si>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</si>
  <si>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</si>
  <si>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</si>
  <si>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</si>
  <si>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</si>
  <si>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</si>
  <si>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</si>
  <si>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</si>
  <si>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</si>
  <si>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</si>
  <si>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</si>
  <si>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</si>
  <si>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</si>
  <si>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</si>
  <si>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</si>
  <si>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</si>
  <si>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</si>
  <si>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</si>
  <si>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</si>
  <si>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</si>
  <si>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</si>
  <si>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</si>
  <si>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</si>
  <si>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</si>
  <si>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</si>
  <si>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</si>
  <si>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</si>
  <si>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</si>
  <si>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</si>
  <si>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</si>
  <si>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</si>
  <si>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</si>
  <si>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</si>
  <si>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</si>
  <si>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</si>
  <si>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</si>
  <si>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</si>
  <si>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</si>
  <si>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</si>
  <si>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</si>
  <si>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</si>
  <si>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</si>
  <si>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</si>
  <si>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</si>
  <si>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</si>
  <si>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</si>
  <si>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</si>
  <si>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</si>
  <si>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</si>
  <si>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</si>
  <si>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</si>
  <si>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</si>
  <si>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</si>
  <si>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LABEL</t>
  </si>
  <si>
    <t>CPI--BASELINE SCENARIO (1982-84=1)</t>
  </si>
  <si>
    <t>CPIBASEMA</t>
  </si>
  <si>
    <t>CPI--OPTIMISTIC SCENARIO (1982-84=1)</t>
  </si>
  <si>
    <t>CPIOPTMA</t>
  </si>
  <si>
    <t>CPI--PESSIMISTIC SCENARIO (1982-84=1)</t>
  </si>
  <si>
    <t>CPIPESSMA</t>
  </si>
  <si>
    <t>Rate-to-rate CAF</t>
  </si>
  <si>
    <t>Assumption for Rate Reviews that are to be promulgated July 1, 2018</t>
  </si>
  <si>
    <t xml:space="preserve">Base period: </t>
  </si>
  <si>
    <t>FY19Q1</t>
  </si>
  <si>
    <t>Average</t>
  </si>
  <si>
    <t xml:space="preserve">Prospective rate period: </t>
  </si>
  <si>
    <t>7/1/18 - 6/30/20</t>
  </si>
  <si>
    <t>Department of Children and Families</t>
  </si>
  <si>
    <t xml:space="preserve">Certain Placement, Support, and Shared Living Services </t>
  </si>
  <si>
    <t>Regulation 101 CMR 411.00</t>
  </si>
  <si>
    <t>DRAFT   Proposed Rate Changes</t>
  </si>
  <si>
    <t>Service Model</t>
  </si>
  <si>
    <t>Proposed Change</t>
  </si>
  <si>
    <t>FY17 Expenditures</t>
  </si>
  <si>
    <r>
      <t>IFC One</t>
    </r>
    <r>
      <rPr>
        <b/>
        <sz val="12"/>
        <color rgb="FFFF0000"/>
        <rFont val="Calibri"/>
        <family val="2"/>
      </rPr>
      <t>* (new stipend rate is $25.16)</t>
    </r>
  </si>
  <si>
    <t>$117.67/per day</t>
  </si>
  <si>
    <t>CAF plus stipend increase</t>
  </si>
  <si>
    <t>$32.49/per day</t>
  </si>
  <si>
    <t>$150.17/per day</t>
  </si>
  <si>
    <t>$152.09/per day</t>
  </si>
  <si>
    <t>$149.20/per day</t>
  </si>
  <si>
    <t>$222.07/per day</t>
  </si>
  <si>
    <t xml:space="preserve">CAF plus stipend increase </t>
  </si>
  <si>
    <t>$303.57/per day</t>
  </si>
  <si>
    <t xml:space="preserve">CAF plus stipend increase  </t>
  </si>
  <si>
    <t>Transition to Adulthood</t>
  </si>
  <si>
    <t>$144.95/per day</t>
  </si>
  <si>
    <t>$44.10/per day</t>
  </si>
  <si>
    <t>Respite       NOT IN REG  /just same as IFC One stipend/DCF Only</t>
  </si>
  <si>
    <t>$58.45/per day</t>
  </si>
  <si>
    <t>NA</t>
  </si>
  <si>
    <t>Enhanced Intensive Foster Care</t>
  </si>
  <si>
    <t>Family Residential</t>
  </si>
  <si>
    <t>$151.47/per day</t>
  </si>
  <si>
    <t xml:space="preserve">CAF </t>
  </si>
  <si>
    <t>Complex Foster Care Medical</t>
  </si>
  <si>
    <t>$292.17/per day</t>
  </si>
  <si>
    <t xml:space="preserve">Service AMSS Product-Based Models </t>
  </si>
  <si>
    <t>Adoption Consultant Services</t>
  </si>
  <si>
    <t xml:space="preserve">     Adoption Assessment of a Child</t>
  </si>
  <si>
    <r>
      <t xml:space="preserve">     Adoption Assessment/Home Study of a foster/relative </t>
    </r>
    <r>
      <rPr>
        <sz val="8"/>
        <color theme="1"/>
        <rFont val="Calibri"/>
        <family val="2"/>
      </rPr>
      <t>(child is in home)</t>
    </r>
  </si>
  <si>
    <r>
      <t xml:space="preserve">     Adoption Assessment/Home Study of a relative </t>
    </r>
    <r>
      <rPr>
        <sz val="8"/>
        <color theme="1"/>
        <rFont val="Calibri"/>
        <family val="2"/>
      </rPr>
      <t>(child is not in home)</t>
    </r>
  </si>
  <si>
    <t xml:space="preserve">     MAPP Training/Home Study of a referred person or couple</t>
  </si>
  <si>
    <t xml:space="preserve">     Appearance Fee</t>
  </si>
  <si>
    <t xml:space="preserve">     MAPP Training Only</t>
  </si>
  <si>
    <t>Adoption Placement Case Management Services</t>
  </si>
  <si>
    <t>Case Acceptance/Assignment</t>
  </si>
  <si>
    <t>Adoption Assessment/Home Study of family (with whom child is placed)</t>
  </si>
  <si>
    <t>Child Legalization</t>
  </si>
  <si>
    <t>Adjustment for case held at least 3 years, but less than 5 years</t>
  </si>
  <si>
    <r>
      <t xml:space="preserve">Family Bonus for Provider’s Home </t>
    </r>
    <r>
      <rPr>
        <sz val="8"/>
        <color theme="1"/>
        <rFont val="Calibri"/>
        <family val="2"/>
      </rPr>
      <t>@ Legalization per child (minimum of 2 children)</t>
    </r>
  </si>
  <si>
    <t>NEED TO ADD TO REG</t>
  </si>
  <si>
    <t>Delayed Adoption (Legal delay/Appeal)</t>
  </si>
  <si>
    <t>Transfer of Case</t>
  </si>
  <si>
    <t>Adoption Family Development Services</t>
  </si>
  <si>
    <t>Reuse of Closed Home</t>
  </si>
  <si>
    <t>Recruitment</t>
  </si>
  <si>
    <t>Child- Specific  Recruitment</t>
  </si>
  <si>
    <t>Child specific Recruitment Renewal</t>
  </si>
  <si>
    <t>Intervention Services</t>
  </si>
  <si>
    <t>$45.98 per hour</t>
  </si>
  <si>
    <t>Interstate Cases</t>
  </si>
  <si>
    <t>Home Study</t>
  </si>
  <si>
    <t>Puerto Rico Cases</t>
  </si>
  <si>
    <t>CAF plus increase to transportation costs</t>
  </si>
  <si>
    <t>FY 17 exp. = $40,361</t>
  </si>
  <si>
    <t>Total increase of $100</t>
  </si>
  <si>
    <t>Family Evaluation Home Study in Puerto Rico (daily rate)</t>
  </si>
  <si>
    <t>CAF plus  increase to transportation costs</t>
  </si>
  <si>
    <t>Total increase of $2.00</t>
  </si>
  <si>
    <t>International Cases</t>
  </si>
  <si>
    <t>International Family Evaluation Home Study</t>
  </si>
  <si>
    <t>I.C.</t>
  </si>
  <si>
    <t>Additional Support Services</t>
  </si>
  <si>
    <t>Youth Permanency Connections</t>
  </si>
  <si>
    <r>
      <t xml:space="preserve">$48.85 </t>
    </r>
    <r>
      <rPr>
        <sz val="8"/>
        <color theme="1"/>
        <rFont val="Calibri"/>
        <family val="2"/>
      </rPr>
      <t>per client/per day</t>
    </r>
  </si>
  <si>
    <r>
      <t xml:space="preserve">$17,001 </t>
    </r>
    <r>
      <rPr>
        <sz val="8"/>
        <color theme="1"/>
        <rFont val="Calibri"/>
        <family val="2"/>
      </rPr>
      <t>monthly accommodation</t>
    </r>
  </si>
  <si>
    <t>Multiple Pre-Adoption Services</t>
  </si>
  <si>
    <r>
      <t>$62,910</t>
    </r>
    <r>
      <rPr>
        <sz val="8"/>
        <color theme="1"/>
        <rFont val="Calibri"/>
        <family val="2"/>
      </rPr>
      <t xml:space="preserve"> monthly accommodation</t>
    </r>
  </si>
  <si>
    <t>Multiple Post-Adoption Services</t>
  </si>
  <si>
    <r>
      <t>$137,438</t>
    </r>
    <r>
      <rPr>
        <sz val="8"/>
        <color theme="1"/>
        <rFont val="Calibri"/>
        <family val="2"/>
      </rPr>
      <t xml:space="preserve"> monthly accommodation</t>
    </r>
  </si>
  <si>
    <r>
      <t>Multiple Foster Parent Support Services</t>
    </r>
    <r>
      <rPr>
        <b/>
        <sz val="12"/>
        <color rgb="FFFF0000"/>
        <rFont val="Calibri"/>
        <family val="2"/>
      </rPr>
      <t>****</t>
    </r>
  </si>
  <si>
    <r>
      <t xml:space="preserve">$152,004 </t>
    </r>
    <r>
      <rPr>
        <sz val="8"/>
        <color theme="1"/>
        <rFont val="Calibri"/>
        <family val="2"/>
      </rPr>
      <t xml:space="preserve"> monthly accommodation</t>
    </r>
  </si>
  <si>
    <t>FY2019</t>
  </si>
  <si>
    <t>Intensive Foster Care One and Two Model Budget</t>
  </si>
  <si>
    <t>July 2018 Rate Review</t>
  </si>
  <si>
    <t>CAF July 2018 on new base</t>
  </si>
  <si>
    <t xml:space="preserve">Proposed Rate July 2018 </t>
  </si>
  <si>
    <t>July 2018 CAF</t>
  </si>
  <si>
    <t>New Monthly Accomodation Rate July 2018</t>
  </si>
  <si>
    <t>Master Look-Up Data</t>
  </si>
  <si>
    <t>Proposed Rates</t>
  </si>
  <si>
    <t>Relief Assumptions:</t>
  </si>
  <si>
    <t>Days</t>
  </si>
  <si>
    <t>Hours</t>
  </si>
  <si>
    <t>vacation</t>
  </si>
  <si>
    <t>A</t>
  </si>
  <si>
    <t>B</t>
  </si>
  <si>
    <t>C</t>
  </si>
  <si>
    <t>Days increased from 10-13</t>
  </si>
  <si>
    <t>sick/ personal</t>
  </si>
  <si>
    <t>Model Budget</t>
  </si>
  <si>
    <t>holidays</t>
  </si>
  <si>
    <t>Level: 1</t>
  </si>
  <si>
    <t>Bed Days:</t>
  </si>
  <si>
    <t>Level: 2</t>
  </si>
  <si>
    <t>Level: 3</t>
  </si>
  <si>
    <t>training</t>
  </si>
  <si>
    <t xml:space="preserve">Exp. Caseload  </t>
  </si>
  <si>
    <t>Total Hours per FTE:</t>
  </si>
  <si>
    <t>This % if releif changes based off the increase in personal days by 3 days.  % was previously 15.4%</t>
  </si>
  <si>
    <t>% of FTE</t>
  </si>
  <si>
    <t xml:space="preserve">Developed But Not In Use </t>
  </si>
  <si>
    <t xml:space="preserve">“Case Manager” </t>
  </si>
  <si>
    <t>Service Level A</t>
  </si>
  <si>
    <t>Service Level B</t>
  </si>
  <si>
    <t>Service Level C</t>
  </si>
  <si>
    <t>Service Level D</t>
  </si>
  <si>
    <t>Service Level E</t>
  </si>
  <si>
    <t>Service Level F</t>
  </si>
  <si>
    <t>Placement Spec</t>
  </si>
  <si>
    <t>Benchmark from YITS; 114.4CMR 13 and incorporated previous CAF of 2.05% into salary</t>
  </si>
  <si>
    <t xml:space="preserve">Caregiver Relief/Respite  </t>
  </si>
  <si>
    <t>Case Manager</t>
  </si>
  <si>
    <t>DC</t>
  </si>
  <si>
    <t>Placement Specialist</t>
  </si>
  <si>
    <t>Taken from "supervising profetional" DDS group -- weighted average, and incorporated previous CAF of 2.05% into salary</t>
  </si>
  <si>
    <t xml:space="preserve"> Hourly rate increased from $8 (original Model) to $11/hr</t>
  </si>
  <si>
    <t>Level A and B set at state minimum wage. Level C through F based on ALTC rates DC Blend (I+II+III)</t>
  </si>
  <si>
    <t>Direct Care</t>
  </si>
  <si>
    <t xml:space="preserve">Benchmark from ALTR DC position </t>
  </si>
  <si>
    <t>Ratio Calcs</t>
  </si>
  <si>
    <t xml:space="preserve"> Consultant / Clinical</t>
  </si>
  <si>
    <t>Stipend</t>
  </si>
  <si>
    <t xml:space="preserve"> A</t>
  </si>
  <si>
    <t xml:space="preserve"> B</t>
  </si>
  <si>
    <t xml:space="preserve"> C</t>
  </si>
  <si>
    <t xml:space="preserve"> D</t>
  </si>
  <si>
    <t xml:space="preserve"> E</t>
  </si>
  <si>
    <t xml:space="preserve"> F</t>
  </si>
  <si>
    <t>Direct Amin Expenses</t>
  </si>
  <si>
    <t>Agency Determined</t>
  </si>
  <si>
    <t xml:space="preserve">Staff/Caregiver Training </t>
  </si>
  <si>
    <t>Staff Mileage / Travel</t>
  </si>
  <si>
    <t xml:space="preserve">Program Supplies &amp; Materials </t>
  </si>
  <si>
    <t>Linked to DDS clean data</t>
  </si>
  <si>
    <t xml:space="preserve">Depends on agency allotment based on Shared Living Stipend Range </t>
  </si>
  <si>
    <t>Admin. Allocation</t>
  </si>
  <si>
    <t>Caregiver administration</t>
  </si>
  <si>
    <t xml:space="preserve"> Increased fee to $14.50 per transaction from $13.62 as Fam Stab reg has been updated</t>
  </si>
  <si>
    <t>Transaction fee</t>
  </si>
  <si>
    <t>26*$14.92*Case Load</t>
  </si>
  <si>
    <t>""</t>
  </si>
  <si>
    <t xml:space="preserve">Benchmark from Family Stabilization; 114.4 CMR 14.03,0.4. Client Financial Assistance/Flex Funding Admin.    26  represents a bi weekly set up; $14.50 is transaction fee in regulation.
</t>
  </si>
  <si>
    <t>Linked to DDS clean position break-out data</t>
  </si>
  <si>
    <t xml:space="preserve">Other Expenses </t>
  </si>
  <si>
    <t>Agency Determined- incorporated previous CAF of 2.05% into expense  plus 2.64% FY17 CAF</t>
  </si>
  <si>
    <t>DDS total other program expense - incorporated previous CAF of 2.05% into expense plus 2.64% FY17 CAF</t>
  </si>
  <si>
    <t>DDS total other program expense- incorporated previous CAF of 2.05% into expense plus 2.64% FY17 CAF</t>
  </si>
  <si>
    <t>RATE:</t>
  </si>
  <si>
    <t xml:space="preserve"> DDS total other program expense. DDS determined zero allotment for levels A and B. - incorporated previous CAF of 2.05% into expense plus 2.64% FY17 CAF</t>
  </si>
  <si>
    <t>Utilization Rate:</t>
  </si>
  <si>
    <t>Linked to original DDS clean data</t>
  </si>
  <si>
    <t>Caregiver Administration</t>
  </si>
  <si>
    <t>Wtg Average of Stipends</t>
  </si>
  <si>
    <t>FY17 CAF Rate</t>
  </si>
  <si>
    <t>FY19 CAF Rate</t>
  </si>
  <si>
    <t>Caregiver Relief/Respite   Calcs</t>
  </si>
  <si>
    <t>Basic</t>
  </si>
  <si>
    <t>Intermediate</t>
  </si>
  <si>
    <t>Intensive</t>
  </si>
  <si>
    <t>Source</t>
  </si>
  <si>
    <t>.036/client</t>
  </si>
  <si>
    <t>.045/client</t>
  </si>
  <si>
    <t>.056/client</t>
  </si>
  <si>
    <t xml:space="preserve">Varied Nonotuck </t>
  </si>
  <si>
    <t>DDS</t>
  </si>
  <si>
    <t>up-scaled to ratio</t>
  </si>
  <si>
    <t>Caregiver/respite</t>
  </si>
  <si>
    <t>$2,688/client (2 weeks @ $8/hr)</t>
  </si>
  <si>
    <t>$4,032/client (3 weeks at $8/hr)</t>
  </si>
  <si>
    <t>$6,720 (5 weeks at $8/hr)</t>
  </si>
  <si>
    <t>Minimum wage</t>
  </si>
  <si>
    <t>Tax &amp; Fringe</t>
  </si>
  <si>
    <t>DDS contract data</t>
  </si>
  <si>
    <t>$1435.25/client/year</t>
  </si>
  <si>
    <t>Consultant/Clinical</t>
  </si>
  <si>
    <t>1 hr month (1/2 hour of each, RN and Psych salary blend)</t>
  </si>
  <si>
    <t>2 hr month(1 hr RN, 1hr Psych- higher of the two salaries)</t>
  </si>
  <si>
    <t>8 hr month (4 hr RN, 4 hr Psych- higher of the two salaries)</t>
  </si>
  <si>
    <t>Salaries from ALTC proposal</t>
  </si>
  <si>
    <t>Staff/Caregiver training</t>
  </si>
  <si>
    <t>$595.26/client/year</t>
  </si>
  <si>
    <t>Staff Milage/travel</t>
  </si>
  <si>
    <t>$2,050.69/client/year</t>
  </si>
  <si>
    <t>Program supplies/materials</t>
  </si>
  <si>
    <t>1282.17/client/year</t>
  </si>
  <si>
    <t>Admin Allocation</t>
  </si>
  <si>
    <t xml:space="preserve">Placement Spec. calcs </t>
  </si>
  <si>
    <t>Global Insight</t>
  </si>
  <si>
    <t xml:space="preserve">Single Client </t>
  </si>
  <si>
    <t xml:space="preserve">Single Client Break Out </t>
  </si>
  <si>
    <t xml:space="preserve">Client   </t>
  </si>
  <si>
    <t>Stipend Amount</t>
  </si>
  <si>
    <t>Activity</t>
  </si>
  <si>
    <t>Round Up 1000</t>
  </si>
  <si>
    <t>Round Up Various</t>
  </si>
  <si>
    <t>Increase</t>
  </si>
  <si>
    <t>% Increase</t>
  </si>
  <si>
    <t xml:space="preserve">Count </t>
  </si>
  <si>
    <t xml:space="preserve">Average </t>
  </si>
  <si>
    <t>Daily Stipend RateEffective FY19</t>
  </si>
  <si>
    <t>Stipend Level  Effective FY19</t>
  </si>
  <si>
    <t>Stipend Rates</t>
  </si>
  <si>
    <t>Per Diem Rate</t>
  </si>
  <si>
    <t>Per Diem Rate with 95% Utilization</t>
  </si>
  <si>
    <t>Per Diem Rate with 95% Utilization &amp; CAF
FY19 Rate Review</t>
  </si>
  <si>
    <t xml:space="preserve">Operational Level A Stipend Eligibility  Range </t>
  </si>
  <si>
    <t xml:space="preserve">Operational Level B Stipend Eligibility  Range </t>
  </si>
  <si>
    <t xml:space="preserve">Operational Level C Stipend Eligibility  Range </t>
  </si>
  <si>
    <t>Totals:</t>
  </si>
  <si>
    <t xml:space="preserve">Fiscal Impact </t>
  </si>
  <si>
    <t xml:space="preserve">Shared Living Hourly Rate </t>
  </si>
  <si>
    <t>Position</t>
  </si>
  <si>
    <t xml:space="preserve">Direct Care </t>
  </si>
  <si>
    <t>Hourly Rate</t>
  </si>
  <si>
    <t>Rate Review CAF</t>
  </si>
  <si>
    <t>Per Hour</t>
  </si>
  <si>
    <t>Per 1/4 hour</t>
  </si>
  <si>
    <t>Registered Nurse (RN)
Licensed Practical Nurse (LPN)</t>
  </si>
  <si>
    <t>Clinician</t>
  </si>
  <si>
    <t>October 2016 Rate</t>
  </si>
  <si>
    <t>October 2016 CAF</t>
  </si>
  <si>
    <t>1/4 Hour Rate</t>
  </si>
  <si>
    <t>Licensed Practical Nurse (LPN)</t>
  </si>
  <si>
    <t>Registered Nurse (RN)</t>
  </si>
  <si>
    <r>
      <t>7.</t>
    </r>
    <r>
      <rPr>
        <sz val="11"/>
        <rFont val="Calibri"/>
        <family val="2"/>
      </rPr>
      <t>Family Evaluation Home Study in Puerto Rico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</si>
</sst>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$#,##0"/>
    <numFmt numFmtId="165" formatCode="0.0"/>
    <numFmt numFmtId="166" formatCode="_(&quot;$&quot;* #,##0_);_(&quot;$&quot;* \(#,##0\);_(&quot;$&quot;* &quot;-&quot;??_);_(@_)"/>
    <numFmt numFmtId="167" formatCode="#,##0.000"/>
    <numFmt numFmtId="168" formatCode="&quot;$&quot;#,##0"/>
    <numFmt numFmtId="169" formatCode="0.000"/>
    <numFmt numFmtId="170" formatCode="&quot;$&quot;#,##0.00"/>
    <numFmt numFmtId="171" formatCode="\$#,##0.00"/>
    <numFmt numFmtId="172" formatCode="#,##0.0000_);\(#,##0.0000\)"/>
    <numFmt numFmtId="173" formatCode="0.0%"/>
    <numFmt numFmtId="174" formatCode="&quot;$&quot;#,##0;\(&quot;$&quot;#,##0\)"/>
    <numFmt numFmtId="175" formatCode="0.0000"/>
    <numFmt numFmtId="176" formatCode="_(* #,##0_);_(* \(#,##0\);_(* &quot;-&quot;??_);_(@_)"/>
    <numFmt numFmtId="177" formatCode="_(&quot;$&quot;* #,##0.000_);_(&quot;$&quot;* \(#,##0.000\);_(&quot;$&quot;* &quot;-&quot;??_);_(@_)"/>
  </numFmts>
  <fonts count="10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name val="Calibri"/>
      <family val="2"/>
    </font>
    <font>
      <b/>
      <u/>
      <sz val="10"/>
      <color indexed="8"/>
      <name val="Arial"/>
      <family val="2"/>
    </font>
    <font>
      <b/>
      <sz val="10"/>
      <color indexed="17"/>
      <name val="Arial"/>
      <family val="2"/>
    </font>
    <font>
      <sz val="10"/>
      <color theme="1"/>
      <name val="Arial"/>
      <family val="2"/>
    </font>
    <font>
      <sz val="10"/>
      <color indexed="17"/>
      <name val="Arial"/>
      <family val="2"/>
    </font>
    <font>
      <sz val="10"/>
      <color indexed="30"/>
      <name val="Arial"/>
      <family val="2"/>
    </font>
    <font>
      <sz val="11"/>
      <color indexed="3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7"/>
      <name val="Calibri"/>
      <family val="2"/>
    </font>
    <font>
      <sz val="11"/>
      <color theme="1"/>
      <name val="Calibri"/>
      <family val="2"/>
    </font>
    <font>
      <b/>
      <sz val="11"/>
      <color indexed="17"/>
      <name val="Calibri"/>
      <family val="2"/>
    </font>
    <font>
      <sz val="10"/>
      <color indexed="62"/>
      <name val="Arial"/>
      <family val="2"/>
    </font>
    <font>
      <sz val="11"/>
      <color indexed="62"/>
      <name val="Calibri"/>
      <family val="2"/>
    </font>
    <font>
      <sz val="8"/>
      <color theme="1"/>
      <name val="Calibri"/>
      <family val="2"/>
      <scheme val="minor"/>
    </font>
    <font>
      <b/>
      <sz val="9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b/>
      <sz val="8.5"/>
      <name val="Arial"/>
      <family val="2"/>
    </font>
    <font>
      <sz val="11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sz val="10"/>
      <color indexed="12"/>
      <name val="Arial"/>
      <family val="2"/>
    </font>
    <font>
      <sz val="9"/>
      <color indexed="9"/>
      <name val="Arial"/>
      <family val="2"/>
    </font>
    <font>
      <u/>
      <sz val="10"/>
      <name val="Arial"/>
      <family val="2"/>
    </font>
    <font>
      <b/>
      <sz val="8"/>
      <color indexed="9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indexed="9"/>
      <name val="Arial"/>
      <family val="2"/>
    </font>
    <font>
      <b/>
      <sz val="10"/>
      <color indexed="62"/>
      <name val="Arial"/>
      <family val="2"/>
    </font>
    <font>
      <u/>
      <sz val="10"/>
      <color indexed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0"/>
      <name val="Calibri"/>
      <family val="2"/>
    </font>
    <font>
      <sz val="11"/>
      <color rgb="FF9C0006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</font>
    <font>
      <sz val="11"/>
      <color rgb="FF0070C0"/>
      <name val="Calibri"/>
      <family val="2"/>
    </font>
    <font>
      <b/>
      <sz val="10"/>
      <color rgb="FF000000"/>
      <name val="Arial"/>
      <family val="2"/>
    </font>
    <font>
      <sz val="8"/>
      <name val="Arial"/>
      <family val="2"/>
    </font>
    <font>
      <sz val="1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i/>
      <sz val="10"/>
      <name val="Arial"/>
      <family val="2"/>
    </font>
    <font>
      <sz val="10"/>
      <name val="Calibri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2"/>
      <color theme="1"/>
      <name val="Times New Roman"/>
      <family val="1"/>
    </font>
    <font>
      <sz val="10"/>
      <color theme="1"/>
      <name val="Calibri"/>
      <family val="2"/>
    </font>
    <font>
      <b/>
      <sz val="12"/>
      <color theme="1"/>
      <name val="Calibri"/>
      <family val="2"/>
    </font>
    <font>
      <b/>
      <sz val="10"/>
      <color theme="1"/>
      <name val="Calibri"/>
      <family val="2"/>
    </font>
    <font>
      <b/>
      <sz val="12"/>
      <color rgb="FFFF0000"/>
      <name val="Calibri"/>
      <family val="2"/>
    </font>
    <font>
      <sz val="12"/>
      <color theme="1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b/>
      <sz val="11"/>
      <color theme="0"/>
      <name val="Calibri"/>
      <family val="2"/>
      <scheme val="minor"/>
    </font>
    <font>
      <b/>
      <sz val="20"/>
      <color theme="1"/>
      <name val="Calibri"/>
      <family val="2"/>
    </font>
    <font>
      <sz val="10"/>
      <color theme="3" tint="0.39997558519241921"/>
      <name val="Arial"/>
      <family val="2"/>
    </font>
    <font>
      <b/>
      <sz val="10"/>
      <color theme="3" tint="0.39997558519241921"/>
      <name val="Arial"/>
      <family val="2"/>
    </font>
    <font>
      <b/>
      <sz val="10"/>
      <color rgb="FF00B050"/>
      <name val="Arial"/>
      <family val="2"/>
    </font>
    <font>
      <b/>
      <sz val="10"/>
      <color indexed="30"/>
      <name val="Arial"/>
      <family val="2"/>
    </font>
    <font>
      <sz val="14"/>
      <color theme="1"/>
      <name val="Calibri"/>
      <family val="2"/>
    </font>
    <font>
      <b/>
      <sz val="10"/>
      <color theme="1"/>
      <name val="Arial"/>
      <family val="2"/>
    </font>
    <font>
      <sz val="10"/>
      <color rgb="FF00B050"/>
      <name val="Arial"/>
      <family val="2"/>
    </font>
    <font>
      <b/>
      <sz val="10"/>
      <color rgb="FF0070C0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Calibri"/>
      <family val="2"/>
    </font>
    <font>
      <b/>
      <sz val="11"/>
      <color theme="1"/>
      <name val="Arial"/>
      <family val="2"/>
    </font>
    <font>
      <sz val="11"/>
      <color rgb="FF00B050"/>
      <name val="Arial"/>
      <family val="2"/>
    </font>
    <font>
      <sz val="11"/>
      <color rgb="FF0070C0"/>
      <name val="Arial"/>
      <family val="2"/>
    </font>
    <font>
      <sz val="11"/>
      <color theme="1"/>
      <name val="Arial"/>
      <family val="2"/>
    </font>
    <font>
      <b/>
      <u/>
      <sz val="11"/>
      <color theme="1"/>
      <name val="Calibri"/>
      <family val="2"/>
    </font>
    <font>
      <sz val="10"/>
      <color rgb="FF0070C0"/>
      <name val="Arial"/>
      <family val="2"/>
    </font>
    <font>
      <i/>
      <sz val="10"/>
      <color theme="1"/>
      <name val="Arial"/>
      <family val="2"/>
    </font>
    <font>
      <i/>
      <sz val="10"/>
      <color rgb="FF00B050"/>
      <name val="Arial"/>
      <family val="2"/>
    </font>
    <font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EE8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A5A5A5"/>
      </patternFill>
    </fill>
    <fill>
      <patternFill patternType="solid">
        <fgColor indexed="4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1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2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thin">
        <color indexed="23"/>
      </right>
      <top style="thin">
        <color indexed="64"/>
      </top>
      <bottom style="thin">
        <color indexed="23"/>
      </bottom>
      <diagonal/>
    </border>
    <border>
      <left style="thin">
        <color indexed="23"/>
      </left>
      <right style="medium">
        <color rgb="FFFF0000"/>
      </right>
      <top style="thin">
        <color indexed="64"/>
      </top>
      <bottom style="thin">
        <color indexed="23"/>
      </bottom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thin">
        <color indexed="64"/>
      </bottom>
      <diagonal/>
    </border>
    <border>
      <left/>
      <right style="medium">
        <color rgb="FFFF0000"/>
      </right>
      <top/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/>
      <diagonal/>
    </border>
    <border>
      <left/>
      <right style="medium">
        <color rgb="FFFF0000"/>
      </right>
      <top style="thin">
        <color indexed="64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indexed="64"/>
      </bottom>
      <diagonal/>
    </border>
    <border>
      <left/>
      <right/>
      <top style="medium">
        <color rgb="FFFF0000"/>
      </top>
      <bottom style="medium">
        <color indexed="64"/>
      </bottom>
      <diagonal/>
    </border>
    <border>
      <left/>
      <right style="medium">
        <color rgb="FFFF0000"/>
      </right>
      <top style="medium">
        <color rgb="FFFF0000"/>
      </top>
      <bottom style="medium">
        <color indexed="64"/>
      </bottom>
      <diagonal/>
    </border>
    <border>
      <left style="thin">
        <color indexed="64"/>
      </left>
      <right style="medium">
        <color rgb="FFFF0000"/>
      </right>
      <top/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/>
      <right style="medium">
        <color rgb="FFFF0000"/>
      </right>
      <top style="thin">
        <color theme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medium">
        <color rgb="FFFF0000"/>
      </right>
      <top style="thin">
        <color theme="1"/>
      </top>
      <bottom style="thin">
        <color theme="1"/>
      </bottom>
      <diagonal/>
    </border>
    <border>
      <left style="medium">
        <color rgb="FFFF0000"/>
      </left>
      <right/>
      <top/>
      <bottom style="medium">
        <color indexed="64"/>
      </bottom>
      <diagonal/>
    </border>
    <border>
      <left style="medium">
        <color rgb="FFFF0000"/>
      </left>
      <right style="thin">
        <color indexed="23"/>
      </right>
      <top style="medium">
        <color rgb="FFFF0000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medium">
        <color rgb="FFFF0000"/>
      </top>
      <bottom style="thin">
        <color indexed="23"/>
      </bottom>
      <diagonal/>
    </border>
    <border>
      <left style="thin">
        <color indexed="23"/>
      </left>
      <right style="medium">
        <color rgb="FFFF0000"/>
      </right>
      <top style="medium">
        <color rgb="FFFF0000"/>
      </top>
      <bottom style="thin">
        <color indexed="23"/>
      </bottom>
      <diagonal/>
    </border>
    <border>
      <left style="medium">
        <color indexed="64"/>
      </left>
      <right style="medium">
        <color rgb="FFFF0000"/>
      </right>
      <top style="medium">
        <color indexed="64"/>
      </top>
      <bottom style="medium">
        <color indexed="64"/>
      </bottom>
      <diagonal/>
    </border>
    <border>
      <left/>
      <right style="medium">
        <color rgb="FFFF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7F7F7F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rgb="FFC00000"/>
      </bottom>
      <diagonal/>
    </border>
    <border>
      <left/>
      <right style="thin">
        <color indexed="64"/>
      </right>
      <top style="medium">
        <color rgb="FFC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thin">
        <color indexed="64"/>
      </bottom>
      <diagonal/>
    </border>
    <border>
      <left style="thin">
        <color indexed="64"/>
      </left>
      <right style="medium">
        <color rgb="FFC00000"/>
      </right>
      <top style="medium">
        <color rgb="FFC00000"/>
      </top>
      <bottom style="thin">
        <color indexed="64"/>
      </bottom>
      <diagonal/>
    </border>
    <border>
      <left style="thin">
        <color indexed="64"/>
      </left>
      <right style="medium">
        <color rgb="FFC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thin">
        <color indexed="64"/>
      </top>
      <bottom style="medium">
        <color rgb="FFC00000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62">
    <xf numFmtId="0" fontId="0" fillId="0" borderId="0"/>
    <xf numFmtId="4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4" fillId="4" borderId="1" applyNumberFormat="0" applyAlignment="0" applyProtection="0"/>
    <xf numFmtId="0" fontId="6" fillId="0" borderId="0"/>
    <xf numFmtId="0" fontId="6" fillId="0" borderId="0"/>
    <xf numFmtId="0" fontId="21" fillId="0" borderId="0"/>
    <xf numFmtId="44" fontId="6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21" fillId="0" borderId="0"/>
    <xf numFmtId="9" fontId="30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0" fontId="21" fillId="8" borderId="0" applyNumberFormat="0" applyBorder="0" applyAlignment="0" applyProtection="0"/>
    <xf numFmtId="0" fontId="21" fillId="10" borderId="0" applyNumberFormat="0" applyBorder="0" applyAlignment="0" applyProtection="0"/>
    <xf numFmtId="0" fontId="48" fillId="6" borderId="0" applyNumberFormat="0" applyBorder="0" applyAlignment="0" applyProtection="0"/>
    <xf numFmtId="0" fontId="48" fillId="9" borderId="0" applyNumberFormat="0" applyBorder="0" applyAlignment="0" applyProtection="0"/>
    <xf numFmtId="0" fontId="48" fillId="11" borderId="0" applyNumberFormat="0" applyBorder="0" applyAlignment="0" applyProtection="0"/>
    <xf numFmtId="0" fontId="48" fillId="7" borderId="0" applyNumberFormat="0" applyBorder="0" applyAlignment="0" applyProtection="0"/>
    <xf numFmtId="0" fontId="48" fillId="12" borderId="0" applyNumberFormat="0" applyBorder="0" applyAlignment="0" applyProtection="0"/>
    <xf numFmtId="0" fontId="3" fillId="3" borderId="0" applyNumberFormat="0" applyBorder="0" applyAlignment="0" applyProtection="0"/>
    <xf numFmtId="0" fontId="49" fillId="3" borderId="0" applyNumberFormat="0" applyBorder="0" applyAlignment="0" applyProtection="0"/>
    <xf numFmtId="41" fontId="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" fillId="2" borderId="0" applyNumberFormat="0" applyBorder="0" applyAlignment="0" applyProtection="0"/>
    <xf numFmtId="0" fontId="19" fillId="0" borderId="0"/>
    <xf numFmtId="0" fontId="19" fillId="5" borderId="2" applyNumberFormat="0" applyFon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3" fillId="3" borderId="0" applyNumberFormat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6" fillId="0" borderId="0"/>
    <xf numFmtId="43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1" fillId="0" borderId="0"/>
    <xf numFmtId="0" fontId="6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85" fillId="33" borderId="100" applyNumberFormat="0" applyAlignment="0" applyProtection="0"/>
  </cellStyleXfs>
  <cellXfs count="1666">
    <xf numFmtId="0" fontId="0" fillId="0" borderId="0" xfId="0"/>
    <xf numFmtId="0" fontId="7" fillId="0" borderId="0" xfId="4" applyFont="1" applyAlignment="1">
      <alignment horizontal="center"/>
    </xf>
    <xf numFmtId="164" fontId="8" fillId="13" borderId="4" xfId="4" applyNumberFormat="1" applyFont="1" applyFill="1" applyBorder="1" applyAlignment="1"/>
    <xf numFmtId="0" fontId="6" fillId="0" borderId="5" xfId="4" applyBorder="1"/>
    <xf numFmtId="0" fontId="9" fillId="0" borderId="0" xfId="4" applyFont="1"/>
    <xf numFmtId="3" fontId="10" fillId="0" borderId="0" xfId="4" applyNumberFormat="1" applyFont="1"/>
    <xf numFmtId="0" fontId="6" fillId="0" borderId="0" xfId="4"/>
    <xf numFmtId="164" fontId="8" fillId="13" borderId="10" xfId="4" applyNumberFormat="1" applyFont="1" applyFill="1" applyBorder="1" applyAlignment="1"/>
    <xf numFmtId="0" fontId="0" fillId="0" borderId="5" xfId="0" applyBorder="1"/>
    <xf numFmtId="0" fontId="9" fillId="0" borderId="0" xfId="0" applyFont="1"/>
    <xf numFmtId="164" fontId="8" fillId="0" borderId="0" xfId="0" applyNumberFormat="1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0" fontId="10" fillId="0" borderId="15" xfId="4" applyFont="1" applyBorder="1"/>
    <xf numFmtId="0" fontId="10" fillId="0" borderId="8" xfId="4" applyFont="1" applyBorder="1"/>
    <xf numFmtId="164" fontId="12" fillId="0" borderId="16" xfId="4" applyNumberFormat="1" applyFont="1" applyBorder="1" applyAlignment="1"/>
    <xf numFmtId="164" fontId="12" fillId="0" borderId="8" xfId="4" applyNumberFormat="1" applyFont="1" applyBorder="1" applyAlignment="1">
      <alignment horizontal="center"/>
    </xf>
    <xf numFmtId="0" fontId="8" fillId="0" borderId="5" xfId="4" applyFont="1" applyBorder="1"/>
    <xf numFmtId="0" fontId="0" fillId="0" borderId="0" xfId="0" applyBorder="1" applyAlignment="1">
      <alignment horizontal="center"/>
    </xf>
    <xf numFmtId="0" fontId="10" fillId="0" borderId="0" xfId="4" applyFont="1" applyBorder="1"/>
    <xf numFmtId="0" fontId="10" fillId="0" borderId="0" xfId="4" applyFont="1" applyBorder="1" applyAlignment="1">
      <alignment horizontal="center"/>
    </xf>
    <xf numFmtId="164" fontId="6" fillId="0" borderId="0" xfId="0" applyNumberFormat="1" applyFont="1" applyBorder="1"/>
    <xf numFmtId="3" fontId="10" fillId="0" borderId="0" xfId="0" applyNumberFormat="1" applyFont="1"/>
    <xf numFmtId="164" fontId="6" fillId="0" borderId="5" xfId="0" applyNumberFormat="1" applyFont="1" applyBorder="1"/>
    <xf numFmtId="0" fontId="14" fillId="0" borderId="0" xfId="0" applyFont="1" applyAlignment="1">
      <alignment vertical="center" wrapText="1"/>
    </xf>
    <xf numFmtId="0" fontId="6" fillId="0" borderId="0" xfId="4" applyFont="1" applyBorder="1"/>
    <xf numFmtId="0" fontId="9" fillId="0" borderId="5" xfId="4" applyFont="1" applyBorder="1"/>
    <xf numFmtId="0" fontId="9" fillId="0" borderId="0" xfId="4" applyFont="1" applyBorder="1"/>
    <xf numFmtId="42" fontId="9" fillId="0" borderId="0" xfId="4" applyNumberFormat="1" applyFont="1"/>
    <xf numFmtId="0" fontId="9" fillId="0" borderId="0" xfId="4" applyFont="1" applyFill="1" applyBorder="1"/>
    <xf numFmtId="164" fontId="12" fillId="0" borderId="5" xfId="0" applyNumberFormat="1" applyFont="1" applyBorder="1" applyAlignment="1">
      <alignment horizontal="center"/>
    </xf>
    <xf numFmtId="0" fontId="10" fillId="0" borderId="0" xfId="0" applyFont="1" applyBorder="1"/>
    <xf numFmtId="165" fontId="6" fillId="0" borderId="0" xfId="0" applyNumberFormat="1" applyFont="1" applyBorder="1"/>
    <xf numFmtId="0" fontId="0" fillId="0" borderId="0" xfId="0" applyBorder="1"/>
    <xf numFmtId="3" fontId="10" fillId="0" borderId="0" xfId="0" applyNumberFormat="1" applyFont="1" applyBorder="1"/>
    <xf numFmtId="0" fontId="6" fillId="0" borderId="0" xfId="5"/>
    <xf numFmtId="165" fontId="6" fillId="0" borderId="5" xfId="0" applyNumberFormat="1" applyFont="1" applyBorder="1"/>
    <xf numFmtId="0" fontId="6" fillId="0" borderId="25" xfId="4" applyFont="1" applyBorder="1" applyAlignment="1">
      <alignment wrapText="1"/>
    </xf>
    <xf numFmtId="164" fontId="12" fillId="0" borderId="5" xfId="4" applyNumberFormat="1" applyFont="1" applyBorder="1" applyAlignment="1">
      <alignment horizontal="center"/>
    </xf>
    <xf numFmtId="0" fontId="10" fillId="0" borderId="27" xfId="4" applyFont="1" applyBorder="1" applyAlignment="1">
      <alignment wrapText="1"/>
    </xf>
    <xf numFmtId="0" fontId="10" fillId="0" borderId="27" xfId="4" applyFont="1" applyBorder="1" applyAlignment="1">
      <alignment horizontal="center"/>
    </xf>
    <xf numFmtId="164" fontId="8" fillId="0" borderId="25" xfId="0" applyNumberFormat="1" applyFont="1" applyFill="1" applyBorder="1"/>
    <xf numFmtId="164" fontId="6" fillId="0" borderId="25" xfId="0" applyNumberFormat="1" applyFont="1" applyFill="1" applyBorder="1"/>
    <xf numFmtId="0" fontId="6" fillId="0" borderId="5" xfId="0" applyFont="1" applyBorder="1"/>
    <xf numFmtId="0" fontId="9" fillId="0" borderId="0" xfId="0" applyFont="1" applyBorder="1"/>
    <xf numFmtId="0" fontId="10" fillId="0" borderId="0" xfId="0" applyFont="1" applyBorder="1" applyAlignment="1">
      <alignment horizontal="center"/>
    </xf>
    <xf numFmtId="0" fontId="6" fillId="0" borderId="0" xfId="4" applyFont="1" applyFill="1" applyBorder="1"/>
    <xf numFmtId="0" fontId="6" fillId="0" borderId="5" xfId="4" applyFont="1" applyBorder="1"/>
    <xf numFmtId="2" fontId="9" fillId="0" borderId="0" xfId="4" applyNumberFormat="1" applyFont="1" applyFill="1" applyBorder="1"/>
    <xf numFmtId="42" fontId="15" fillId="0" borderId="0" xfId="4" applyNumberFormat="1" applyFont="1" applyBorder="1"/>
    <xf numFmtId="4" fontId="16" fillId="0" borderId="0" xfId="4" applyNumberFormat="1" applyFont="1" applyBorder="1"/>
    <xf numFmtId="44" fontId="9" fillId="0" borderId="0" xfId="4" applyNumberFormat="1" applyFont="1"/>
    <xf numFmtId="0" fontId="10" fillId="0" borderId="27" xfId="0" applyFont="1" applyBorder="1" applyAlignment="1">
      <alignment wrapText="1"/>
    </xf>
    <xf numFmtId="0" fontId="10" fillId="0" borderId="27" xfId="0" applyFont="1" applyBorder="1" applyAlignment="1">
      <alignment horizontal="center"/>
    </xf>
    <xf numFmtId="42" fontId="9" fillId="0" borderId="0" xfId="0" applyNumberFormat="1" applyFont="1"/>
    <xf numFmtId="165" fontId="8" fillId="0" borderId="25" xfId="0" applyNumberFormat="1" applyFont="1" applyFill="1" applyBorder="1"/>
    <xf numFmtId="165" fontId="6" fillId="0" borderId="25" xfId="0" applyNumberFormat="1" applyFont="1" applyFill="1" applyBorder="1"/>
    <xf numFmtId="0" fontId="6" fillId="0" borderId="5" xfId="0" applyFont="1" applyFill="1" applyBorder="1"/>
    <xf numFmtId="2" fontId="9" fillId="0" borderId="0" xfId="0" applyNumberFormat="1" applyFont="1" applyFill="1" applyBorder="1"/>
    <xf numFmtId="42" fontId="15" fillId="0" borderId="0" xfId="0" applyNumberFormat="1" applyFont="1" applyBorder="1"/>
    <xf numFmtId="4" fontId="16" fillId="0" borderId="0" xfId="0" applyNumberFormat="1" applyFont="1" applyBorder="1"/>
    <xf numFmtId="0" fontId="8" fillId="0" borderId="0" xfId="0" applyFont="1" applyBorder="1" applyAlignment="1">
      <alignment horizontal="center"/>
    </xf>
    <xf numFmtId="42" fontId="9" fillId="0" borderId="0" xfId="0" applyNumberFormat="1" applyFont="1" applyBorder="1"/>
    <xf numFmtId="0" fontId="17" fillId="0" borderId="0" xfId="0" applyFont="1" applyBorder="1"/>
    <xf numFmtId="0" fontId="6" fillId="0" borderId="0" xfId="4" applyBorder="1"/>
    <xf numFmtId="0" fontId="8" fillId="0" borderId="5" xfId="0" applyFont="1" applyBorder="1" applyAlignment="1">
      <alignment horizontal="center"/>
    </xf>
    <xf numFmtId="0" fontId="8" fillId="0" borderId="0" xfId="0" applyFont="1" applyBorder="1"/>
    <xf numFmtId="2" fontId="17" fillId="0" borderId="0" xfId="0" applyNumberFormat="1" applyFont="1" applyBorder="1"/>
    <xf numFmtId="0" fontId="8" fillId="0" borderId="5" xfId="0" applyFont="1" applyBorder="1"/>
    <xf numFmtId="1" fontId="12" fillId="0" borderId="27" xfId="4" applyNumberFormat="1" applyFont="1" applyBorder="1" applyAlignment="1">
      <alignment horizontal="center"/>
    </xf>
    <xf numFmtId="1" fontId="12" fillId="0" borderId="5" xfId="4" applyNumberFormat="1" applyFont="1" applyBorder="1" applyAlignment="1">
      <alignment horizontal="center"/>
    </xf>
    <xf numFmtId="42" fontId="15" fillId="0" borderId="0" xfId="4" applyNumberFormat="1" applyFont="1" applyFill="1" applyBorder="1"/>
    <xf numFmtId="42" fontId="15" fillId="0" borderId="0" xfId="0" applyNumberFormat="1" applyFont="1" applyFill="1" applyBorder="1"/>
    <xf numFmtId="166" fontId="20" fillId="0" borderId="0" xfId="1" applyNumberFormat="1" applyFont="1" applyBorder="1"/>
    <xf numFmtId="166" fontId="19" fillId="0" borderId="0" xfId="1" applyNumberFormat="1" applyFont="1"/>
    <xf numFmtId="0" fontId="6" fillId="0" borderId="0" xfId="5" applyBorder="1"/>
    <xf numFmtId="167" fontId="16" fillId="0" borderId="0" xfId="0" applyNumberFormat="1" applyFont="1" applyBorder="1"/>
    <xf numFmtId="4" fontId="16" fillId="0" borderId="0" xfId="0" applyNumberFormat="1" applyFont="1" applyFill="1" applyBorder="1"/>
    <xf numFmtId="164" fontId="6" fillId="0" borderId="0" xfId="4" applyNumberFormat="1" applyFont="1" applyBorder="1" applyAlignment="1">
      <alignment horizontal="right"/>
    </xf>
    <xf numFmtId="16" fontId="8" fillId="0" borderId="0" xfId="4" applyNumberFormat="1" applyFont="1" applyBorder="1" applyAlignment="1">
      <alignment horizontal="center"/>
    </xf>
    <xf numFmtId="0" fontId="8" fillId="0" borderId="27" xfId="4" applyNumberFormat="1" applyFont="1" applyBorder="1" applyAlignment="1">
      <alignment horizontal="center"/>
    </xf>
    <xf numFmtId="2" fontId="8" fillId="0" borderId="24" xfId="4" quotePrefix="1" applyNumberFormat="1" applyFont="1" applyFill="1" applyBorder="1" applyAlignment="1">
      <alignment horizontal="center"/>
    </xf>
    <xf numFmtId="1" fontId="8" fillId="0" borderId="24" xfId="4" applyNumberFormat="1" applyFont="1" applyFill="1" applyBorder="1" applyAlignment="1">
      <alignment horizontal="center"/>
    </xf>
    <xf numFmtId="2" fontId="8" fillId="0" borderId="5" xfId="4" applyNumberFormat="1" applyFont="1" applyFill="1" applyBorder="1" applyAlignment="1">
      <alignment horizontal="center"/>
    </xf>
    <xf numFmtId="1" fontId="12" fillId="0" borderId="5" xfId="0" applyNumberFormat="1" applyFont="1" applyBorder="1" applyAlignment="1">
      <alignment horizontal="center"/>
    </xf>
    <xf numFmtId="2" fontId="17" fillId="0" borderId="0" xfId="6" applyNumberFormat="1" applyFont="1" applyBorder="1"/>
    <xf numFmtId="42" fontId="9" fillId="0" borderId="0" xfId="0" applyNumberFormat="1" applyFont="1" applyBorder="1" applyAlignment="1">
      <alignment wrapText="1"/>
    </xf>
    <xf numFmtId="2" fontId="16" fillId="0" borderId="25" xfId="4" applyNumberFormat="1" applyFont="1" applyFill="1" applyBorder="1" applyAlignment="1">
      <alignment horizontal="center"/>
    </xf>
    <xf numFmtId="2" fontId="16" fillId="14" borderId="25" xfId="4" applyNumberFormat="1" applyFont="1" applyFill="1" applyBorder="1" applyAlignment="1">
      <alignment horizontal="center"/>
    </xf>
    <xf numFmtId="2" fontId="23" fillId="0" borderId="0" xfId="4" applyNumberFormat="1" applyFont="1" applyFill="1" applyBorder="1" applyAlignment="1">
      <alignment horizontal="center"/>
    </xf>
    <xf numFmtId="0" fontId="23" fillId="0" borderId="5" xfId="4" applyNumberFormat="1" applyFont="1" applyBorder="1" applyAlignment="1">
      <alignment horizontal="center"/>
    </xf>
    <xf numFmtId="0" fontId="10" fillId="0" borderId="24" xfId="4" applyFont="1" applyBorder="1"/>
    <xf numFmtId="4" fontId="10" fillId="0" borderId="24" xfId="4" applyNumberFormat="1" applyFont="1" applyBorder="1"/>
    <xf numFmtId="0" fontId="6" fillId="0" borderId="13" xfId="4" applyBorder="1"/>
    <xf numFmtId="1" fontId="12" fillId="13" borderId="0" xfId="0" applyNumberFormat="1" applyFont="1" applyFill="1" applyBorder="1" applyAlignment="1">
      <alignment horizontal="center"/>
    </xf>
    <xf numFmtId="164" fontId="8" fillId="13" borderId="0" xfId="0" applyNumberFormat="1" applyFont="1" applyFill="1" applyBorder="1" applyAlignment="1">
      <alignment horizontal="right"/>
    </xf>
    <xf numFmtId="16" fontId="8" fillId="13" borderId="0" xfId="0" applyNumberFormat="1" applyFont="1" applyFill="1" applyBorder="1" applyAlignment="1">
      <alignment horizontal="center"/>
    </xf>
    <xf numFmtId="0" fontId="8" fillId="13" borderId="0" xfId="0" applyNumberFormat="1" applyFont="1" applyFill="1" applyBorder="1" applyAlignment="1">
      <alignment horizontal="center"/>
    </xf>
    <xf numFmtId="2" fontId="8" fillId="13" borderId="0" xfId="0" quotePrefix="1" applyNumberFormat="1" applyFont="1" applyFill="1" applyBorder="1" applyAlignment="1">
      <alignment horizontal="center"/>
    </xf>
    <xf numFmtId="1" fontId="8" fillId="0" borderId="5" xfId="0" applyNumberFormat="1" applyFont="1" applyFill="1" applyBorder="1" applyAlignment="1">
      <alignment horizontal="center"/>
    </xf>
    <xf numFmtId="0" fontId="8" fillId="13" borderId="5" xfId="0" applyFont="1" applyFill="1" applyBorder="1"/>
    <xf numFmtId="1" fontId="8" fillId="13" borderId="13" xfId="0" applyNumberFormat="1" applyFont="1" applyFill="1" applyBorder="1" applyAlignment="1">
      <alignment horizontal="center"/>
    </xf>
    <xf numFmtId="0" fontId="18" fillId="13" borderId="19" xfId="0" applyFont="1" applyFill="1" applyBorder="1"/>
    <xf numFmtId="164" fontId="8" fillId="13" borderId="24" xfId="0" applyNumberFormat="1" applyFont="1" applyFill="1" applyBorder="1" applyAlignment="1">
      <alignment horizontal="right"/>
    </xf>
    <xf numFmtId="16" fontId="8" fillId="13" borderId="24" xfId="0" applyNumberFormat="1" applyFont="1" applyFill="1" applyBorder="1" applyAlignment="1">
      <alignment horizontal="left" wrapText="1"/>
    </xf>
    <xf numFmtId="16" fontId="8" fillId="13" borderId="24" xfId="0" applyNumberFormat="1" applyFont="1" applyFill="1" applyBorder="1" applyAlignment="1">
      <alignment horizontal="center" vertical="center"/>
    </xf>
    <xf numFmtId="0" fontId="8" fillId="13" borderId="20" xfId="0" applyNumberFormat="1" applyFont="1" applyFill="1" applyBorder="1" applyAlignment="1">
      <alignment horizontal="center"/>
    </xf>
    <xf numFmtId="0" fontId="8" fillId="13" borderId="19" xfId="0" applyFont="1" applyFill="1" applyBorder="1"/>
    <xf numFmtId="16" fontId="8" fillId="13" borderId="24" xfId="0" applyNumberFormat="1" applyFont="1" applyFill="1" applyBorder="1" applyAlignment="1">
      <alignment horizontal="center"/>
    </xf>
    <xf numFmtId="0" fontId="8" fillId="13" borderId="24" xfId="0" applyNumberFormat="1" applyFont="1" applyFill="1" applyBorder="1" applyAlignment="1">
      <alignment horizontal="center"/>
    </xf>
    <xf numFmtId="2" fontId="8" fillId="13" borderId="24" xfId="0" quotePrefix="1" applyNumberFormat="1" applyFont="1" applyFill="1" applyBorder="1" applyAlignment="1">
      <alignment horizontal="center"/>
    </xf>
    <xf numFmtId="1" fontId="8" fillId="13" borderId="24" xfId="0" applyNumberFormat="1" applyFont="1" applyFill="1" applyBorder="1" applyAlignment="1">
      <alignment horizontal="center"/>
    </xf>
    <xf numFmtId="2" fontId="8" fillId="13" borderId="20" xfId="0" applyNumberFormat="1" applyFont="1" applyFill="1" applyBorder="1" applyAlignment="1">
      <alignment horizontal="center"/>
    </xf>
    <xf numFmtId="0" fontId="25" fillId="0" borderId="0" xfId="0" applyFont="1" applyAlignment="1">
      <alignment vertical="center" wrapText="1"/>
    </xf>
    <xf numFmtId="169" fontId="23" fillId="0" borderId="0" xfId="4" applyNumberFormat="1" applyFont="1" applyFill="1" applyBorder="1" applyAlignment="1">
      <alignment horizontal="center"/>
    </xf>
    <xf numFmtId="167" fontId="23" fillId="0" borderId="5" xfId="4" quotePrefix="1" applyNumberFormat="1" applyFont="1" applyFill="1" applyBorder="1" applyAlignment="1">
      <alignment horizontal="center"/>
    </xf>
    <xf numFmtId="164" fontId="6" fillId="0" borderId="25" xfId="0" applyNumberFormat="1" applyFont="1" applyBorder="1"/>
    <xf numFmtId="2" fontId="23" fillId="0" borderId="5" xfId="0" applyNumberFormat="1" applyFont="1" applyFill="1" applyBorder="1" applyAlignment="1">
      <alignment horizontal="center"/>
    </xf>
    <xf numFmtId="0" fontId="17" fillId="0" borderId="0" xfId="6" applyFont="1" applyBorder="1"/>
    <xf numFmtId="2" fontId="16" fillId="0" borderId="25" xfId="0" applyNumberFormat="1" applyFont="1" applyFill="1" applyBorder="1" applyAlignment="1">
      <alignment horizontal="center"/>
    </xf>
    <xf numFmtId="0" fontId="7" fillId="0" borderId="0" xfId="0" applyFont="1" applyBorder="1"/>
    <xf numFmtId="2" fontId="6" fillId="0" borderId="25" xfId="0" applyNumberFormat="1" applyFont="1" applyFill="1" applyBorder="1" applyAlignment="1">
      <alignment horizontal="center"/>
    </xf>
    <xf numFmtId="0" fontId="10" fillId="0" borderId="27" xfId="0" applyFont="1" applyFill="1" applyBorder="1"/>
    <xf numFmtId="0" fontId="9" fillId="0" borderId="5" xfId="0" applyFont="1" applyBorder="1"/>
    <xf numFmtId="166" fontId="15" fillId="0" borderId="0" xfId="1" applyNumberFormat="1" applyFont="1" applyFill="1" applyBorder="1"/>
    <xf numFmtId="2" fontId="6" fillId="0" borderId="25" xfId="4" applyNumberFormat="1" applyFont="1" applyFill="1" applyBorder="1" applyAlignment="1">
      <alignment horizontal="center"/>
    </xf>
    <xf numFmtId="2" fontId="23" fillId="0" borderId="5" xfId="4" applyNumberFormat="1" applyFont="1" applyFill="1" applyBorder="1" applyAlignment="1">
      <alignment horizontal="center"/>
    </xf>
    <xf numFmtId="10" fontId="15" fillId="0" borderId="0" xfId="4" applyNumberFormat="1" applyFont="1" applyBorder="1"/>
    <xf numFmtId="42" fontId="9" fillId="0" borderId="0" xfId="4" applyNumberFormat="1" applyFont="1" applyFill="1" applyBorder="1"/>
    <xf numFmtId="169" fontId="23" fillId="0" borderId="5" xfId="0" applyNumberFormat="1" applyFont="1" applyFill="1" applyBorder="1" applyAlignment="1">
      <alignment horizontal="center"/>
    </xf>
    <xf numFmtId="0" fontId="10" fillId="0" borderId="24" xfId="0" applyFont="1" applyBorder="1"/>
    <xf numFmtId="4" fontId="10" fillId="0" borderId="24" xfId="0" applyNumberFormat="1" applyFont="1" applyBorder="1"/>
    <xf numFmtId="164" fontId="12" fillId="0" borderId="0" xfId="0" applyNumberFormat="1" applyFont="1" applyBorder="1" applyAlignment="1">
      <alignment horizontal="center"/>
    </xf>
    <xf numFmtId="42" fontId="10" fillId="0" borderId="0" xfId="0" applyNumberFormat="1" applyFont="1" applyBorder="1"/>
    <xf numFmtId="0" fontId="6" fillId="0" borderId="0" xfId="0" applyFont="1" applyBorder="1"/>
    <xf numFmtId="0" fontId="9" fillId="0" borderId="0" xfId="0" applyFont="1" applyFill="1" applyBorder="1"/>
    <xf numFmtId="44" fontId="10" fillId="0" borderId="24" xfId="4" applyNumberFormat="1" applyFont="1" applyBorder="1"/>
    <xf numFmtId="42" fontId="10" fillId="0" borderId="0" xfId="4" applyNumberFormat="1" applyFont="1" applyFill="1" applyBorder="1"/>
    <xf numFmtId="166" fontId="19" fillId="0" borderId="0" xfId="1" applyNumberFormat="1" applyFont="1" applyBorder="1"/>
    <xf numFmtId="2" fontId="17" fillId="0" borderId="0" xfId="1" applyNumberFormat="1" applyFont="1" applyBorder="1"/>
    <xf numFmtId="0" fontId="8" fillId="13" borderId="0" xfId="0" applyFont="1" applyFill="1" applyBorder="1"/>
    <xf numFmtId="164" fontId="6" fillId="13" borderId="0" xfId="0" applyNumberFormat="1" applyFont="1" applyFill="1" applyBorder="1" applyAlignment="1">
      <alignment horizontal="right"/>
    </xf>
    <xf numFmtId="1" fontId="8" fillId="13" borderId="0" xfId="0" applyNumberFormat="1" applyFont="1" applyFill="1" applyBorder="1" applyAlignment="1">
      <alignment horizontal="center"/>
    </xf>
    <xf numFmtId="2" fontId="8" fillId="0" borderId="27" xfId="4" applyNumberFormat="1" applyFont="1" applyFill="1" applyBorder="1" applyAlignment="1">
      <alignment horizontal="center"/>
    </xf>
    <xf numFmtId="2" fontId="8" fillId="0" borderId="5" xfId="4" applyNumberFormat="1" applyFont="1" applyFill="1" applyBorder="1"/>
    <xf numFmtId="44" fontId="10" fillId="0" borderId="0" xfId="4" applyNumberFormat="1" applyFont="1" applyBorder="1"/>
    <xf numFmtId="0" fontId="6" fillId="0" borderId="0" xfId="0" applyFont="1" applyFill="1" applyBorder="1"/>
    <xf numFmtId="10" fontId="15" fillId="0" borderId="0" xfId="0" applyNumberFormat="1" applyFont="1" applyBorder="1"/>
    <xf numFmtId="44" fontId="15" fillId="0" borderId="0" xfId="4" applyNumberFormat="1" applyFont="1" applyBorder="1"/>
    <xf numFmtId="164" fontId="8" fillId="0" borderId="25" xfId="0" applyNumberFormat="1" applyFont="1" applyBorder="1"/>
    <xf numFmtId="2" fontId="8" fillId="0" borderId="5" xfId="0" applyNumberFormat="1" applyFont="1" applyFill="1" applyBorder="1" applyAlignment="1">
      <alignment horizontal="center"/>
    </xf>
    <xf numFmtId="0" fontId="9" fillId="0" borderId="0" xfId="0" applyFont="1" applyFill="1"/>
    <xf numFmtId="44" fontId="10" fillId="0" borderId="24" xfId="0" applyNumberFormat="1" applyFont="1" applyBorder="1"/>
    <xf numFmtId="164" fontId="27" fillId="0" borderId="0" xfId="4" applyNumberFormat="1" applyFont="1" applyBorder="1" applyAlignment="1">
      <alignment horizontal="center" wrapText="1"/>
    </xf>
    <xf numFmtId="0" fontId="6" fillId="0" borderId="5" xfId="4" applyFont="1" applyFill="1" applyBorder="1"/>
    <xf numFmtId="44" fontId="10" fillId="0" borderId="4" xfId="4" applyNumberFormat="1" applyFont="1" applyBorder="1"/>
    <xf numFmtId="42" fontId="9" fillId="0" borderId="0" xfId="0" applyNumberFormat="1" applyFont="1" applyFill="1" applyBorder="1"/>
    <xf numFmtId="2" fontId="16" fillId="0" borderId="27" xfId="0" applyNumberFormat="1" applyFont="1" applyFill="1" applyBorder="1" applyAlignment="1">
      <alignment horizontal="center"/>
    </xf>
    <xf numFmtId="2" fontId="16" fillId="0" borderId="19" xfId="0" applyNumberFormat="1" applyFont="1" applyFill="1" applyBorder="1" applyAlignment="1">
      <alignment horizontal="center"/>
    </xf>
    <xf numFmtId="44" fontId="15" fillId="0" borderId="0" xfId="0" applyNumberFormat="1" applyFont="1" applyBorder="1"/>
    <xf numFmtId="10" fontId="13" fillId="0" borderId="25" xfId="4" applyNumberFormat="1" applyFont="1" applyFill="1" applyBorder="1"/>
    <xf numFmtId="42" fontId="10" fillId="0" borderId="0" xfId="0" applyNumberFormat="1" applyFont="1" applyFill="1" applyBorder="1"/>
    <xf numFmtId="42" fontId="13" fillId="0" borderId="0" xfId="4" applyNumberFormat="1" applyFont="1" applyFill="1" applyBorder="1"/>
    <xf numFmtId="10" fontId="6" fillId="0" borderId="0" xfId="4" applyNumberFormat="1" applyFont="1" applyFill="1" applyBorder="1"/>
    <xf numFmtId="164" fontId="27" fillId="0" borderId="5" xfId="0" applyNumberFormat="1" applyFont="1" applyBorder="1" applyAlignment="1">
      <alignment horizontal="center" wrapText="1"/>
    </xf>
    <xf numFmtId="44" fontId="10" fillId="0" borderId="0" xfId="0" applyNumberFormat="1" applyFont="1" applyBorder="1"/>
    <xf numFmtId="44" fontId="10" fillId="0" borderId="4" xfId="0" applyNumberFormat="1" applyFont="1" applyBorder="1"/>
    <xf numFmtId="166" fontId="9" fillId="0" borderId="0" xfId="4" applyNumberFormat="1" applyFont="1" applyFill="1" applyBorder="1"/>
    <xf numFmtId="170" fontId="20" fillId="0" borderId="0" xfId="1" applyNumberFormat="1" applyFont="1" applyBorder="1"/>
    <xf numFmtId="166" fontId="9" fillId="0" borderId="0" xfId="0" applyNumberFormat="1" applyFont="1" applyFill="1" applyBorder="1"/>
    <xf numFmtId="44" fontId="13" fillId="0" borderId="25" xfId="7" applyFont="1" applyFill="1" applyBorder="1"/>
    <xf numFmtId="0" fontId="8" fillId="0" borderId="5" xfId="4" applyFont="1" applyFill="1" applyBorder="1"/>
    <xf numFmtId="0" fontId="9" fillId="0" borderId="4" xfId="4" applyFont="1" applyBorder="1"/>
    <xf numFmtId="44" fontId="15" fillId="0" borderId="4" xfId="0" applyNumberFormat="1" applyFont="1" applyBorder="1"/>
    <xf numFmtId="1" fontId="12" fillId="0" borderId="0" xfId="0" applyNumberFormat="1" applyFont="1" applyBorder="1" applyAlignment="1">
      <alignment horizontal="center"/>
    </xf>
    <xf numFmtId="10" fontId="16" fillId="0" borderId="0" xfId="4" applyNumberFormat="1" applyFont="1" applyBorder="1"/>
    <xf numFmtId="170" fontId="15" fillId="0" borderId="0" xfId="0" applyNumberFormat="1" applyFont="1" applyBorder="1"/>
    <xf numFmtId="0" fontId="9" fillId="0" borderId="24" xfId="0" applyFont="1" applyBorder="1"/>
    <xf numFmtId="0" fontId="8" fillId="0" borderId="0" xfId="0" applyNumberFormat="1" applyFont="1" applyBorder="1" applyAlignment="1">
      <alignment horizontal="center"/>
    </xf>
    <xf numFmtId="10" fontId="16" fillId="0" borderId="0" xfId="0" applyNumberFormat="1" applyFont="1" applyBorder="1"/>
    <xf numFmtId="0" fontId="6" fillId="0" borderId="25" xfId="0" applyFont="1" applyBorder="1"/>
    <xf numFmtId="0" fontId="8" fillId="0" borderId="25" xfId="0" applyFont="1" applyFill="1" applyBorder="1"/>
    <xf numFmtId="0" fontId="27" fillId="0" borderId="25" xfId="4" applyFont="1" applyBorder="1" applyAlignment="1">
      <alignment horizontal="right"/>
    </xf>
    <xf numFmtId="44" fontId="6" fillId="0" borderId="0" xfId="1" applyFont="1" applyBorder="1"/>
    <xf numFmtId="0" fontId="8" fillId="13" borderId="28" xfId="0" applyFont="1" applyFill="1" applyBorder="1"/>
    <xf numFmtId="0" fontId="6" fillId="13" borderId="30" xfId="0" applyFont="1" applyFill="1" applyBorder="1"/>
    <xf numFmtId="170" fontId="13" fillId="0" borderId="19" xfId="7" applyNumberFormat="1" applyFont="1" applyFill="1" applyBorder="1" applyAlignment="1"/>
    <xf numFmtId="44" fontId="9" fillId="0" borderId="0" xfId="7" applyFont="1" applyFill="1" applyBorder="1"/>
    <xf numFmtId="170" fontId="13" fillId="0" borderId="25" xfId="7" applyNumberFormat="1" applyFont="1" applyFill="1" applyBorder="1"/>
    <xf numFmtId="170" fontId="13" fillId="0" borderId="25" xfId="1" applyNumberFormat="1" applyFont="1" applyFill="1" applyBorder="1"/>
    <xf numFmtId="4" fontId="8" fillId="0" borderId="0" xfId="0" quotePrefix="1" applyNumberFormat="1" applyFont="1" applyFill="1" applyBorder="1" applyAlignment="1">
      <alignment horizontal="center"/>
    </xf>
    <xf numFmtId="4" fontId="8" fillId="0" borderId="5" xfId="0" quotePrefix="1" applyNumberFormat="1" applyFont="1" applyFill="1" applyBorder="1" applyAlignment="1">
      <alignment horizontal="center"/>
    </xf>
    <xf numFmtId="170" fontId="0" fillId="0" borderId="25" xfId="0" applyNumberFormat="1" applyBorder="1"/>
    <xf numFmtId="2" fontId="27" fillId="0" borderId="25" xfId="0" applyNumberFormat="1" applyFont="1" applyFill="1" applyBorder="1" applyAlignment="1">
      <alignment horizontal="center"/>
    </xf>
    <xf numFmtId="44" fontId="19" fillId="0" borderId="0" xfId="7" applyFont="1" applyBorder="1"/>
    <xf numFmtId="0" fontId="8" fillId="13" borderId="19" xfId="4" applyFont="1" applyFill="1" applyBorder="1" applyAlignment="1"/>
    <xf numFmtId="0" fontId="8" fillId="13" borderId="24" xfId="4" applyFont="1" applyFill="1" applyBorder="1" applyAlignment="1"/>
    <xf numFmtId="0" fontId="21" fillId="0" borderId="25" xfId="6" applyBorder="1" applyAlignment="1">
      <alignment horizontal="center" wrapText="1"/>
    </xf>
    <xf numFmtId="0" fontId="8" fillId="0" borderId="27" xfId="4" applyFont="1" applyFill="1" applyBorder="1"/>
    <xf numFmtId="0" fontId="8" fillId="0" borderId="0" xfId="0" applyFont="1" applyFill="1" applyBorder="1"/>
    <xf numFmtId="0" fontId="27" fillId="0" borderId="25" xfId="0" applyFont="1" applyBorder="1" applyAlignment="1"/>
    <xf numFmtId="44" fontId="9" fillId="0" borderId="0" xfId="7" applyFont="1" applyBorder="1"/>
    <xf numFmtId="169" fontId="23" fillId="0" borderId="0" xfId="0" applyNumberFormat="1" applyFont="1" applyFill="1" applyBorder="1" applyAlignment="1">
      <alignment horizontal="center"/>
    </xf>
    <xf numFmtId="0" fontId="9" fillId="0" borderId="27" xfId="0" applyFont="1" applyBorder="1"/>
    <xf numFmtId="44" fontId="19" fillId="0" borderId="27" xfId="7" applyFont="1" applyBorder="1"/>
    <xf numFmtId="0" fontId="8" fillId="0" borderId="4" xfId="4" applyFont="1" applyFill="1" applyBorder="1"/>
    <xf numFmtId="164" fontId="8" fillId="0" borderId="0" xfId="4" applyNumberFormat="1" applyFont="1" applyBorder="1" applyAlignment="1">
      <alignment horizontal="center"/>
    </xf>
    <xf numFmtId="10" fontId="17" fillId="0" borderId="25" xfId="2" applyNumberFormat="1" applyFont="1" applyBorder="1" applyAlignment="1"/>
    <xf numFmtId="0" fontId="0" fillId="0" borderId="25" xfId="0" applyBorder="1"/>
    <xf numFmtId="0" fontId="27" fillId="0" borderId="25" xfId="0" applyFont="1" applyBorder="1"/>
    <xf numFmtId="0" fontId="9" fillId="0" borderId="4" xfId="0" applyFont="1" applyBorder="1"/>
    <xf numFmtId="2" fontId="8" fillId="0" borderId="0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7" fillId="0" borderId="0" xfId="4" applyFont="1" applyFill="1" applyBorder="1"/>
    <xf numFmtId="164" fontId="6" fillId="0" borderId="0" xfId="4" applyNumberFormat="1" applyFont="1" applyBorder="1"/>
    <xf numFmtId="44" fontId="19" fillId="0" borderId="0" xfId="1" applyBorder="1"/>
    <xf numFmtId="164" fontId="6" fillId="0" borderId="0" xfId="4" applyNumberFormat="1" applyFont="1" applyFill="1" applyBorder="1" applyAlignment="1"/>
    <xf numFmtId="44" fontId="6" fillId="0" borderId="0" xfId="8" applyFont="1" applyFill="1" applyBorder="1" applyAlignment="1"/>
    <xf numFmtId="44" fontId="9" fillId="0" borderId="0" xfId="8" applyFont="1" applyFill="1" applyBorder="1"/>
    <xf numFmtId="44" fontId="19" fillId="0" borderId="0" xfId="1" applyFont="1" applyBorder="1"/>
    <xf numFmtId="10" fontId="16" fillId="0" borderId="19" xfId="4" applyNumberFormat="1" applyFont="1" applyBorder="1" applyAlignment="1"/>
    <xf numFmtId="0" fontId="6" fillId="0" borderId="0" xfId="5" quotePrefix="1"/>
    <xf numFmtId="10" fontId="15" fillId="0" borderId="25" xfId="0" applyNumberFormat="1" applyFont="1" applyFill="1" applyBorder="1"/>
    <xf numFmtId="10" fontId="19" fillId="0" borderId="25" xfId="2" applyNumberFormat="1" applyFont="1" applyBorder="1" applyAlignment="1">
      <alignment horizontal="center" wrapText="1"/>
    </xf>
    <xf numFmtId="10" fontId="19" fillId="0" borderId="0" xfId="2" applyNumberFormat="1" applyFont="1" applyBorder="1" applyAlignment="1">
      <alignment wrapText="1"/>
    </xf>
    <xf numFmtId="0" fontId="7" fillId="0" borderId="0" xfId="0" applyFont="1" applyFill="1" applyBorder="1"/>
    <xf numFmtId="0" fontId="33" fillId="16" borderId="32" xfId="0" applyFont="1" applyFill="1" applyBorder="1" applyAlignment="1">
      <alignment horizontal="center"/>
    </xf>
    <xf numFmtId="0" fontId="33" fillId="16" borderId="33" xfId="0" applyFont="1" applyFill="1" applyBorder="1"/>
    <xf numFmtId="165" fontId="6" fillId="0" borderId="0" xfId="4" applyNumberFormat="1" applyFont="1" applyBorder="1"/>
    <xf numFmtId="44" fontId="6" fillId="0" borderId="0" xfId="7" applyFont="1" applyFill="1" applyBorder="1" applyAlignment="1"/>
    <xf numFmtId="0" fontId="34" fillId="17" borderId="39" xfId="0" applyFont="1" applyFill="1" applyBorder="1"/>
    <xf numFmtId="44" fontId="19" fillId="0" borderId="0" xfId="1" applyFont="1"/>
    <xf numFmtId="0" fontId="6" fillId="0" borderId="25" xfId="4" applyBorder="1" applyAlignment="1"/>
    <xf numFmtId="0" fontId="21" fillId="0" borderId="25" xfId="6" applyBorder="1" applyAlignment="1">
      <alignment wrapText="1"/>
    </xf>
    <xf numFmtId="0" fontId="21" fillId="0" borderId="0" xfId="6" applyBorder="1" applyAlignment="1">
      <alignment wrapText="1"/>
    </xf>
    <xf numFmtId="0" fontId="0" fillId="0" borderId="38" xfId="0" applyBorder="1" applyAlignment="1">
      <alignment wrapText="1"/>
    </xf>
    <xf numFmtId="2" fontId="0" fillId="0" borderId="25" xfId="0" applyNumberFormat="1" applyBorder="1"/>
    <xf numFmtId="44" fontId="0" fillId="0" borderId="25" xfId="0" applyNumberFormat="1" applyBorder="1"/>
    <xf numFmtId="0" fontId="0" fillId="0" borderId="39" xfId="0" applyBorder="1"/>
    <xf numFmtId="0" fontId="8" fillId="0" borderId="0" xfId="4" applyFont="1" applyBorder="1"/>
    <xf numFmtId="1" fontId="35" fillId="0" borderId="0" xfId="4" applyNumberFormat="1" applyFont="1" applyFill="1" applyBorder="1" applyAlignment="1">
      <alignment horizontal="right"/>
    </xf>
    <xf numFmtId="0" fontId="0" fillId="0" borderId="40" xfId="0" applyBorder="1"/>
    <xf numFmtId="0" fontId="34" fillId="17" borderId="30" xfId="0" applyFont="1" applyFill="1" applyBorder="1" applyAlignment="1">
      <alignment wrapText="1"/>
    </xf>
    <xf numFmtId="0" fontId="34" fillId="17" borderId="41" xfId="0" applyFont="1" applyFill="1" applyBorder="1" applyAlignment="1">
      <alignment wrapText="1"/>
    </xf>
    <xf numFmtId="172" fontId="9" fillId="0" borderId="0" xfId="8" applyNumberFormat="1" applyFont="1" applyFill="1" applyBorder="1"/>
    <xf numFmtId="0" fontId="36" fillId="17" borderId="41" xfId="0" applyFont="1" applyFill="1" applyBorder="1" applyAlignment="1">
      <alignment wrapText="1"/>
    </xf>
    <xf numFmtId="0" fontId="0" fillId="0" borderId="4" xfId="0" applyBorder="1"/>
    <xf numFmtId="44" fontId="37" fillId="0" borderId="4" xfId="1" applyFont="1" applyBorder="1"/>
    <xf numFmtId="10" fontId="17" fillId="0" borderId="25" xfId="2" applyNumberFormat="1" applyFont="1" applyBorder="1"/>
    <xf numFmtId="0" fontId="8" fillId="0" borderId="0" xfId="0" applyFont="1" applyFill="1" applyBorder="1" applyAlignment="1">
      <alignment horizontal="center"/>
    </xf>
    <xf numFmtId="4" fontId="8" fillId="0" borderId="0" xfId="0" applyNumberFormat="1" applyFont="1" applyBorder="1" applyAlignment="1">
      <alignment horizontal="center"/>
    </xf>
    <xf numFmtId="1" fontId="35" fillId="0" borderId="0" xfId="0" applyNumberFormat="1" applyFont="1" applyFill="1" applyBorder="1" applyAlignment="1">
      <alignment horizontal="right"/>
    </xf>
    <xf numFmtId="6" fontId="0" fillId="0" borderId="25" xfId="0" applyNumberFormat="1" applyBorder="1"/>
    <xf numFmtId="8" fontId="0" fillId="0" borderId="25" xfId="0" applyNumberFormat="1" applyBorder="1"/>
    <xf numFmtId="0" fontId="23" fillId="0" borderId="0" xfId="4" applyFont="1" applyFill="1" applyBorder="1" applyAlignment="1">
      <alignment horizontal="center"/>
    </xf>
    <xf numFmtId="0" fontId="6" fillId="0" borderId="0" xfId="4" applyFont="1" applyFill="1" applyBorder="1" applyAlignment="1">
      <alignment horizontal="center"/>
    </xf>
    <xf numFmtId="8" fontId="0" fillId="0" borderId="25" xfId="0" applyNumberFormat="1" applyBorder="1" applyAlignment="1">
      <alignment wrapText="1"/>
    </xf>
    <xf numFmtId="0" fontId="6" fillId="0" borderId="38" xfId="4" applyBorder="1"/>
    <xf numFmtId="0" fontId="6" fillId="0" borderId="25" xfId="4" applyBorder="1"/>
    <xf numFmtId="44" fontId="6" fillId="0" borderId="39" xfId="4" applyNumberFormat="1" applyBorder="1"/>
    <xf numFmtId="0" fontId="23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34" fillId="17" borderId="32" xfId="0" applyFont="1" applyFill="1" applyBorder="1" applyAlignment="1">
      <alignment wrapText="1"/>
    </xf>
    <xf numFmtId="0" fontId="34" fillId="17" borderId="33" xfId="0" applyFont="1" applyFill="1" applyBorder="1"/>
    <xf numFmtId="166" fontId="9" fillId="0" borderId="0" xfId="8" applyNumberFormat="1" applyFont="1" applyBorder="1"/>
    <xf numFmtId="44" fontId="19" fillId="0" borderId="27" xfId="1" applyFont="1" applyBorder="1"/>
    <xf numFmtId="44" fontId="8" fillId="0" borderId="44" xfId="7" applyFont="1" applyBorder="1"/>
    <xf numFmtId="10" fontId="8" fillId="0" borderId="45" xfId="12" applyNumberFormat="1" applyFont="1" applyBorder="1"/>
    <xf numFmtId="0" fontId="8" fillId="0" borderId="0" xfId="4" applyFont="1" applyBorder="1" applyAlignment="1">
      <alignment horizontal="center"/>
    </xf>
    <xf numFmtId="0" fontId="0" fillId="0" borderId="38" xfId="0" applyBorder="1"/>
    <xf numFmtId="8" fontId="0" fillId="0" borderId="39" xfId="0" applyNumberFormat="1" applyBorder="1"/>
    <xf numFmtId="44" fontId="6" fillId="0" borderId="38" xfId="4" applyNumberFormat="1" applyBorder="1"/>
    <xf numFmtId="44" fontId="6" fillId="0" borderId="20" xfId="4" applyNumberFormat="1" applyBorder="1"/>
    <xf numFmtId="0" fontId="0" fillId="0" borderId="0" xfId="0" applyBorder="1" applyAlignment="1">
      <alignment wrapText="1"/>
    </xf>
    <xf numFmtId="2" fontId="0" fillId="0" borderId="0" xfId="0" applyNumberFormat="1" applyBorder="1"/>
    <xf numFmtId="0" fontId="0" fillId="0" borderId="43" xfId="0" applyBorder="1"/>
    <xf numFmtId="6" fontId="0" fillId="0" borderId="44" xfId="0" applyNumberFormat="1" applyBorder="1" applyAlignment="1">
      <alignment wrapText="1"/>
    </xf>
    <xf numFmtId="164" fontId="27" fillId="0" borderId="0" xfId="0" applyNumberFormat="1" applyFont="1" applyBorder="1" applyAlignment="1">
      <alignment horizontal="center" wrapText="1"/>
    </xf>
    <xf numFmtId="0" fontId="6" fillId="0" borderId="0" xfId="4" applyFont="1" applyBorder="1" applyAlignment="1">
      <alignment horizontal="left"/>
    </xf>
    <xf numFmtId="1" fontId="35" fillId="0" borderId="0" xfId="4" applyNumberFormat="1" applyFont="1" applyFill="1" applyBorder="1" applyAlignment="1">
      <alignment horizontal="center"/>
    </xf>
    <xf numFmtId="0" fontId="11" fillId="0" borderId="25" xfId="4" applyFont="1" applyBorder="1"/>
    <xf numFmtId="0" fontId="6" fillId="0" borderId="0" xfId="4" applyFill="1" applyBorder="1"/>
    <xf numFmtId="0" fontId="6" fillId="0" borderId="0" xfId="0" applyFont="1" applyBorder="1" applyAlignment="1">
      <alignment horizontal="left"/>
    </xf>
    <xf numFmtId="1" fontId="35" fillId="0" borderId="0" xfId="0" applyNumberFormat="1" applyFont="1" applyFill="1" applyBorder="1" applyAlignment="1">
      <alignment horizontal="center"/>
    </xf>
    <xf numFmtId="0" fontId="6" fillId="0" borderId="0" xfId="4" applyFont="1" applyFill="1" applyBorder="1" applyAlignment="1">
      <alignment horizontal="right"/>
    </xf>
    <xf numFmtId="165" fontId="35" fillId="0" borderId="0" xfId="4" applyNumberFormat="1" applyFont="1" applyFill="1" applyBorder="1" applyAlignment="1">
      <alignment horizontal="right"/>
    </xf>
    <xf numFmtId="0" fontId="36" fillId="17" borderId="30" xfId="0" applyFont="1" applyFill="1" applyBorder="1" applyAlignment="1">
      <alignment wrapText="1"/>
    </xf>
    <xf numFmtId="0" fontId="36" fillId="17" borderId="41" xfId="0" applyFont="1" applyFill="1" applyBorder="1"/>
    <xf numFmtId="44" fontId="8" fillId="0" borderId="45" xfId="4" applyNumberFormat="1" applyFont="1" applyBorder="1"/>
    <xf numFmtId="8" fontId="0" fillId="0" borderId="44" xfId="0" applyNumberFormat="1" applyBorder="1" applyAlignment="1">
      <alignment wrapText="1"/>
    </xf>
    <xf numFmtId="173" fontId="6" fillId="0" borderId="0" xfId="11" applyNumberFormat="1" applyFont="1" applyFill="1" applyBorder="1" applyAlignment="1">
      <alignment horizontal="center"/>
    </xf>
    <xf numFmtId="6" fontId="0" fillId="0" borderId="25" xfId="0" applyNumberFormat="1" applyBorder="1" applyAlignment="1">
      <alignment wrapText="1"/>
    </xf>
    <xf numFmtId="4" fontId="19" fillId="0" borderId="39" xfId="1" applyNumberFormat="1" applyFont="1" applyFill="1" applyBorder="1"/>
    <xf numFmtId="0" fontId="33" fillId="17" borderId="32" xfId="0" applyFont="1" applyFill="1" applyBorder="1" applyAlignment="1">
      <alignment wrapText="1"/>
    </xf>
    <xf numFmtId="0" fontId="33" fillId="17" borderId="33" xfId="0" applyFont="1" applyFill="1" applyBorder="1"/>
    <xf numFmtId="164" fontId="10" fillId="0" borderId="0" xfId="4" applyNumberFormat="1" applyFont="1" applyBorder="1" applyAlignment="1">
      <alignment horizontal="center"/>
    </xf>
    <xf numFmtId="8" fontId="0" fillId="0" borderId="39" xfId="0" applyNumberFormat="1" applyBorder="1" applyAlignment="1">
      <alignment wrapText="1"/>
    </xf>
    <xf numFmtId="10" fontId="16" fillId="0" borderId="0" xfId="4" applyNumberFormat="1" applyFont="1" applyFill="1" applyBorder="1"/>
    <xf numFmtId="164" fontId="8" fillId="0" borderId="0" xfId="4" applyNumberFormat="1" applyFont="1" applyFill="1" applyBorder="1"/>
    <xf numFmtId="164" fontId="6" fillId="0" borderId="0" xfId="4" applyNumberFormat="1" applyFont="1" applyFill="1" applyBorder="1"/>
    <xf numFmtId="164" fontId="15" fillId="0" borderId="0" xfId="4" applyNumberFormat="1" applyFont="1" applyFill="1" applyBorder="1"/>
    <xf numFmtId="171" fontId="6" fillId="0" borderId="0" xfId="4" applyNumberFormat="1" applyFont="1" applyFill="1" applyBorder="1" applyAlignment="1"/>
    <xf numFmtId="9" fontId="6" fillId="0" borderId="0" xfId="4" applyNumberFormat="1" applyFont="1" applyFill="1" applyBorder="1" applyAlignment="1"/>
    <xf numFmtId="170" fontId="6" fillId="0" borderId="45" xfId="1" applyNumberFormat="1" applyFont="1" applyBorder="1"/>
    <xf numFmtId="8" fontId="0" fillId="0" borderId="44" xfId="0" applyNumberFormat="1" applyFill="1" applyBorder="1" applyAlignment="1">
      <alignment wrapText="1"/>
    </xf>
    <xf numFmtId="9" fontId="19" fillId="0" borderId="39" xfId="12" applyFont="1" applyBorder="1"/>
    <xf numFmtId="0" fontId="8" fillId="0" borderId="0" xfId="4" applyFont="1" applyFill="1" applyBorder="1"/>
    <xf numFmtId="165" fontId="8" fillId="0" borderId="0" xfId="4" applyNumberFormat="1" applyFont="1" applyFill="1" applyBorder="1"/>
    <xf numFmtId="165" fontId="6" fillId="0" borderId="0" xfId="4" applyNumberFormat="1" applyFont="1" applyFill="1" applyBorder="1"/>
    <xf numFmtId="8" fontId="6" fillId="0" borderId="48" xfId="4" applyNumberFormat="1" applyBorder="1"/>
    <xf numFmtId="8" fontId="0" fillId="0" borderId="25" xfId="0" applyNumberFormat="1" applyFill="1" applyBorder="1"/>
    <xf numFmtId="164" fontId="13" fillId="0" borderId="0" xfId="4" applyNumberFormat="1" applyFont="1" applyFill="1" applyBorder="1"/>
    <xf numFmtId="1" fontId="10" fillId="0" borderId="0" xfId="4" applyNumberFormat="1" applyFont="1" applyFill="1" applyBorder="1" applyAlignment="1">
      <alignment horizontal="center"/>
    </xf>
    <xf numFmtId="4" fontId="10" fillId="0" borderId="0" xfId="4" applyNumberFormat="1" applyFont="1" applyFill="1" applyBorder="1"/>
    <xf numFmtId="164" fontId="6" fillId="0" borderId="0" xfId="4" applyNumberFormat="1" applyFont="1" applyFill="1" applyBorder="1" applyAlignment="1">
      <alignment horizontal="right"/>
    </xf>
    <xf numFmtId="16" fontId="8" fillId="0" borderId="0" xfId="4" quotePrefix="1" applyNumberFormat="1" applyFont="1" applyFill="1" applyBorder="1" applyAlignment="1">
      <alignment horizontal="center"/>
    </xf>
    <xf numFmtId="0" fontId="8" fillId="0" borderId="0" xfId="4" quotePrefix="1" applyNumberFormat="1" applyFont="1" applyFill="1" applyBorder="1" applyAlignment="1">
      <alignment horizontal="center"/>
    </xf>
    <xf numFmtId="0" fontId="8" fillId="0" borderId="0" xfId="4" applyNumberFormat="1" applyFont="1" applyFill="1" applyBorder="1" applyAlignment="1">
      <alignment horizontal="center"/>
    </xf>
    <xf numFmtId="169" fontId="42" fillId="0" borderId="0" xfId="4" applyNumberFormat="1" applyFont="1" applyFill="1" applyBorder="1" applyAlignment="1">
      <alignment horizontal="center"/>
    </xf>
    <xf numFmtId="0" fontId="10" fillId="0" borderId="0" xfId="4" applyFont="1" applyFill="1" applyBorder="1"/>
    <xf numFmtId="0" fontId="7" fillId="0" borderId="0" xfId="4" applyFont="1" applyFill="1" applyBorder="1" applyAlignment="1">
      <alignment wrapText="1"/>
    </xf>
    <xf numFmtId="0" fontId="43" fillId="0" borderId="0" xfId="4" applyFont="1" applyFill="1" applyBorder="1" applyAlignment="1">
      <alignment horizontal="center"/>
    </xf>
    <xf numFmtId="44" fontId="10" fillId="0" borderId="0" xfId="4" applyNumberFormat="1" applyFont="1" applyFill="1" applyBorder="1"/>
    <xf numFmtId="0" fontId="10" fillId="0" borderId="0" xfId="4" applyFont="1" applyFill="1" applyBorder="1" applyAlignment="1">
      <alignment horizontal="center"/>
    </xf>
    <xf numFmtId="169" fontId="6" fillId="0" borderId="0" xfId="4" applyNumberFormat="1" applyFont="1" applyFill="1" applyBorder="1" applyAlignment="1">
      <alignment horizontal="center"/>
    </xf>
    <xf numFmtId="171" fontId="15" fillId="0" borderId="0" xfId="4" applyNumberFormat="1" applyFont="1" applyFill="1" applyBorder="1" applyAlignment="1">
      <alignment horizontal="right"/>
    </xf>
    <xf numFmtId="44" fontId="10" fillId="0" borderId="0" xfId="4" applyNumberFormat="1" applyFont="1" applyFill="1" applyBorder="1" applyAlignment="1">
      <alignment horizontal="center"/>
    </xf>
    <xf numFmtId="42" fontId="10" fillId="0" borderId="0" xfId="4" applyNumberFormat="1" applyFont="1" applyFill="1" applyBorder="1" applyAlignment="1">
      <alignment horizontal="center"/>
    </xf>
    <xf numFmtId="2" fontId="23" fillId="0" borderId="0" xfId="4" applyNumberFormat="1" applyFont="1" applyFill="1" applyBorder="1" applyAlignment="1">
      <alignment horizontal="right"/>
    </xf>
    <xf numFmtId="2" fontId="6" fillId="0" borderId="0" xfId="4" applyNumberFormat="1" applyFont="1" applyFill="1" applyBorder="1" applyAlignment="1">
      <alignment horizontal="center"/>
    </xf>
    <xf numFmtId="10" fontId="15" fillId="0" borderId="0" xfId="4" applyNumberFormat="1" applyFont="1" applyFill="1" applyBorder="1"/>
    <xf numFmtId="44" fontId="9" fillId="0" borderId="0" xfId="4" applyNumberFormat="1" applyFont="1" applyFill="1" applyBorder="1"/>
    <xf numFmtId="44" fontId="15" fillId="0" borderId="0" xfId="7" applyFont="1" applyFill="1" applyBorder="1"/>
    <xf numFmtId="1" fontId="6" fillId="0" borderId="0" xfId="4" applyNumberFormat="1" applyFont="1" applyFill="1" applyBorder="1"/>
    <xf numFmtId="44" fontId="13" fillId="0" borderId="0" xfId="9" applyFont="1" applyFill="1" applyBorder="1"/>
    <xf numFmtId="2" fontId="6" fillId="0" borderId="0" xfId="4" applyNumberFormat="1" applyFont="1" applyFill="1" applyBorder="1"/>
    <xf numFmtId="44" fontId="15" fillId="0" borderId="0" xfId="9" applyFont="1" applyFill="1" applyBorder="1"/>
    <xf numFmtId="10" fontId="15" fillId="0" borderId="0" xfId="9" applyNumberFormat="1" applyFont="1" applyFill="1" applyBorder="1"/>
    <xf numFmtId="9" fontId="15" fillId="0" borderId="0" xfId="12" applyFont="1" applyFill="1" applyBorder="1"/>
    <xf numFmtId="10" fontId="23" fillId="0" borderId="0" xfId="11" applyNumberFormat="1" applyFont="1" applyFill="1" applyBorder="1"/>
    <xf numFmtId="166" fontId="9" fillId="0" borderId="0" xfId="8" applyNumberFormat="1" applyFont="1" applyFill="1" applyBorder="1"/>
    <xf numFmtId="0" fontId="12" fillId="0" borderId="0" xfId="4" applyFont="1" applyFill="1" applyBorder="1" applyAlignment="1">
      <alignment horizontal="right"/>
    </xf>
    <xf numFmtId="9" fontId="9" fillId="0" borderId="0" xfId="4" applyNumberFormat="1" applyFont="1" applyFill="1" applyBorder="1"/>
    <xf numFmtId="9" fontId="9" fillId="0" borderId="0" xfId="4" applyNumberFormat="1" applyFont="1" applyBorder="1"/>
    <xf numFmtId="44" fontId="37" fillId="0" borderId="0" xfId="1" applyFont="1" applyBorder="1"/>
    <xf numFmtId="0" fontId="6" fillId="0" borderId="24" xfId="4" applyBorder="1"/>
    <xf numFmtId="0" fontId="6" fillId="0" borderId="20" xfId="4" applyBorder="1"/>
    <xf numFmtId="44" fontId="19" fillId="0" borderId="0" xfId="1" applyFill="1" applyBorder="1" applyAlignment="1">
      <alignment wrapText="1"/>
    </xf>
    <xf numFmtId="44" fontId="19" fillId="0" borderId="0" xfId="1" applyFill="1" applyBorder="1"/>
    <xf numFmtId="0" fontId="9" fillId="0" borderId="24" xfId="4" applyFont="1" applyBorder="1"/>
    <xf numFmtId="10" fontId="9" fillId="0" borderId="24" xfId="4" applyNumberFormat="1" applyFont="1" applyBorder="1"/>
    <xf numFmtId="44" fontId="6" fillId="0" borderId="24" xfId="1" applyFont="1" applyBorder="1"/>
    <xf numFmtId="8" fontId="0" fillId="0" borderId="39" xfId="0" applyNumberFormat="1" applyFill="1" applyBorder="1"/>
    <xf numFmtId="170" fontId="18" fillId="19" borderId="45" xfId="1" applyNumberFormat="1" applyFont="1" applyFill="1" applyBorder="1"/>
    <xf numFmtId="44" fontId="8" fillId="19" borderId="42" xfId="4" applyNumberFormat="1" applyFont="1" applyFill="1" applyBorder="1"/>
    <xf numFmtId="8" fontId="6" fillId="0" borderId="25" xfId="4" applyNumberFormat="1" applyFill="1" applyBorder="1"/>
    <xf numFmtId="44" fontId="19" fillId="0" borderId="0" xfId="1" applyFont="1" applyFill="1" applyBorder="1"/>
    <xf numFmtId="0" fontId="6" fillId="0" borderId="0" xfId="5" applyFill="1" applyBorder="1"/>
    <xf numFmtId="10" fontId="9" fillId="0" borderId="0" xfId="4" applyNumberFormat="1" applyFont="1" applyFill="1" applyBorder="1"/>
    <xf numFmtId="44" fontId="6" fillId="0" borderId="0" xfId="1" applyFont="1" applyFill="1" applyBorder="1"/>
    <xf numFmtId="0" fontId="6" fillId="0" borderId="49" xfId="4" applyBorder="1"/>
    <xf numFmtId="0" fontId="6" fillId="0" borderId="50" xfId="4" applyBorder="1"/>
    <xf numFmtId="0" fontId="6" fillId="0" borderId="51" xfId="4" applyBorder="1"/>
    <xf numFmtId="0" fontId="10" fillId="0" borderId="54" xfId="4" applyFont="1" applyBorder="1"/>
    <xf numFmtId="3" fontId="10" fillId="0" borderId="55" xfId="4" applyNumberFormat="1" applyFont="1" applyBorder="1"/>
    <xf numFmtId="0" fontId="9" fillId="0" borderId="54" xfId="4" applyFont="1" applyBorder="1"/>
    <xf numFmtId="0" fontId="9" fillId="0" borderId="55" xfId="4" applyFont="1" applyBorder="1"/>
    <xf numFmtId="0" fontId="10" fillId="0" borderId="56" xfId="4" applyFont="1" applyBorder="1"/>
    <xf numFmtId="0" fontId="10" fillId="0" borderId="57" xfId="4" applyFont="1" applyBorder="1" applyAlignment="1">
      <alignment horizontal="center"/>
    </xf>
    <xf numFmtId="164" fontId="8" fillId="0" borderId="54" xfId="4" applyNumberFormat="1" applyFont="1" applyFill="1" applyBorder="1"/>
    <xf numFmtId="42" fontId="9" fillId="0" borderId="55" xfId="4" applyNumberFormat="1" applyFont="1" applyBorder="1"/>
    <xf numFmtId="165" fontId="8" fillId="0" borderId="54" xfId="4" applyNumberFormat="1" applyFont="1" applyFill="1" applyBorder="1"/>
    <xf numFmtId="164" fontId="8" fillId="0" borderId="54" xfId="4" applyNumberFormat="1" applyFont="1" applyBorder="1"/>
    <xf numFmtId="0" fontId="10" fillId="0" borderId="58" xfId="4" applyFont="1" applyBorder="1"/>
    <xf numFmtId="42" fontId="10" fillId="0" borderId="59" xfId="4" applyNumberFormat="1" applyFont="1" applyBorder="1"/>
    <xf numFmtId="0" fontId="9" fillId="0" borderId="55" xfId="4" applyFont="1" applyFill="1" applyBorder="1"/>
    <xf numFmtId="42" fontId="9" fillId="0" borderId="55" xfId="4" applyNumberFormat="1" applyFont="1" applyFill="1" applyBorder="1"/>
    <xf numFmtId="42" fontId="10" fillId="0" borderId="59" xfId="4" applyNumberFormat="1" applyFont="1" applyFill="1" applyBorder="1"/>
    <xf numFmtId="42" fontId="10" fillId="0" borderId="55" xfId="4" applyNumberFormat="1" applyFont="1" applyFill="1" applyBorder="1"/>
    <xf numFmtId="166" fontId="9" fillId="0" borderId="55" xfId="4" applyNumberFormat="1" applyFont="1" applyFill="1" applyBorder="1"/>
    <xf numFmtId="0" fontId="9" fillId="0" borderId="57" xfId="4" applyFont="1" applyFill="1" applyBorder="1"/>
    <xf numFmtId="44" fontId="9" fillId="0" borderId="57" xfId="7" applyFont="1" applyFill="1" applyBorder="1"/>
    <xf numFmtId="0" fontId="9" fillId="0" borderId="60" xfId="4" applyFont="1" applyBorder="1"/>
    <xf numFmtId="0" fontId="9" fillId="0" borderId="61" xfId="4" applyFont="1" applyBorder="1"/>
    <xf numFmtId="44" fontId="6" fillId="0" borderId="55" xfId="1" applyFont="1" applyBorder="1"/>
    <xf numFmtId="166" fontId="9" fillId="0" borderId="55" xfId="8" applyNumberFormat="1" applyFont="1" applyBorder="1"/>
    <xf numFmtId="0" fontId="9" fillId="0" borderId="58" xfId="4" applyFont="1" applyBorder="1"/>
    <xf numFmtId="0" fontId="9" fillId="0" borderId="54" xfId="4" applyFont="1" applyFill="1" applyBorder="1"/>
    <xf numFmtId="44" fontId="8" fillId="0" borderId="55" xfId="1" applyFont="1" applyFill="1" applyBorder="1"/>
    <xf numFmtId="0" fontId="9" fillId="0" borderId="62" xfId="4" applyFont="1" applyBorder="1"/>
    <xf numFmtId="0" fontId="9" fillId="0" borderId="63" xfId="4" applyFont="1" applyBorder="1"/>
    <xf numFmtId="0" fontId="9" fillId="0" borderId="63" xfId="4" applyFont="1" applyFill="1" applyBorder="1"/>
    <xf numFmtId="44" fontId="9" fillId="0" borderId="64" xfId="4" applyNumberFormat="1" applyFont="1" applyFill="1" applyBorder="1"/>
    <xf numFmtId="0" fontId="9" fillId="0" borderId="49" xfId="4" applyFont="1" applyBorder="1"/>
    <xf numFmtId="0" fontId="9" fillId="0" borderId="50" xfId="4" applyFont="1" applyBorder="1"/>
    <xf numFmtId="0" fontId="9" fillId="0" borderId="51" xfId="4" applyFont="1" applyBorder="1"/>
    <xf numFmtId="42" fontId="10" fillId="0" borderId="61" xfId="4" applyNumberFormat="1" applyFont="1" applyFill="1" applyBorder="1"/>
    <xf numFmtId="44" fontId="9" fillId="0" borderId="55" xfId="7" applyFont="1" applyBorder="1"/>
    <xf numFmtId="171" fontId="6" fillId="0" borderId="54" xfId="4" applyNumberFormat="1" applyFont="1" applyBorder="1" applyAlignment="1"/>
    <xf numFmtId="0" fontId="0" fillId="0" borderId="66" xfId="0" applyBorder="1"/>
    <xf numFmtId="44" fontId="9" fillId="0" borderId="55" xfId="8" applyFont="1" applyFill="1" applyBorder="1"/>
    <xf numFmtId="0" fontId="0" fillId="0" borderId="67" xfId="0" applyBorder="1" applyAlignment="1">
      <alignment wrapText="1"/>
    </xf>
    <xf numFmtId="0" fontId="0" fillId="0" borderId="67" xfId="0" applyBorder="1"/>
    <xf numFmtId="0" fontId="6" fillId="0" borderId="55" xfId="4" applyBorder="1"/>
    <xf numFmtId="0" fontId="0" fillId="0" borderId="68" xfId="0" applyBorder="1"/>
    <xf numFmtId="0" fontId="39" fillId="0" borderId="67" xfId="0" applyFont="1" applyBorder="1" applyAlignment="1">
      <alignment wrapText="1"/>
    </xf>
    <xf numFmtId="0" fontId="40" fillId="0" borderId="67" xfId="0" applyFont="1" applyBorder="1" applyAlignment="1">
      <alignment wrapText="1"/>
    </xf>
    <xf numFmtId="0" fontId="0" fillId="0" borderId="68" xfId="0" applyBorder="1" applyAlignment="1">
      <alignment wrapText="1"/>
    </xf>
    <xf numFmtId="171" fontId="6" fillId="0" borderId="54" xfId="4" applyNumberFormat="1" applyFont="1" applyFill="1" applyBorder="1" applyAlignment="1"/>
    <xf numFmtId="0" fontId="6" fillId="0" borderId="54" xfId="4" applyFont="1" applyFill="1" applyBorder="1" applyAlignment="1"/>
    <xf numFmtId="0" fontId="6" fillId="0" borderId="62" xfId="4" applyBorder="1"/>
    <xf numFmtId="0" fontId="6" fillId="0" borderId="63" xfId="4" applyBorder="1"/>
    <xf numFmtId="0" fontId="6" fillId="0" borderId="64" xfId="4" applyBorder="1"/>
    <xf numFmtId="171" fontId="11" fillId="4" borderId="69" xfId="3" applyNumberFormat="1" applyFont="1" applyBorder="1" applyAlignment="1">
      <alignment horizontal="center" vertical="center"/>
    </xf>
    <xf numFmtId="171" fontId="11" fillId="4" borderId="70" xfId="3" applyNumberFormat="1" applyFont="1" applyBorder="1" applyAlignment="1">
      <alignment horizontal="center" vertical="center"/>
    </xf>
    <xf numFmtId="171" fontId="11" fillId="4" borderId="71" xfId="3" applyNumberFormat="1" applyFont="1" applyBorder="1" applyAlignment="1">
      <alignment horizontal="center" vertical="center"/>
    </xf>
    <xf numFmtId="0" fontId="36" fillId="17" borderId="72" xfId="0" applyFont="1" applyFill="1" applyBorder="1"/>
    <xf numFmtId="8" fontId="5" fillId="19" borderId="73" xfId="0" applyNumberFormat="1" applyFont="1" applyFill="1" applyBorder="1"/>
    <xf numFmtId="0" fontId="0" fillId="0" borderId="74" xfId="0" applyBorder="1"/>
    <xf numFmtId="6" fontId="0" fillId="0" borderId="75" xfId="0" applyNumberFormat="1" applyBorder="1" applyAlignment="1">
      <alignment wrapText="1"/>
    </xf>
    <xf numFmtId="170" fontId="0" fillId="0" borderId="76" xfId="0" applyNumberFormat="1" applyBorder="1"/>
    <xf numFmtId="8" fontId="5" fillId="19" borderId="45" xfId="0" applyNumberFormat="1" applyFont="1" applyFill="1" applyBorder="1"/>
    <xf numFmtId="0" fontId="0" fillId="0" borderId="77" xfId="0" applyBorder="1"/>
    <xf numFmtId="0" fontId="34" fillId="17" borderId="78" xfId="0" applyFont="1" applyFill="1" applyBorder="1"/>
    <xf numFmtId="8" fontId="0" fillId="0" borderId="73" xfId="0" applyNumberFormat="1" applyFill="1" applyBorder="1"/>
    <xf numFmtId="8" fontId="0" fillId="0" borderId="73" xfId="0" applyNumberFormat="1" applyBorder="1"/>
    <xf numFmtId="8" fontId="5" fillId="19" borderId="76" xfId="0" applyNumberFormat="1" applyFont="1" applyFill="1" applyBorder="1"/>
    <xf numFmtId="0" fontId="9" fillId="0" borderId="49" xfId="0" applyFont="1" applyBorder="1" applyAlignment="1">
      <alignment wrapText="1"/>
    </xf>
    <xf numFmtId="0" fontId="9" fillId="0" borderId="50" xfId="0" applyFont="1" applyBorder="1"/>
    <xf numFmtId="0" fontId="9" fillId="0" borderId="51" xfId="0" applyFont="1" applyBorder="1"/>
    <xf numFmtId="0" fontId="10" fillId="0" borderId="54" xfId="0" applyFont="1" applyBorder="1" applyAlignment="1">
      <alignment wrapText="1"/>
    </xf>
    <xf numFmtId="3" fontId="10" fillId="0" borderId="55" xfId="0" applyNumberFormat="1" applyFont="1" applyBorder="1"/>
    <xf numFmtId="0" fontId="9" fillId="0" borderId="54" xfId="0" applyFont="1" applyBorder="1" applyAlignment="1">
      <alignment wrapText="1"/>
    </xf>
    <xf numFmtId="0" fontId="9" fillId="0" borderId="55" xfId="0" applyFont="1" applyBorder="1"/>
    <xf numFmtId="0" fontId="10" fillId="0" borderId="56" xfId="0" applyFont="1" applyBorder="1" applyAlignment="1">
      <alignment wrapText="1"/>
    </xf>
    <xf numFmtId="0" fontId="10" fillId="0" borderId="57" xfId="0" applyFont="1" applyBorder="1" applyAlignment="1">
      <alignment horizontal="center"/>
    </xf>
    <xf numFmtId="164" fontId="8" fillId="0" borderId="54" xfId="0" applyNumberFormat="1" applyFont="1" applyFill="1" applyBorder="1" applyAlignment="1">
      <alignment wrapText="1"/>
    </xf>
    <xf numFmtId="42" fontId="9" fillId="0" borderId="55" xfId="0" applyNumberFormat="1" applyFont="1" applyBorder="1"/>
    <xf numFmtId="165" fontId="8" fillId="0" borderId="54" xfId="0" applyNumberFormat="1" applyFont="1" applyFill="1" applyBorder="1" applyAlignment="1">
      <alignment wrapText="1"/>
    </xf>
    <xf numFmtId="42" fontId="9" fillId="0" borderId="55" xfId="0" applyNumberFormat="1" applyFont="1" applyFill="1" applyBorder="1"/>
    <xf numFmtId="0" fontId="8" fillId="0" borderId="54" xfId="4" applyFont="1" applyBorder="1"/>
    <xf numFmtId="166" fontId="19" fillId="0" borderId="55" xfId="1" applyNumberFormat="1" applyFont="1" applyBorder="1"/>
    <xf numFmtId="0" fontId="24" fillId="0" borderId="0" xfId="0" applyFont="1" applyBorder="1"/>
    <xf numFmtId="0" fontId="8" fillId="0" borderId="56" xfId="4" applyFont="1" applyBorder="1"/>
    <xf numFmtId="0" fontId="10" fillId="0" borderId="58" xfId="0" applyFont="1" applyBorder="1" applyAlignment="1">
      <alignment wrapText="1"/>
    </xf>
    <xf numFmtId="42" fontId="10" fillId="0" borderId="59" xfId="0" applyNumberFormat="1" applyFont="1" applyBorder="1"/>
    <xf numFmtId="0" fontId="7" fillId="0" borderId="55" xfId="0" applyFont="1" applyBorder="1"/>
    <xf numFmtId="0" fontId="9" fillId="0" borderId="55" xfId="0" applyFont="1" applyFill="1" applyBorder="1"/>
    <xf numFmtId="42" fontId="10" fillId="0" borderId="59" xfId="0" applyNumberFormat="1" applyFont="1" applyFill="1" applyBorder="1"/>
    <xf numFmtId="42" fontId="10" fillId="0" borderId="55" xfId="0" applyNumberFormat="1" applyFont="1" applyFill="1" applyBorder="1"/>
    <xf numFmtId="166" fontId="9" fillId="0" borderId="55" xfId="0" applyNumberFormat="1" applyFont="1" applyFill="1" applyBorder="1"/>
    <xf numFmtId="42" fontId="10" fillId="0" borderId="61" xfId="0" applyNumberFormat="1" applyFont="1" applyFill="1" applyBorder="1"/>
    <xf numFmtId="0" fontId="9" fillId="0" borderId="57" xfId="0" applyFont="1" applyFill="1" applyBorder="1"/>
    <xf numFmtId="44" fontId="19" fillId="0" borderId="55" xfId="1" applyFont="1" applyBorder="1"/>
    <xf numFmtId="44" fontId="19" fillId="13" borderId="55" xfId="1" applyFont="1" applyFill="1" applyBorder="1"/>
    <xf numFmtId="164" fontId="6" fillId="0" borderId="54" xfId="0" applyNumberFormat="1" applyFont="1" applyBorder="1"/>
    <xf numFmtId="0" fontId="0" fillId="0" borderId="55" xfId="0" applyBorder="1"/>
    <xf numFmtId="0" fontId="0" fillId="0" borderId="54" xfId="0" applyBorder="1" applyAlignment="1">
      <alignment wrapText="1"/>
    </xf>
    <xf numFmtId="0" fontId="38" fillId="16" borderId="77" xfId="0" applyFont="1" applyFill="1" applyBorder="1" applyAlignment="1">
      <alignment horizontal="center" wrapText="1"/>
    </xf>
    <xf numFmtId="0" fontId="6" fillId="0" borderId="55" xfId="5" applyBorder="1"/>
    <xf numFmtId="44" fontId="8" fillId="0" borderId="74" xfId="7" applyFont="1" applyBorder="1" applyAlignment="1">
      <alignment wrapText="1"/>
    </xf>
    <xf numFmtId="44" fontId="8" fillId="0" borderId="75" xfId="7" applyFont="1" applyBorder="1"/>
    <xf numFmtId="10" fontId="8" fillId="0" borderId="79" xfId="12" applyNumberFormat="1" applyFont="1" applyBorder="1"/>
    <xf numFmtId="0" fontId="6" fillId="0" borderId="64" xfId="5" applyBorder="1"/>
    <xf numFmtId="10" fontId="0" fillId="0" borderId="80" xfId="0" applyNumberFormat="1" applyBorder="1"/>
    <xf numFmtId="0" fontId="9" fillId="0" borderId="81" xfId="0" applyFont="1" applyBorder="1"/>
    <xf numFmtId="44" fontId="19" fillId="0" borderId="81" xfId="1" applyFont="1" applyBorder="1"/>
    <xf numFmtId="0" fontId="0" fillId="0" borderId="83" xfId="0" applyBorder="1" applyAlignment="1">
      <alignment wrapText="1"/>
    </xf>
    <xf numFmtId="10" fontId="6" fillId="0" borderId="83" xfId="4" applyNumberFormat="1" applyBorder="1"/>
    <xf numFmtId="0" fontId="9" fillId="0" borderId="83" xfId="0" applyFont="1" applyBorder="1"/>
    <xf numFmtId="10" fontId="9" fillId="0" borderId="83" xfId="0" applyNumberFormat="1" applyFont="1" applyBorder="1"/>
    <xf numFmtId="44" fontId="19" fillId="0" borderId="83" xfId="1" applyFont="1" applyBorder="1"/>
    <xf numFmtId="0" fontId="18" fillId="0" borderId="54" xfId="0" applyFont="1" applyBorder="1" applyAlignment="1">
      <alignment wrapText="1"/>
    </xf>
    <xf numFmtId="0" fontId="18" fillId="0" borderId="54" xfId="0" applyFont="1" applyBorder="1"/>
    <xf numFmtId="0" fontId="9" fillId="0" borderId="60" xfId="0" applyFont="1" applyBorder="1" applyAlignment="1">
      <alignment wrapText="1"/>
    </xf>
    <xf numFmtId="0" fontId="9" fillId="0" borderId="61" xfId="0" applyFont="1" applyBorder="1"/>
    <xf numFmtId="0" fontId="0" fillId="13" borderId="55" xfId="0" applyFill="1" applyBorder="1"/>
    <xf numFmtId="0" fontId="0" fillId="13" borderId="61" xfId="0" applyFill="1" applyBorder="1"/>
    <xf numFmtId="44" fontId="0" fillId="0" borderId="55" xfId="0" applyNumberFormat="1" applyBorder="1"/>
    <xf numFmtId="0" fontId="41" fillId="16" borderId="77" xfId="0" applyFont="1" applyFill="1" applyBorder="1" applyAlignment="1">
      <alignment horizontal="center" wrapText="1"/>
    </xf>
    <xf numFmtId="0" fontId="0" fillId="0" borderId="64" xfId="0" applyBorder="1"/>
    <xf numFmtId="6" fontId="0" fillId="0" borderId="0" xfId="0" applyNumberFormat="1" applyBorder="1"/>
    <xf numFmtId="10" fontId="9" fillId="0" borderId="24" xfId="0" applyNumberFormat="1" applyFont="1" applyBorder="1"/>
    <xf numFmtId="44" fontId="19" fillId="0" borderId="24" xfId="1" applyFont="1" applyBorder="1"/>
    <xf numFmtId="164" fontId="8" fillId="0" borderId="54" xfId="0" applyNumberFormat="1" applyFont="1" applyBorder="1" applyAlignment="1">
      <alignment wrapText="1"/>
    </xf>
    <xf numFmtId="44" fontId="19" fillId="0" borderId="61" xfId="1" applyFont="1" applyBorder="1"/>
    <xf numFmtId="44" fontId="8" fillId="0" borderId="68" xfId="7" applyFont="1" applyBorder="1" applyAlignment="1">
      <alignment wrapText="1"/>
    </xf>
    <xf numFmtId="0" fontId="0" fillId="0" borderId="54" xfId="0" applyBorder="1"/>
    <xf numFmtId="0" fontId="6" fillId="0" borderId="62" xfId="5" applyBorder="1"/>
    <xf numFmtId="0" fontId="6" fillId="0" borderId="63" xfId="5" applyBorder="1"/>
    <xf numFmtId="164" fontId="8" fillId="0" borderId="0" xfId="0" applyNumberFormat="1" applyFont="1" applyBorder="1" applyAlignment="1"/>
    <xf numFmtId="0" fontId="9" fillId="0" borderId="36" xfId="0" applyFont="1" applyBorder="1"/>
    <xf numFmtId="10" fontId="9" fillId="0" borderId="36" xfId="0" applyNumberFormat="1" applyFont="1" applyBorder="1"/>
    <xf numFmtId="44" fontId="19" fillId="0" borderId="36" xfId="1" applyFont="1" applyBorder="1"/>
    <xf numFmtId="166" fontId="19" fillId="0" borderId="57" xfId="1" applyNumberFormat="1" applyFont="1" applyBorder="1"/>
    <xf numFmtId="42" fontId="10" fillId="0" borderId="57" xfId="0" applyNumberFormat="1" applyFont="1" applyBorder="1"/>
    <xf numFmtId="44" fontId="19" fillId="13" borderId="57" xfId="1" applyFont="1" applyFill="1" applyBorder="1"/>
    <xf numFmtId="0" fontId="33" fillId="16" borderId="77" xfId="0" applyFont="1" applyFill="1" applyBorder="1" applyAlignment="1">
      <alignment horizontal="center" wrapText="1"/>
    </xf>
    <xf numFmtId="42" fontId="9" fillId="0" borderId="57" xfId="0" applyNumberFormat="1" applyFont="1" applyFill="1" applyBorder="1"/>
    <xf numFmtId="42" fontId="9" fillId="0" borderId="59" xfId="0" applyNumberFormat="1" applyFont="1" applyFill="1" applyBorder="1"/>
    <xf numFmtId="44" fontId="9" fillId="0" borderId="59" xfId="7" applyFont="1" applyFill="1" applyBorder="1"/>
    <xf numFmtId="0" fontId="9" fillId="0" borderId="56" xfId="0" applyFont="1" applyBorder="1" applyAlignment="1">
      <alignment wrapText="1"/>
    </xf>
    <xf numFmtId="44" fontId="19" fillId="0" borderId="57" xfId="1" applyFont="1" applyBorder="1"/>
    <xf numFmtId="0" fontId="0" fillId="0" borderId="62" xfId="0" applyBorder="1"/>
    <xf numFmtId="0" fontId="0" fillId="0" borderId="63" xfId="0" applyBorder="1"/>
    <xf numFmtId="0" fontId="18" fillId="0" borderId="56" xfId="0" applyFont="1" applyBorder="1" applyAlignment="1">
      <alignment wrapText="1"/>
    </xf>
    <xf numFmtId="0" fontId="0" fillId="0" borderId="57" xfId="0" applyBorder="1"/>
    <xf numFmtId="0" fontId="6" fillId="0" borderId="54" xfId="4" applyBorder="1"/>
    <xf numFmtId="0" fontId="0" fillId="0" borderId="0" xfId="0" applyFill="1" applyBorder="1" applyAlignment="1">
      <alignment wrapText="1"/>
    </xf>
    <xf numFmtId="2" fontId="0" fillId="0" borderId="0" xfId="0" applyNumberFormat="1" applyFill="1" applyBorder="1"/>
    <xf numFmtId="44" fontId="0" fillId="0" borderId="0" xfId="0" applyNumberFormat="1" applyFill="1" applyBorder="1"/>
    <xf numFmtId="0" fontId="0" fillId="0" borderId="0" xfId="0" applyFill="1" applyBorder="1"/>
    <xf numFmtId="6" fontId="0" fillId="0" borderId="0" xfId="0" applyNumberFormat="1" applyFill="1" applyBorder="1"/>
    <xf numFmtId="8" fontId="0" fillId="0" borderId="0" xfId="0" applyNumberFormat="1" applyFill="1" applyBorder="1"/>
    <xf numFmtId="44" fontId="8" fillId="0" borderId="0" xfId="7" applyFont="1" applyFill="1" applyBorder="1" applyAlignment="1">
      <alignment wrapText="1"/>
    </xf>
    <xf numFmtId="44" fontId="8" fillId="0" borderId="0" xfId="7" applyFont="1" applyFill="1" applyBorder="1"/>
    <xf numFmtId="10" fontId="8" fillId="0" borderId="0" xfId="12" applyNumberFormat="1" applyFont="1" applyFill="1" applyBorder="1"/>
    <xf numFmtId="0" fontId="0" fillId="0" borderId="24" xfId="0" applyBorder="1"/>
    <xf numFmtId="10" fontId="0" fillId="0" borderId="24" xfId="0" applyNumberFormat="1" applyBorder="1"/>
    <xf numFmtId="0" fontId="10" fillId="0" borderId="54" xfId="0" applyFont="1" applyFill="1" applyBorder="1" applyAlignment="1">
      <alignment wrapText="1"/>
    </xf>
    <xf numFmtId="44" fontId="19" fillId="0" borderId="55" xfId="7" applyFont="1" applyBorder="1"/>
    <xf numFmtId="166" fontId="9" fillId="0" borderId="57" xfId="8" applyNumberFormat="1" applyFont="1" applyBorder="1"/>
    <xf numFmtId="44" fontId="19" fillId="13" borderId="57" xfId="7" applyFont="1" applyFill="1" applyBorder="1"/>
    <xf numFmtId="44" fontId="19" fillId="0" borderId="57" xfId="7" applyFont="1" applyBorder="1"/>
    <xf numFmtId="44" fontId="28" fillId="0" borderId="0" xfId="7" applyFont="1" applyFill="1" applyBorder="1" applyAlignment="1">
      <alignment wrapText="1"/>
    </xf>
    <xf numFmtId="0" fontId="0" fillId="0" borderId="19" xfId="0" applyBorder="1"/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9" fillId="0" borderId="54" xfId="0" applyFont="1" applyFill="1" applyBorder="1" applyAlignment="1">
      <alignment wrapText="1"/>
    </xf>
    <xf numFmtId="44" fontId="8" fillId="19" borderId="55" xfId="1" applyFont="1" applyFill="1" applyBorder="1"/>
    <xf numFmtId="10" fontId="10" fillId="0" borderId="0" xfId="4" applyNumberFormat="1" applyFont="1" applyBorder="1"/>
    <xf numFmtId="44" fontId="8" fillId="0" borderId="0" xfId="1" applyFont="1" applyBorder="1"/>
    <xf numFmtId="44" fontId="8" fillId="0" borderId="59" xfId="1" applyFont="1" applyFill="1" applyBorder="1"/>
    <xf numFmtId="2" fontId="5" fillId="0" borderId="82" xfId="0" applyNumberFormat="1" applyFont="1" applyFill="1" applyBorder="1"/>
    <xf numFmtId="44" fontId="18" fillId="0" borderId="84" xfId="1" applyFont="1" applyFill="1" applyBorder="1"/>
    <xf numFmtId="44" fontId="18" fillId="0" borderId="89" xfId="1" applyFont="1" applyFill="1" applyBorder="1"/>
    <xf numFmtId="44" fontId="18" fillId="0" borderId="90" xfId="1" applyFont="1" applyFill="1" applyBorder="1"/>
    <xf numFmtId="44" fontId="18" fillId="0" borderId="73" xfId="1" applyFont="1" applyFill="1" applyBorder="1"/>
    <xf numFmtId="44" fontId="5" fillId="0" borderId="59" xfId="1" applyNumberFormat="1" applyFont="1" applyFill="1" applyBorder="1"/>
    <xf numFmtId="44" fontId="5" fillId="0" borderId="59" xfId="1" applyFont="1" applyFill="1" applyBorder="1"/>
    <xf numFmtId="2" fontId="6" fillId="0" borderId="0" xfId="4" applyNumberFormat="1"/>
    <xf numFmtId="0" fontId="0" fillId="0" borderId="0" xfId="0" applyBorder="1" applyAlignment="1">
      <alignment horizontal="center" wrapText="1"/>
    </xf>
    <xf numFmtId="0" fontId="51" fillId="21" borderId="25" xfId="6" applyFont="1" applyFill="1" applyBorder="1" applyAlignment="1">
      <alignment horizontal="center" vertical="center"/>
    </xf>
    <xf numFmtId="0" fontId="52" fillId="21" borderId="25" xfId="6" applyFont="1" applyFill="1" applyBorder="1"/>
    <xf numFmtId="8" fontId="0" fillId="0" borderId="0" xfId="0" applyNumberFormat="1"/>
    <xf numFmtId="166" fontId="54" fillId="0" borderId="25" xfId="38" applyNumberFormat="1" applyFont="1" applyBorder="1"/>
    <xf numFmtId="0" fontId="55" fillId="0" borderId="25" xfId="6" applyFont="1" applyFill="1" applyBorder="1" applyAlignment="1">
      <alignment horizontal="center" wrapText="1"/>
    </xf>
    <xf numFmtId="166" fontId="54" fillId="0" borderId="25" xfId="6" applyNumberFormat="1" applyFont="1" applyFill="1" applyBorder="1"/>
    <xf numFmtId="0" fontId="21" fillId="0" borderId="0" xfId="0" applyFont="1" applyFill="1" applyBorder="1"/>
    <xf numFmtId="0" fontId="50" fillId="0" borderId="19" xfId="0" applyFont="1" applyFill="1" applyBorder="1"/>
    <xf numFmtId="0" fontId="50" fillId="0" borderId="24" xfId="0" applyFont="1" applyFill="1" applyBorder="1" applyAlignment="1">
      <alignment horizontal="center" wrapText="1"/>
    </xf>
    <xf numFmtId="0" fontId="56" fillId="0" borderId="24" xfId="0" applyFont="1" applyFill="1" applyBorder="1" applyAlignment="1">
      <alignment horizontal="center"/>
    </xf>
    <xf numFmtId="0" fontId="50" fillId="0" borderId="20" xfId="0" applyFont="1" applyFill="1" applyBorder="1" applyAlignment="1">
      <alignment horizontal="center" wrapText="1"/>
    </xf>
    <xf numFmtId="0" fontId="56" fillId="0" borderId="19" xfId="0" applyFont="1" applyFill="1" applyBorder="1"/>
    <xf numFmtId="0" fontId="50" fillId="0" borderId="20" xfId="0" applyFont="1" applyFill="1" applyBorder="1" applyAlignment="1">
      <alignment wrapText="1"/>
    </xf>
    <xf numFmtId="0" fontId="56" fillId="0" borderId="19" xfId="0" applyFont="1" applyFill="1" applyBorder="1" applyAlignment="1">
      <alignment horizontal="center"/>
    </xf>
    <xf numFmtId="166" fontId="54" fillId="0" borderId="25" xfId="39" applyNumberFormat="1" applyFont="1" applyFill="1" applyBorder="1"/>
    <xf numFmtId="0" fontId="56" fillId="0" borderId="5" xfId="0" applyFont="1" applyFill="1" applyBorder="1"/>
    <xf numFmtId="168" fontId="57" fillId="0" borderId="0" xfId="38" applyNumberFormat="1" applyFont="1" applyBorder="1"/>
    <xf numFmtId="0" fontId="58" fillId="0" borderId="0" xfId="0" applyFont="1" applyBorder="1" applyAlignment="1">
      <alignment horizontal="center"/>
    </xf>
    <xf numFmtId="168" fontId="21" fillId="0" borderId="13" xfId="38" applyNumberFormat="1" applyFont="1" applyFill="1" applyBorder="1" applyAlignment="1">
      <alignment horizontal="center"/>
    </xf>
    <xf numFmtId="168" fontId="59" fillId="0" borderId="0" xfId="0" applyNumberFormat="1" applyFont="1" applyFill="1" applyBorder="1"/>
    <xf numFmtId="0" fontId="60" fillId="0" borderId="0" xfId="0" applyFont="1" applyFill="1" applyBorder="1" applyAlignment="1">
      <alignment horizontal="center"/>
    </xf>
    <xf numFmtId="6" fontId="21" fillId="0" borderId="13" xfId="0" applyNumberFormat="1" applyFont="1" applyFill="1" applyBorder="1" applyAlignment="1">
      <alignment horizontal="center"/>
    </xf>
    <xf numFmtId="4" fontId="60" fillId="0" borderId="0" xfId="0" applyNumberFormat="1" applyFont="1" applyFill="1" applyBorder="1" applyAlignment="1">
      <alignment horizontal="center"/>
    </xf>
    <xf numFmtId="168" fontId="59" fillId="0" borderId="0" xfId="0" applyNumberFormat="1" applyFont="1" applyFill="1" applyBorder="1" applyAlignment="1">
      <alignment horizontal="center"/>
    </xf>
    <xf numFmtId="166" fontId="54" fillId="0" borderId="25" xfId="0" applyNumberFormat="1" applyFont="1" applyFill="1" applyBorder="1"/>
    <xf numFmtId="0" fontId="56" fillId="0" borderId="26" xfId="0" applyFont="1" applyFill="1" applyBorder="1"/>
    <xf numFmtId="168" fontId="59" fillId="0" borderId="27" xfId="0" applyNumberFormat="1" applyFont="1" applyFill="1" applyBorder="1"/>
    <xf numFmtId="0" fontId="60" fillId="0" borderId="27" xfId="0" applyFont="1" applyFill="1" applyBorder="1" applyAlignment="1">
      <alignment horizontal="center"/>
    </xf>
    <xf numFmtId="6" fontId="21" fillId="0" borderId="28" xfId="0" applyNumberFormat="1" applyFont="1" applyFill="1" applyBorder="1" applyAlignment="1">
      <alignment horizontal="center"/>
    </xf>
    <xf numFmtId="0" fontId="21" fillId="0" borderId="5" xfId="0" applyFont="1" applyFill="1" applyBorder="1"/>
    <xf numFmtId="0" fontId="21" fillId="0" borderId="0" xfId="0" applyFont="1" applyFill="1" applyBorder="1" applyAlignment="1"/>
    <xf numFmtId="0" fontId="21" fillId="0" borderId="0" xfId="0" applyFont="1" applyFill="1" applyBorder="1" applyAlignment="1">
      <alignment horizontal="center"/>
    </xf>
    <xf numFmtId="0" fontId="21" fillId="0" borderId="13" xfId="0" applyFont="1" applyFill="1" applyBorder="1" applyAlignment="1">
      <alignment horizontal="center"/>
    </xf>
    <xf numFmtId="4" fontId="60" fillId="0" borderId="27" xfId="0" applyNumberFormat="1" applyFont="1" applyFill="1" applyBorder="1" applyAlignment="1">
      <alignment horizontal="center"/>
    </xf>
    <xf numFmtId="0" fontId="56" fillId="0" borderId="24" xfId="0" applyFont="1" applyFill="1" applyBorder="1"/>
    <xf numFmtId="6" fontId="56" fillId="0" borderId="20" xfId="0" applyNumberFormat="1" applyFont="1" applyFill="1" applyBorder="1" applyAlignment="1">
      <alignment horizontal="center"/>
    </xf>
    <xf numFmtId="0" fontId="56" fillId="0" borderId="24" xfId="0" applyFont="1" applyFill="1" applyBorder="1" applyAlignment="1"/>
    <xf numFmtId="166" fontId="54" fillId="0" borderId="25" xfId="0" applyNumberFormat="1" applyFont="1" applyFill="1" applyBorder="1" applyAlignment="1">
      <alignment horizontal="center"/>
    </xf>
    <xf numFmtId="4" fontId="56" fillId="0" borderId="24" xfId="0" applyNumberFormat="1" applyFont="1" applyFill="1" applyBorder="1" applyAlignment="1">
      <alignment horizontal="center"/>
    </xf>
    <xf numFmtId="166" fontId="54" fillId="0" borderId="25" xfId="0" applyNumberFormat="1" applyFont="1" applyBorder="1"/>
    <xf numFmtId="168" fontId="57" fillId="0" borderId="27" xfId="38" applyNumberFormat="1" applyFont="1" applyBorder="1"/>
    <xf numFmtId="168" fontId="21" fillId="0" borderId="28" xfId="38" applyNumberFormat="1" applyFont="1" applyFill="1" applyBorder="1" applyAlignment="1">
      <alignment horizontal="center"/>
    </xf>
    <xf numFmtId="0" fontId="8" fillId="0" borderId="19" xfId="0" applyFont="1" applyFill="1" applyBorder="1"/>
    <xf numFmtId="0" fontId="21" fillId="0" borderId="26" xfId="0" applyFont="1" applyFill="1" applyBorder="1"/>
    <xf numFmtId="0" fontId="21" fillId="0" borderId="27" xfId="0" applyFont="1" applyFill="1" applyBorder="1"/>
    <xf numFmtId="9" fontId="59" fillId="0" borderId="27" xfId="0" applyNumberFormat="1" applyFont="1" applyFill="1" applyBorder="1" applyAlignment="1">
      <alignment horizontal="center"/>
    </xf>
    <xf numFmtId="0" fontId="21" fillId="0" borderId="24" xfId="0" applyFont="1" applyFill="1" applyBorder="1"/>
    <xf numFmtId="168" fontId="56" fillId="0" borderId="20" xfId="0" applyNumberFormat="1" applyFont="1" applyFill="1" applyBorder="1" applyAlignment="1">
      <alignment horizontal="center"/>
    </xf>
    <xf numFmtId="0" fontId="21" fillId="0" borderId="13" xfId="0" applyFont="1" applyFill="1" applyBorder="1" applyAlignment="1"/>
    <xf numFmtId="168" fontId="21" fillId="0" borderId="13" xfId="0" applyNumberFormat="1" applyFont="1" applyFill="1" applyBorder="1"/>
    <xf numFmtId="0" fontId="0" fillId="0" borderId="94" xfId="0" applyBorder="1"/>
    <xf numFmtId="168" fontId="59" fillId="0" borderId="27" xfId="0" applyNumberFormat="1" applyFont="1" applyFill="1" applyBorder="1" applyAlignment="1">
      <alignment horizontal="center"/>
    </xf>
    <xf numFmtId="9" fontId="59" fillId="0" borderId="0" xfId="0" applyNumberFormat="1" applyFont="1" applyFill="1" applyBorder="1" applyAlignment="1">
      <alignment horizontal="center"/>
    </xf>
    <xf numFmtId="168" fontId="57" fillId="0" borderId="0" xfId="0" applyNumberFormat="1" applyFont="1"/>
    <xf numFmtId="168" fontId="0" fillId="0" borderId="0" xfId="0" applyNumberFormat="1"/>
    <xf numFmtId="168" fontId="21" fillId="0" borderId="13" xfId="0" applyNumberFormat="1" applyFont="1" applyFill="1" applyBorder="1" applyAlignment="1">
      <alignment horizontal="center"/>
    </xf>
    <xf numFmtId="9" fontId="57" fillId="0" borderId="0" xfId="40" applyNumberFormat="1" applyFont="1"/>
    <xf numFmtId="9" fontId="21" fillId="0" borderId="0" xfId="0" applyNumberFormat="1" applyFont="1" applyFill="1" applyBorder="1"/>
    <xf numFmtId="0" fontId="53" fillId="0" borderId="19" xfId="0" applyFont="1" applyFill="1" applyBorder="1"/>
    <xf numFmtId="166" fontId="21" fillId="0" borderId="13" xfId="0" applyNumberFormat="1" applyFont="1" applyFill="1" applyBorder="1" applyAlignment="1">
      <alignment horizontal="center"/>
    </xf>
    <xf numFmtId="0" fontId="21" fillId="0" borderId="13" xfId="0" applyFont="1" applyFill="1" applyBorder="1"/>
    <xf numFmtId="0" fontId="21" fillId="0" borderId="27" xfId="0" applyFont="1" applyFill="1" applyBorder="1" applyAlignment="1"/>
    <xf numFmtId="0" fontId="61" fillId="21" borderId="25" xfId="6" applyFont="1" applyFill="1" applyBorder="1" applyAlignment="1">
      <alignment horizontal="center"/>
    </xf>
    <xf numFmtId="9" fontId="57" fillId="0" borderId="0" xfId="40" applyFont="1"/>
    <xf numFmtId="168" fontId="52" fillId="0" borderId="13" xfId="38" applyNumberFormat="1" applyFont="1" applyFill="1" applyBorder="1" applyAlignment="1">
      <alignment horizontal="center"/>
    </xf>
    <xf numFmtId="0" fontId="54" fillId="15" borderId="25" xfId="0" applyNumberFormat="1" applyFont="1" applyFill="1" applyBorder="1" applyAlignment="1">
      <alignment horizontal="center" vertical="center"/>
    </xf>
    <xf numFmtId="0" fontId="54" fillId="0" borderId="25" xfId="0" applyNumberFormat="1" applyFont="1" applyFill="1" applyBorder="1" applyAlignment="1">
      <alignment horizontal="center" vertical="center"/>
    </xf>
    <xf numFmtId="0" fontId="54" fillId="0" borderId="25" xfId="6" applyNumberFormat="1" applyFont="1" applyFill="1" applyBorder="1" applyAlignment="1">
      <alignment horizontal="center" vertical="center"/>
    </xf>
    <xf numFmtId="0" fontId="55" fillId="0" borderId="25" xfId="6" applyFont="1" applyFill="1" applyBorder="1" applyAlignment="1">
      <alignment horizontal="center"/>
    </xf>
    <xf numFmtId="166" fontId="1" fillId="0" borderId="0" xfId="38" applyNumberFormat="1" applyFont="1"/>
    <xf numFmtId="168" fontId="0" fillId="0" borderId="0" xfId="0" applyNumberFormat="1" applyAlignment="1">
      <alignment horizontal="center"/>
    </xf>
    <xf numFmtId="0" fontId="21" fillId="0" borderId="28" xfId="0" applyFont="1" applyFill="1" applyBorder="1" applyAlignment="1">
      <alignment horizontal="center"/>
    </xf>
    <xf numFmtId="0" fontId="0" fillId="0" borderId="0" xfId="0" applyAlignment="1">
      <alignment horizontal="center"/>
    </xf>
    <xf numFmtId="168" fontId="11" fillId="0" borderId="5" xfId="0" applyNumberFormat="1" applyFont="1" applyFill="1" applyBorder="1"/>
    <xf numFmtId="6" fontId="21" fillId="0" borderId="24" xfId="0" applyNumberFormat="1" applyFont="1" applyFill="1" applyBorder="1"/>
    <xf numFmtId="6" fontId="21" fillId="0" borderId="20" xfId="0" applyNumberFormat="1" applyFont="1" applyFill="1" applyBorder="1" applyAlignment="1">
      <alignment horizontal="center"/>
    </xf>
    <xf numFmtId="0" fontId="11" fillId="0" borderId="0" xfId="0" applyFont="1" applyFill="1" applyBorder="1"/>
    <xf numFmtId="166" fontId="52" fillId="0" borderId="13" xfId="38" applyNumberFormat="1" applyFont="1" applyFill="1" applyBorder="1" applyAlignment="1">
      <alignment horizontal="center"/>
    </xf>
    <xf numFmtId="0" fontId="54" fillId="0" borderId="25" xfId="0" applyNumberFormat="1" applyFont="1" applyBorder="1" applyAlignment="1">
      <alignment horizontal="center" vertical="center"/>
    </xf>
    <xf numFmtId="0" fontId="11" fillId="0" borderId="5" xfId="0" applyFont="1" applyFill="1" applyBorder="1"/>
    <xf numFmtId="0" fontId="54" fillId="0" borderId="5" xfId="0" applyFont="1" applyFill="1" applyBorder="1"/>
    <xf numFmtId="0" fontId="50" fillId="0" borderId="26" xfId="0" applyFont="1" applyFill="1" applyBorder="1"/>
    <xf numFmtId="0" fontId="6" fillId="0" borderId="24" xfId="0" applyFont="1" applyFill="1" applyBorder="1"/>
    <xf numFmtId="168" fontId="21" fillId="0" borderId="20" xfId="0" applyNumberFormat="1" applyFont="1" applyFill="1" applyBorder="1" applyAlignment="1">
      <alignment horizontal="center"/>
    </xf>
    <xf numFmtId="10" fontId="60" fillId="0" borderId="0" xfId="0" applyNumberFormat="1" applyFont="1" applyFill="1" applyBorder="1" applyAlignment="1">
      <alignment horizontal="center"/>
    </xf>
    <xf numFmtId="9" fontId="59" fillId="0" borderId="0" xfId="0" applyNumberFormat="1" applyFont="1" applyFill="1" applyBorder="1"/>
    <xf numFmtId="0" fontId="21" fillId="0" borderId="3" xfId="0" applyFont="1" applyFill="1" applyBorder="1"/>
    <xf numFmtId="0" fontId="21" fillId="0" borderId="4" xfId="0" applyFont="1" applyFill="1" applyBorder="1"/>
    <xf numFmtId="6" fontId="21" fillId="0" borderId="6" xfId="0" applyNumberFormat="1" applyFont="1" applyFill="1" applyBorder="1" applyAlignment="1">
      <alignment horizontal="center"/>
    </xf>
    <xf numFmtId="166" fontId="1" fillId="0" borderId="20" xfId="38" applyNumberFormat="1" applyFont="1" applyBorder="1"/>
    <xf numFmtId="10" fontId="60" fillId="0" borderId="0" xfId="0" applyNumberFormat="1" applyFont="1" applyFill="1" applyBorder="1"/>
    <xf numFmtId="8" fontId="0" fillId="0" borderId="6" xfId="0" applyNumberFormat="1" applyBorder="1"/>
    <xf numFmtId="0" fontId="5" fillId="0" borderId="0" xfId="0" applyFont="1"/>
    <xf numFmtId="0" fontId="0" fillId="0" borderId="0" xfId="0" applyBorder="1" applyAlignment="1">
      <alignment horizontal="center" vertical="center" wrapText="1"/>
    </xf>
    <xf numFmtId="0" fontId="62" fillId="0" borderId="24" xfId="0" applyFont="1" applyFill="1" applyBorder="1"/>
    <xf numFmtId="44" fontId="1" fillId="0" borderId="20" xfId="38" applyNumberFormat="1" applyFont="1" applyBorder="1"/>
    <xf numFmtId="0" fontId="61" fillId="21" borderId="29" xfId="6" applyFont="1" applyFill="1" applyBorder="1" applyAlignment="1">
      <alignment horizontal="center"/>
    </xf>
    <xf numFmtId="0" fontId="52" fillId="21" borderId="13" xfId="6" applyFont="1" applyFill="1" applyBorder="1"/>
    <xf numFmtId="166" fontId="54" fillId="15" borderId="25" xfId="0" applyNumberFormat="1" applyFont="1" applyFill="1" applyBorder="1"/>
    <xf numFmtId="166" fontId="54" fillId="15" borderId="25" xfId="37" applyNumberFormat="1" applyFont="1" applyFill="1" applyBorder="1"/>
    <xf numFmtId="0" fontId="0" fillId="15" borderId="25" xfId="0" applyFill="1" applyBorder="1" applyAlignment="1">
      <alignment horizontal="center" vertical="center" wrapText="1"/>
    </xf>
    <xf numFmtId="168" fontId="21" fillId="0" borderId="28" xfId="0" applyNumberFormat="1" applyFont="1" applyFill="1" applyBorder="1" applyAlignment="1">
      <alignment horizontal="center"/>
    </xf>
    <xf numFmtId="6" fontId="0" fillId="0" borderId="0" xfId="0" applyNumberFormat="1"/>
    <xf numFmtId="166" fontId="63" fillId="15" borderId="25" xfId="0" applyNumberFormat="1" applyFont="1" applyFill="1" applyBorder="1"/>
    <xf numFmtId="0" fontId="0" fillId="15" borderId="25" xfId="0" applyFont="1" applyFill="1" applyBorder="1" applyAlignment="1">
      <alignment horizontal="center" vertical="center" wrapText="1"/>
    </xf>
    <xf numFmtId="10" fontId="64" fillId="0" borderId="24" xfId="0" applyNumberFormat="1" applyFont="1" applyBorder="1"/>
    <xf numFmtId="9" fontId="21" fillId="0" borderId="0" xfId="0" applyNumberFormat="1" applyFont="1" applyFill="1" applyBorder="1" applyAlignment="1">
      <alignment horizontal="center"/>
    </xf>
    <xf numFmtId="166" fontId="54" fillId="15" borderId="25" xfId="0" applyNumberFormat="1" applyFont="1" applyFill="1" applyBorder="1" applyAlignment="1">
      <alignment horizontal="center"/>
    </xf>
    <xf numFmtId="170" fontId="0" fillId="0" borderId="0" xfId="0" applyNumberFormat="1"/>
    <xf numFmtId="10" fontId="54" fillId="15" borderId="25" xfId="40" applyNumberFormat="1" applyFont="1" applyFill="1" applyBorder="1"/>
    <xf numFmtId="44" fontId="1" fillId="0" borderId="0" xfId="38" applyFont="1"/>
    <xf numFmtId="166" fontId="1" fillId="0" borderId="25" xfId="38" applyNumberFormat="1" applyFont="1" applyFill="1" applyBorder="1" applyAlignment="1">
      <alignment horizontal="center"/>
    </xf>
    <xf numFmtId="166" fontId="54" fillId="0" borderId="25" xfId="38" applyNumberFormat="1" applyFont="1" applyFill="1" applyBorder="1" applyAlignment="1">
      <alignment horizontal="center"/>
    </xf>
    <xf numFmtId="166" fontId="1" fillId="0" borderId="25" xfId="38" applyNumberFormat="1" applyFont="1" applyBorder="1"/>
    <xf numFmtId="9" fontId="1" fillId="0" borderId="0" xfId="40" applyFont="1"/>
    <xf numFmtId="166" fontId="54" fillId="0" borderId="25" xfId="38" applyNumberFormat="1" applyFont="1" applyFill="1" applyBorder="1"/>
    <xf numFmtId="166" fontId="55" fillId="0" borderId="25" xfId="38" applyNumberFormat="1" applyFont="1" applyFill="1" applyBorder="1" applyAlignment="1">
      <alignment horizontal="center"/>
    </xf>
    <xf numFmtId="10" fontId="1" fillId="0" borderId="0" xfId="40" applyNumberFormat="1" applyFont="1"/>
    <xf numFmtId="166" fontId="54" fillId="15" borderId="0" xfId="38" applyNumberFormat="1" applyFont="1" applyFill="1"/>
    <xf numFmtId="166" fontId="1" fillId="19" borderId="25" xfId="38" applyNumberFormat="1" applyFont="1" applyFill="1" applyBorder="1" applyAlignment="1">
      <alignment horizontal="center"/>
    </xf>
    <xf numFmtId="0" fontId="0" fillId="15" borderId="0" xfId="0" applyFill="1"/>
    <xf numFmtId="0" fontId="0" fillId="0" borderId="13" xfId="0" applyBorder="1" applyAlignment="1">
      <alignment horizontal="center"/>
    </xf>
    <xf numFmtId="0" fontId="55" fillId="0" borderId="25" xfId="6" applyFont="1" applyFill="1" applyBorder="1" applyAlignment="1">
      <alignment wrapText="1"/>
    </xf>
    <xf numFmtId="170" fontId="0" fillId="0" borderId="0" xfId="0" applyNumberFormat="1" applyAlignment="1">
      <alignment horizontal="center"/>
    </xf>
    <xf numFmtId="170" fontId="0" fillId="0" borderId="0" xfId="0" applyNumberFormat="1" applyFill="1" applyAlignment="1">
      <alignment horizontal="center"/>
    </xf>
    <xf numFmtId="0" fontId="8" fillId="22" borderId="25" xfId="0" applyFont="1" applyFill="1" applyBorder="1" applyAlignment="1">
      <alignment horizontal="center"/>
    </xf>
    <xf numFmtId="0" fontId="8" fillId="22" borderId="25" xfId="0" applyFont="1" applyFill="1" applyBorder="1" applyAlignment="1">
      <alignment horizontal="center" wrapText="1"/>
    </xf>
    <xf numFmtId="170" fontId="8" fillId="0" borderId="25" xfId="0" applyNumberFormat="1" applyFont="1" applyFill="1" applyBorder="1" applyAlignment="1">
      <alignment horizontal="center"/>
    </xf>
    <xf numFmtId="0" fontId="0" fillId="22" borderId="25" xfId="0" applyFill="1" applyBorder="1"/>
    <xf numFmtId="5" fontId="0" fillId="22" borderId="25" xfId="51" applyNumberFormat="1" applyFont="1" applyFill="1" applyBorder="1" applyAlignment="1">
      <alignment horizontal="center" vertical="center" wrapText="1"/>
    </xf>
    <xf numFmtId="0" fontId="0" fillId="22" borderId="25" xfId="0" applyFill="1" applyBorder="1" applyAlignment="1">
      <alignment wrapText="1"/>
    </xf>
    <xf numFmtId="170" fontId="0" fillId="0" borderId="25" xfId="0" applyNumberFormat="1" applyFill="1" applyBorder="1" applyAlignment="1">
      <alignment horizontal="center" wrapText="1"/>
    </xf>
    <xf numFmtId="0" fontId="0" fillId="0" borderId="29" xfId="0" applyBorder="1" applyAlignment="1">
      <alignment horizontal="left"/>
    </xf>
    <xf numFmtId="5" fontId="1" fillId="0" borderId="25" xfId="51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10" fontId="0" fillId="0" borderId="25" xfId="0" applyNumberFormat="1" applyBorder="1" applyAlignment="1">
      <alignment horizontal="center"/>
    </xf>
    <xf numFmtId="170" fontId="0" fillId="0" borderId="25" xfId="0" applyNumberFormat="1" applyFill="1" applyBorder="1" applyAlignment="1">
      <alignment horizontal="center"/>
    </xf>
    <xf numFmtId="170" fontId="0" fillId="19" borderId="25" xfId="0" applyNumberFormat="1" applyFill="1" applyBorder="1" applyAlignment="1">
      <alignment horizontal="center"/>
    </xf>
    <xf numFmtId="0" fontId="0" fillId="0" borderId="94" xfId="0" applyBorder="1" applyAlignment="1">
      <alignment horizontal="left"/>
    </xf>
    <xf numFmtId="5" fontId="0" fillId="0" borderId="25" xfId="51" applyNumberFormat="1" applyFont="1" applyBorder="1" applyAlignment="1">
      <alignment horizontal="center" vertical="center" wrapText="1"/>
    </xf>
    <xf numFmtId="0" fontId="8" fillId="22" borderId="25" xfId="0" applyFont="1" applyFill="1" applyBorder="1" applyAlignment="1">
      <alignment horizontal="left" vertical="top" wrapText="1"/>
    </xf>
    <xf numFmtId="168" fontId="0" fillId="22" borderId="25" xfId="0" applyNumberFormat="1" applyFill="1" applyBorder="1" applyAlignment="1">
      <alignment horizontal="center" vertical="center" wrapText="1"/>
    </xf>
    <xf numFmtId="170" fontId="0" fillId="0" borderId="25" xfId="0" applyNumberFormat="1" applyFill="1" applyBorder="1" applyAlignment="1">
      <alignment horizontal="center" vertical="center" wrapText="1"/>
    </xf>
    <xf numFmtId="0" fontId="0" fillId="0" borderId="94" xfId="0" applyBorder="1" applyAlignment="1">
      <alignment wrapText="1"/>
    </xf>
    <xf numFmtId="0" fontId="69" fillId="22" borderId="25" xfId="0" applyFont="1" applyFill="1" applyBorder="1" applyAlignment="1">
      <alignment horizontal="center"/>
    </xf>
    <xf numFmtId="0" fontId="0" fillId="22" borderId="25" xfId="0" applyFill="1" applyBorder="1" applyAlignment="1">
      <alignment horizontal="center" vertical="center" wrapText="1"/>
    </xf>
    <xf numFmtId="0" fontId="0" fillId="0" borderId="5" xfId="0" applyBorder="1" applyAlignment="1">
      <alignment horizontal="left"/>
    </xf>
    <xf numFmtId="0" fontId="0" fillId="22" borderId="25" xfId="0" applyFill="1" applyBorder="1" applyAlignment="1">
      <alignment horizontal="left" wrapText="1"/>
    </xf>
    <xf numFmtId="0" fontId="0" fillId="22" borderId="25" xfId="0" applyFill="1" applyBorder="1" applyAlignment="1">
      <alignment horizontal="left"/>
    </xf>
    <xf numFmtId="6" fontId="0" fillId="24" borderId="25" xfId="0" applyNumberFormat="1" applyFill="1" applyBorder="1" applyAlignment="1">
      <alignment horizontal="center"/>
    </xf>
    <xf numFmtId="5" fontId="0" fillId="24" borderId="25" xfId="51" applyNumberFormat="1" applyFont="1" applyFill="1" applyBorder="1" applyAlignment="1">
      <alignment horizontal="center" vertical="center" wrapText="1"/>
    </xf>
    <xf numFmtId="0" fontId="0" fillId="24" borderId="13" xfId="0" applyFill="1" applyBorder="1" applyAlignment="1">
      <alignment horizontal="center"/>
    </xf>
    <xf numFmtId="10" fontId="0" fillId="24" borderId="25" xfId="0" applyNumberFormat="1" applyFill="1" applyBorder="1" applyAlignment="1">
      <alignment horizontal="center"/>
    </xf>
    <xf numFmtId="0" fontId="8" fillId="22" borderId="25" xfId="0" applyFont="1" applyFill="1" applyBorder="1" applyAlignment="1">
      <alignment horizontal="left" vertical="top"/>
    </xf>
    <xf numFmtId="170" fontId="0" fillId="22" borderId="25" xfId="0" applyNumberFormat="1" applyFill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70" fillId="0" borderId="94" xfId="0" applyFont="1" applyBorder="1" applyAlignment="1">
      <alignment vertical="center" wrapText="1"/>
    </xf>
    <xf numFmtId="10" fontId="0" fillId="0" borderId="25" xfId="0" applyNumberFormat="1" applyBorder="1" applyAlignment="1">
      <alignment horizontal="center" vertical="center"/>
    </xf>
    <xf numFmtId="170" fontId="0" fillId="0" borderId="25" xfId="0" applyNumberFormat="1" applyFill="1" applyBorder="1" applyAlignment="1">
      <alignment horizontal="center" vertical="center"/>
    </xf>
    <xf numFmtId="3" fontId="1" fillId="0" borderId="25" xfId="51" applyNumberFormat="1" applyFont="1" applyBorder="1" applyAlignment="1">
      <alignment horizontal="center" vertical="center" wrapText="1"/>
    </xf>
    <xf numFmtId="0" fontId="0" fillId="0" borderId="13" xfId="0" applyBorder="1" applyAlignment="1">
      <alignment wrapText="1"/>
    </xf>
    <xf numFmtId="3" fontId="0" fillId="0" borderId="25" xfId="0" applyNumberFormat="1" applyBorder="1" applyAlignment="1">
      <alignment horizontal="center" vertical="center" wrapText="1"/>
    </xf>
    <xf numFmtId="0" fontId="67" fillId="0" borderId="94" xfId="0" applyFont="1" applyBorder="1"/>
    <xf numFmtId="6" fontId="0" fillId="0" borderId="25" xfId="0" applyNumberFormat="1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170" fontId="67" fillId="0" borderId="25" xfId="0" applyNumberFormat="1" applyFont="1" applyFill="1" applyBorder="1" applyAlignment="1">
      <alignment horizontal="center"/>
    </xf>
    <xf numFmtId="3" fontId="0" fillId="22" borderId="25" xfId="0" applyNumberFormat="1" applyFill="1" applyBorder="1" applyAlignment="1">
      <alignment wrapText="1"/>
    </xf>
    <xf numFmtId="3" fontId="0" fillId="0" borderId="29" xfId="0" applyNumberFormat="1" applyFill="1" applyBorder="1" applyAlignment="1">
      <alignment horizontal="center" vertical="center" wrapText="1"/>
    </xf>
    <xf numFmtId="0" fontId="0" fillId="0" borderId="94" xfId="0" applyFill="1" applyBorder="1" applyAlignment="1">
      <alignment horizontal="center" vertical="center" wrapText="1"/>
    </xf>
    <xf numFmtId="10" fontId="0" fillId="0" borderId="29" xfId="0" applyNumberFormat="1" applyFill="1" applyBorder="1" applyAlignment="1">
      <alignment horizontal="center" vertical="center"/>
    </xf>
    <xf numFmtId="170" fontId="0" fillId="0" borderId="29" xfId="0" applyNumberFormat="1" applyFill="1" applyBorder="1" applyAlignment="1">
      <alignment horizontal="center"/>
    </xf>
    <xf numFmtId="170" fontId="0" fillId="0" borderId="0" xfId="0" applyNumberFormat="1" applyFill="1"/>
    <xf numFmtId="0" fontId="0" fillId="0" borderId="0" xfId="0" applyFill="1"/>
    <xf numFmtId="6" fontId="0" fillId="0" borderId="25" xfId="0" applyNumberFormat="1" applyFill="1" applyBorder="1" applyAlignment="1">
      <alignment horizontal="center" vertical="center"/>
    </xf>
    <xf numFmtId="3" fontId="0" fillId="0" borderId="25" xfId="0" applyNumberFormat="1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10" fontId="0" fillId="0" borderId="25" xfId="0" applyNumberFormat="1" applyFill="1" applyBorder="1" applyAlignment="1">
      <alignment horizontal="center" vertical="center"/>
    </xf>
    <xf numFmtId="8" fontId="0" fillId="0" borderId="0" xfId="0" applyNumberForma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6" fontId="0" fillId="0" borderId="25" xfId="0" applyNumberFormat="1" applyBorder="1" applyAlignment="1">
      <alignment horizontal="center" vertical="center" wrapText="1"/>
    </xf>
    <xf numFmtId="168" fontId="0" fillId="0" borderId="19" xfId="0" applyNumberFormat="1" applyFill="1" applyBorder="1" applyAlignment="1">
      <alignment horizontal="center" vertical="center"/>
    </xf>
    <xf numFmtId="168" fontId="0" fillId="19" borderId="25" xfId="0" applyNumberFormat="1" applyFill="1" applyBorder="1" applyAlignment="1">
      <alignment horizontal="center"/>
    </xf>
    <xf numFmtId="8" fontId="0" fillId="0" borderId="25" xfId="0" applyNumberFormat="1" applyBorder="1" applyAlignment="1">
      <alignment horizontal="center" vertical="center" wrapText="1"/>
    </xf>
    <xf numFmtId="170" fontId="0" fillId="0" borderId="19" xfId="0" applyNumberForma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68" fontId="0" fillId="19" borderId="25" xfId="0" applyNumberFormat="1" applyFill="1" applyBorder="1" applyAlignment="1">
      <alignment horizontal="center" vertical="center"/>
    </xf>
    <xf numFmtId="6" fontId="0" fillId="0" borderId="25" xfId="0" applyNumberFormat="1" applyBorder="1" applyAlignment="1">
      <alignment horizontal="center" vertical="center"/>
    </xf>
    <xf numFmtId="170" fontId="0" fillId="0" borderId="0" xfId="0" applyNumberFormat="1" applyFill="1" applyBorder="1"/>
    <xf numFmtId="168" fontId="0" fillId="0" borderId="0" xfId="0" applyNumberFormat="1" applyFill="1" applyBorder="1"/>
    <xf numFmtId="10" fontId="1" fillId="0" borderId="0" xfId="40" applyNumberFormat="1" applyFont="1" applyFill="1" applyBorder="1"/>
    <xf numFmtId="170" fontId="1" fillId="0" borderId="0" xfId="40" applyNumberFormat="1" applyFont="1" applyFill="1" applyBorder="1" applyAlignment="1">
      <alignment horizontal="center"/>
    </xf>
    <xf numFmtId="166" fontId="0" fillId="0" borderId="0" xfId="51" applyNumberFormat="1" applyFont="1" applyFill="1" applyBorder="1"/>
    <xf numFmtId="168" fontId="0" fillId="0" borderId="0" xfId="0" applyNumberFormat="1" applyFill="1" applyBorder="1" applyAlignment="1">
      <alignment horizontal="center"/>
    </xf>
    <xf numFmtId="170" fontId="0" fillId="0" borderId="0" xfId="40" applyNumberFormat="1" applyFont="1" applyFill="1" applyBorder="1"/>
    <xf numFmtId="170" fontId="0" fillId="0" borderId="0" xfId="0" applyNumberFormat="1" applyFill="1" applyBorder="1" applyAlignment="1">
      <alignment horizontal="center"/>
    </xf>
    <xf numFmtId="9" fontId="0" fillId="0" borderId="0" xfId="40" applyFont="1" applyFill="1" applyBorder="1"/>
    <xf numFmtId="0" fontId="19" fillId="0" borderId="0" xfId="0" applyFont="1" applyFill="1" applyBorder="1" applyAlignment="1">
      <alignment horizontal="center"/>
    </xf>
    <xf numFmtId="170" fontId="0" fillId="0" borderId="0" xfId="0" applyNumberFormat="1" applyFill="1" applyBorder="1" applyAlignment="1">
      <alignment horizontal="center" wrapText="1"/>
    </xf>
    <xf numFmtId="0" fontId="19" fillId="0" borderId="0" xfId="0" applyFont="1" applyFill="1" applyBorder="1" applyAlignment="1">
      <alignment wrapText="1"/>
    </xf>
    <xf numFmtId="174" fontId="19" fillId="0" borderId="0" xfId="0" applyNumberFormat="1" applyFont="1" applyFill="1" applyBorder="1" applyAlignment="1">
      <alignment horizontal="right" wrapText="1"/>
    </xf>
    <xf numFmtId="10" fontId="0" fillId="0" borderId="0" xfId="0" applyNumberFormat="1" applyFill="1" applyBorder="1"/>
    <xf numFmtId="170" fontId="0" fillId="19" borderId="29" xfId="0" applyNumberFormat="1" applyFill="1" applyBorder="1" applyAlignment="1">
      <alignment horizontal="center"/>
    </xf>
    <xf numFmtId="170" fontId="0" fillId="19" borderId="30" xfId="0" applyNumberFormat="1" applyFill="1" applyBorder="1" applyAlignment="1">
      <alignment horizontal="center"/>
    </xf>
    <xf numFmtId="170" fontId="5" fillId="19" borderId="25" xfId="0" applyNumberFormat="1" applyFont="1" applyFill="1" applyBorder="1"/>
    <xf numFmtId="170" fontId="0" fillId="19" borderId="25" xfId="0" applyNumberFormat="1" applyFill="1" applyBorder="1" applyAlignment="1">
      <alignment horizontal="center" vertical="center"/>
    </xf>
    <xf numFmtId="170" fontId="54" fillId="0" borderId="25" xfId="0" applyNumberFormat="1" applyFont="1" applyFill="1" applyBorder="1" applyAlignment="1">
      <alignment horizontal="center"/>
    </xf>
    <xf numFmtId="10" fontId="0" fillId="0" borderId="0" xfId="2" applyNumberFormat="1" applyFont="1"/>
    <xf numFmtId="10" fontId="0" fillId="0" borderId="0" xfId="2" applyNumberFormat="1" applyFont="1" applyAlignment="1">
      <alignment horizontal="center"/>
    </xf>
    <xf numFmtId="10" fontId="0" fillId="0" borderId="0" xfId="2" applyNumberFormat="1" applyFont="1" applyFill="1" applyBorder="1"/>
    <xf numFmtId="0" fontId="0" fillId="0" borderId="0" xfId="0"/>
    <xf numFmtId="0" fontId="8" fillId="0" borderId="0" xfId="4" applyFont="1"/>
    <xf numFmtId="0" fontId="6" fillId="25" borderId="0" xfId="54" applyFont="1" applyFill="1"/>
    <xf numFmtId="0" fontId="74" fillId="25" borderId="0" xfId="54" applyFont="1" applyFill="1"/>
    <xf numFmtId="0" fontId="74" fillId="26" borderId="0" xfId="54" applyFont="1" applyFill="1"/>
    <xf numFmtId="0" fontId="74" fillId="27" borderId="0" xfId="54" applyFont="1" applyFill="1"/>
    <xf numFmtId="0" fontId="74" fillId="28" borderId="0" xfId="54" applyFont="1" applyFill="1"/>
    <xf numFmtId="0" fontId="74" fillId="29" borderId="0" xfId="54" applyFont="1" applyFill="1"/>
    <xf numFmtId="0" fontId="74" fillId="30" borderId="0" xfId="54" applyFont="1" applyFill="1"/>
    <xf numFmtId="14" fontId="8" fillId="0" borderId="0" xfId="4" applyNumberFormat="1" applyFont="1"/>
    <xf numFmtId="169" fontId="6" fillId="0" borderId="0" xfId="4" applyNumberFormat="1"/>
    <xf numFmtId="165" fontId="6" fillId="0" borderId="0" xfId="4" applyNumberFormat="1"/>
    <xf numFmtId="0" fontId="8" fillId="0" borderId="0" xfId="47" applyFont="1"/>
    <xf numFmtId="0" fontId="6" fillId="0" borderId="0" xfId="47"/>
    <xf numFmtId="0" fontId="75" fillId="0" borderId="0" xfId="47" applyFont="1"/>
    <xf numFmtId="0" fontId="76" fillId="0" borderId="0" xfId="47" applyFont="1"/>
    <xf numFmtId="0" fontId="6" fillId="0" borderId="3" xfId="47" applyBorder="1"/>
    <xf numFmtId="0" fontId="6" fillId="0" borderId="4" xfId="47" applyBorder="1"/>
    <xf numFmtId="0" fontId="6" fillId="0" borderId="6" xfId="47" applyBorder="1"/>
    <xf numFmtId="0" fontId="6" fillId="0" borderId="5" xfId="47" applyBorder="1"/>
    <xf numFmtId="0" fontId="6" fillId="0" borderId="0" xfId="47" applyBorder="1" applyAlignment="1">
      <alignment horizontal="right"/>
    </xf>
    <xf numFmtId="0" fontId="6" fillId="0" borderId="0" xfId="47" applyBorder="1"/>
    <xf numFmtId="0" fontId="6" fillId="0" borderId="13" xfId="47" applyBorder="1"/>
    <xf numFmtId="169" fontId="8" fillId="0" borderId="0" xfId="4" applyNumberFormat="1" applyFont="1"/>
    <xf numFmtId="0" fontId="27" fillId="0" borderId="13" xfId="47" applyFont="1" applyBorder="1" applyAlignment="1">
      <alignment horizontal="center"/>
    </xf>
    <xf numFmtId="169" fontId="6" fillId="0" borderId="13" xfId="47" applyNumberFormat="1" applyBorder="1" applyAlignment="1">
      <alignment horizontal="center"/>
    </xf>
    <xf numFmtId="0" fontId="6" fillId="0" borderId="13" xfId="47" applyBorder="1" applyAlignment="1">
      <alignment horizontal="center"/>
    </xf>
    <xf numFmtId="0" fontId="8" fillId="19" borderId="0" xfId="47" applyFont="1" applyFill="1" applyBorder="1" applyAlignment="1">
      <alignment horizontal="right"/>
    </xf>
    <xf numFmtId="10" fontId="8" fillId="19" borderId="13" xfId="12" applyNumberFormat="1" applyFont="1" applyFill="1" applyBorder="1" applyAlignment="1">
      <alignment horizontal="center"/>
    </xf>
    <xf numFmtId="0" fontId="6" fillId="0" borderId="26" xfId="47" applyBorder="1"/>
    <xf numFmtId="0" fontId="6" fillId="0" borderId="27" xfId="47" applyBorder="1"/>
    <xf numFmtId="0" fontId="6" fillId="0" borderId="28" xfId="47" applyBorder="1"/>
    <xf numFmtId="170" fontId="6" fillId="0" borderId="38" xfId="4" applyNumberFormat="1" applyBorder="1"/>
    <xf numFmtId="44" fontId="5" fillId="0" borderId="20" xfId="1" applyFont="1" applyFill="1" applyBorder="1"/>
    <xf numFmtId="10" fontId="10" fillId="0" borderId="24" xfId="4" applyNumberFormat="1" applyFont="1" applyBorder="1"/>
    <xf numFmtId="44" fontId="8" fillId="0" borderId="24" xfId="1" applyFont="1" applyBorder="1"/>
    <xf numFmtId="44" fontId="8" fillId="19" borderId="59" xfId="1" applyFont="1" applyFill="1" applyBorder="1"/>
    <xf numFmtId="0" fontId="80" fillId="0" borderId="0" xfId="0" applyFont="1" applyAlignment="1">
      <alignment horizontal="center" vertical="center"/>
    </xf>
    <xf numFmtId="0" fontId="56" fillId="31" borderId="97" xfId="0" applyFont="1" applyFill="1" applyBorder="1" applyAlignment="1">
      <alignment horizontal="center" vertical="center" wrapText="1"/>
    </xf>
    <xf numFmtId="0" fontId="56" fillId="31" borderId="37" xfId="0" applyFont="1" applyFill="1" applyBorder="1" applyAlignment="1">
      <alignment horizontal="center" vertical="center" wrapText="1"/>
    </xf>
    <xf numFmtId="0" fontId="78" fillId="0" borderId="98" xfId="0" applyFont="1" applyBorder="1" applyAlignment="1">
      <alignment vertical="center" wrapText="1"/>
    </xf>
    <xf numFmtId="0" fontId="78" fillId="0" borderId="95" xfId="0" applyFont="1" applyBorder="1" applyAlignment="1">
      <alignment horizontal="center" vertical="center" wrapText="1"/>
    </xf>
    <xf numFmtId="8" fontId="78" fillId="0" borderId="95" xfId="0" applyNumberFormat="1" applyFont="1" applyBorder="1" applyAlignment="1">
      <alignment horizontal="center" vertical="center" wrapText="1"/>
    </xf>
    <xf numFmtId="0" fontId="78" fillId="19" borderId="98" xfId="0" applyFont="1" applyFill="1" applyBorder="1" applyAlignment="1">
      <alignment vertical="center" wrapText="1"/>
    </xf>
    <xf numFmtId="0" fontId="77" fillId="19" borderId="95" xfId="0" applyFont="1" applyFill="1" applyBorder="1" applyAlignment="1">
      <alignment horizontal="center" vertical="center" wrapText="1"/>
    </xf>
    <xf numFmtId="0" fontId="78" fillId="19" borderId="95" xfId="0" applyFont="1" applyFill="1" applyBorder="1" applyAlignment="1">
      <alignment horizontal="center" vertical="center" wrapText="1"/>
    </xf>
    <xf numFmtId="6" fontId="78" fillId="19" borderId="95" xfId="0" applyNumberFormat="1" applyFont="1" applyFill="1" applyBorder="1" applyAlignment="1">
      <alignment horizontal="center" vertical="center" wrapText="1"/>
    </xf>
    <xf numFmtId="6" fontId="78" fillId="0" borderId="95" xfId="0" applyNumberFormat="1" applyFont="1" applyBorder="1" applyAlignment="1">
      <alignment horizontal="center" vertical="center" wrapText="1"/>
    </xf>
    <xf numFmtId="0" fontId="77" fillId="0" borderId="95" xfId="0" applyFont="1" applyBorder="1" applyAlignment="1">
      <alignment horizontal="center" vertical="center" wrapText="1"/>
    </xf>
    <xf numFmtId="0" fontId="82" fillId="0" borderId="0" xfId="0" applyFont="1" applyAlignment="1">
      <alignment vertical="center"/>
    </xf>
    <xf numFmtId="0" fontId="80" fillId="32" borderId="98" xfId="0" applyFont="1" applyFill="1" applyBorder="1" applyAlignment="1">
      <alignment vertical="center" wrapText="1"/>
    </xf>
    <xf numFmtId="0" fontId="78" fillId="32" borderId="95" xfId="0" applyFont="1" applyFill="1" applyBorder="1" applyAlignment="1">
      <alignment horizontal="center" vertical="center" wrapText="1"/>
    </xf>
    <xf numFmtId="0" fontId="78" fillId="0" borderId="98" xfId="0" applyFont="1" applyBorder="1" applyAlignment="1">
      <alignment horizontal="center" vertical="center" wrapText="1"/>
    </xf>
    <xf numFmtId="0" fontId="80" fillId="32" borderId="98" xfId="0" applyFont="1" applyFill="1" applyBorder="1" applyAlignment="1">
      <alignment horizontal="center" vertical="center" wrapText="1"/>
    </xf>
    <xf numFmtId="0" fontId="77" fillId="0" borderId="95" xfId="0" applyFont="1" applyBorder="1" applyAlignment="1">
      <alignment vertical="center" wrapText="1"/>
    </xf>
    <xf numFmtId="0" fontId="78" fillId="19" borderId="98" xfId="0" applyFont="1" applyFill="1" applyBorder="1" applyAlignment="1">
      <alignment horizontal="center" vertical="center" wrapText="1"/>
    </xf>
    <xf numFmtId="8" fontId="78" fillId="19" borderId="95" xfId="0" applyNumberFormat="1" applyFont="1" applyFill="1" applyBorder="1" applyAlignment="1">
      <alignment horizontal="center" vertical="center" wrapText="1"/>
    </xf>
    <xf numFmtId="0" fontId="84" fillId="19" borderId="95" xfId="0" applyFont="1" applyFill="1" applyBorder="1" applyAlignment="1">
      <alignment horizontal="center" vertical="center" wrapText="1"/>
    </xf>
    <xf numFmtId="0" fontId="78" fillId="19" borderId="48" xfId="0" applyFont="1" applyFill="1" applyBorder="1" applyAlignment="1">
      <alignment horizontal="center" vertical="center" wrapText="1"/>
    </xf>
    <xf numFmtId="164" fontId="8" fillId="0" borderId="19" xfId="4" applyNumberFormat="1" applyFont="1" applyBorder="1" applyAlignment="1"/>
    <xf numFmtId="164" fontId="8" fillId="0" borderId="24" xfId="4" applyNumberFormat="1" applyFont="1" applyBorder="1" applyAlignment="1"/>
    <xf numFmtId="164" fontId="8" fillId="0" borderId="20" xfId="4" applyNumberFormat="1" applyFont="1" applyBorder="1" applyAlignment="1"/>
    <xf numFmtId="170" fontId="0" fillId="19" borderId="30" xfId="0" applyNumberFormat="1" applyFill="1" applyBorder="1" applyAlignment="1">
      <alignment horizontal="center"/>
    </xf>
    <xf numFmtId="44" fontId="8" fillId="19" borderId="39" xfId="4" applyNumberFormat="1" applyFont="1" applyFill="1" applyBorder="1"/>
    <xf numFmtId="170" fontId="0" fillId="19" borderId="25" xfId="0" applyNumberFormat="1" applyFill="1" applyBorder="1"/>
    <xf numFmtId="0" fontId="0" fillId="0" borderId="0" xfId="0"/>
    <xf numFmtId="0" fontId="21" fillId="0" borderId="0" xfId="6"/>
    <xf numFmtId="0" fontId="21" fillId="0" borderId="14" xfId="6" applyBorder="1"/>
    <xf numFmtId="0" fontId="21" fillId="0" borderId="0" xfId="6" applyBorder="1"/>
    <xf numFmtId="0" fontId="21" fillId="0" borderId="48" xfId="6" applyBorder="1"/>
    <xf numFmtId="0" fontId="21" fillId="0" borderId="13" xfId="6" applyBorder="1"/>
    <xf numFmtId="0" fontId="21" fillId="0" borderId="5" xfId="6" applyBorder="1"/>
    <xf numFmtId="0" fontId="8" fillId="0" borderId="30" xfId="6" applyFont="1" applyBorder="1"/>
    <xf numFmtId="0" fontId="8" fillId="0" borderId="30" xfId="6" applyFont="1" applyFill="1" applyBorder="1" applyAlignment="1">
      <alignment horizontal="center"/>
    </xf>
    <xf numFmtId="164" fontId="8" fillId="0" borderId="30" xfId="6" applyNumberFormat="1" applyFont="1" applyBorder="1" applyAlignment="1">
      <alignment horizontal="center"/>
    </xf>
    <xf numFmtId="1" fontId="35" fillId="0" borderId="5" xfId="6" applyNumberFormat="1" applyFont="1" applyFill="1" applyBorder="1" applyAlignment="1">
      <alignment horizontal="right"/>
    </xf>
    <xf numFmtId="164" fontId="6" fillId="0" borderId="0" xfId="6" applyNumberFormat="1" applyFont="1" applyBorder="1"/>
    <xf numFmtId="0" fontId="14" fillId="0" borderId="0" xfId="6" applyFont="1" applyBorder="1"/>
    <xf numFmtId="0" fontId="14" fillId="0" borderId="0" xfId="6" applyFont="1"/>
    <xf numFmtId="0" fontId="56" fillId="0" borderId="0" xfId="6" applyFont="1" applyBorder="1" applyAlignment="1">
      <alignment horizontal="center"/>
    </xf>
    <xf numFmtId="0" fontId="6" fillId="0" borderId="25" xfId="6" applyFont="1" applyBorder="1"/>
    <xf numFmtId="0" fontId="87" fillId="0" borderId="25" xfId="6" applyFont="1" applyFill="1" applyBorder="1" applyAlignment="1">
      <alignment horizontal="center"/>
    </xf>
    <xf numFmtId="0" fontId="6" fillId="0" borderId="25" xfId="6" applyFont="1" applyFill="1" applyBorder="1" applyAlignment="1">
      <alignment horizontal="center"/>
    </xf>
    <xf numFmtId="1" fontId="35" fillId="0" borderId="0" xfId="6" applyNumberFormat="1" applyFont="1" applyFill="1" applyBorder="1" applyAlignment="1">
      <alignment horizontal="right"/>
    </xf>
    <xf numFmtId="165" fontId="6" fillId="0" borderId="0" xfId="6" applyNumberFormat="1" applyFont="1" applyBorder="1"/>
    <xf numFmtId="0" fontId="56" fillId="0" borderId="94" xfId="6" applyFont="1" applyBorder="1"/>
    <xf numFmtId="0" fontId="88" fillId="19" borderId="25" xfId="6" applyFont="1" applyFill="1" applyBorder="1" applyAlignment="1">
      <alignment horizontal="center"/>
    </xf>
    <xf numFmtId="0" fontId="10" fillId="0" borderId="0" xfId="6" applyFont="1" applyBorder="1"/>
    <xf numFmtId="0" fontId="8" fillId="0" borderId="0" xfId="6" applyFont="1" applyBorder="1" applyAlignment="1">
      <alignment horizontal="center"/>
    </xf>
    <xf numFmtId="0" fontId="10" fillId="0" borderId="0" xfId="6" applyFont="1" applyBorder="1" applyAlignment="1">
      <alignment horizontal="center" vertical="center"/>
    </xf>
    <xf numFmtId="3" fontId="10" fillId="0" borderId="0" xfId="6" applyNumberFormat="1" applyFont="1" applyBorder="1" applyAlignment="1">
      <alignment horizontal="center"/>
    </xf>
    <xf numFmtId="0" fontId="10" fillId="0" borderId="5" xfId="6" applyFont="1" applyBorder="1"/>
    <xf numFmtId="3" fontId="10" fillId="0" borderId="13" xfId="6" applyNumberFormat="1" applyFont="1" applyBorder="1" applyAlignment="1">
      <alignment horizontal="center"/>
    </xf>
    <xf numFmtId="0" fontId="6" fillId="0" borderId="25" xfId="6" applyFont="1" applyBorder="1" applyAlignment="1">
      <alignment horizontal="left"/>
    </xf>
    <xf numFmtId="1" fontId="35" fillId="0" borderId="0" xfId="6" applyNumberFormat="1" applyFont="1" applyFill="1" applyBorder="1" applyAlignment="1">
      <alignment horizontal="center"/>
    </xf>
    <xf numFmtId="0" fontId="56" fillId="0" borderId="0" xfId="6" applyFont="1" applyBorder="1" applyAlignment="1">
      <alignment horizontal="center" vertical="center"/>
    </xf>
    <xf numFmtId="0" fontId="56" fillId="0" borderId="0" xfId="6" applyFont="1" applyBorder="1"/>
    <xf numFmtId="0" fontId="10" fillId="0" borderId="13" xfId="6" applyFont="1" applyBorder="1"/>
    <xf numFmtId="0" fontId="6" fillId="0" borderId="25" xfId="6" applyFont="1" applyFill="1" applyBorder="1" applyAlignment="1">
      <alignment horizontal="right"/>
    </xf>
    <xf numFmtId="165" fontId="35" fillId="0" borderId="0" xfId="6" applyNumberFormat="1" applyFont="1" applyFill="1" applyBorder="1" applyAlignment="1">
      <alignment horizontal="right"/>
    </xf>
    <xf numFmtId="0" fontId="8" fillId="0" borderId="0" xfId="6" applyFont="1" applyBorder="1"/>
    <xf numFmtId="0" fontId="10" fillId="0" borderId="27" xfId="6" applyFont="1" applyBorder="1"/>
    <xf numFmtId="0" fontId="10" fillId="0" borderId="27" xfId="6" applyFont="1" applyBorder="1" applyAlignment="1">
      <alignment horizontal="center"/>
    </xf>
    <xf numFmtId="0" fontId="10" fillId="0" borderId="26" xfId="6" applyFont="1" applyBorder="1"/>
    <xf numFmtId="0" fontId="10" fillId="0" borderId="28" xfId="6" applyFont="1" applyBorder="1" applyAlignment="1">
      <alignment horizontal="center"/>
    </xf>
    <xf numFmtId="173" fontId="6" fillId="19" borderId="25" xfId="11" applyNumberFormat="1" applyFont="1" applyFill="1" applyBorder="1" applyAlignment="1">
      <alignment horizontal="center"/>
    </xf>
    <xf numFmtId="164" fontId="8" fillId="0" borderId="0" xfId="6" applyNumberFormat="1" applyFont="1" applyBorder="1"/>
    <xf numFmtId="42" fontId="89" fillId="0" borderId="0" xfId="6" applyNumberFormat="1" applyFont="1" applyBorder="1"/>
    <xf numFmtId="4" fontId="90" fillId="0" borderId="0" xfId="6" applyNumberFormat="1" applyFont="1" applyBorder="1"/>
    <xf numFmtId="42" fontId="10" fillId="0" borderId="0" xfId="6" applyNumberFormat="1" applyFont="1" applyBorder="1"/>
    <xf numFmtId="164" fontId="8" fillId="0" borderId="5" xfId="6" applyNumberFormat="1" applyFont="1" applyBorder="1"/>
    <xf numFmtId="42" fontId="10" fillId="0" borderId="13" xfId="6" applyNumberFormat="1" applyFont="1" applyBorder="1"/>
    <xf numFmtId="0" fontId="14" fillId="0" borderId="26" xfId="6" applyFont="1" applyBorder="1"/>
    <xf numFmtId="0" fontId="14" fillId="0" borderId="27" xfId="6" applyFont="1" applyBorder="1"/>
    <xf numFmtId="0" fontId="92" fillId="0" borderId="0" xfId="6" applyFont="1" applyBorder="1"/>
    <xf numFmtId="0" fontId="92" fillId="0" borderId="5" xfId="6" applyFont="1" applyBorder="1"/>
    <xf numFmtId="0" fontId="92" fillId="18" borderId="25" xfId="6" applyFont="1" applyFill="1" applyBorder="1" applyAlignment="1">
      <alignment horizontal="center" vertical="center"/>
    </xf>
    <xf numFmtId="0" fontId="92" fillId="18" borderId="19" xfId="6" applyFont="1" applyFill="1" applyBorder="1" applyAlignment="1">
      <alignment horizontal="center" vertical="center"/>
    </xf>
    <xf numFmtId="0" fontId="92" fillId="18" borderId="104" xfId="6" applyFont="1" applyFill="1" applyBorder="1" applyAlignment="1">
      <alignment horizontal="center" vertical="center"/>
    </xf>
    <xf numFmtId="0" fontId="92" fillId="18" borderId="105" xfId="6" applyFont="1" applyFill="1" applyBorder="1" applyAlignment="1">
      <alignment horizontal="center" vertical="center"/>
    </xf>
    <xf numFmtId="0" fontId="92" fillId="18" borderId="106" xfId="6" applyFont="1" applyFill="1" applyBorder="1" applyAlignment="1">
      <alignment horizontal="center" vertical="center"/>
    </xf>
    <xf numFmtId="0" fontId="21" fillId="18" borderId="20" xfId="6" applyFill="1" applyBorder="1" applyAlignment="1">
      <alignment vertical="center"/>
    </xf>
    <xf numFmtId="164" fontId="93" fillId="0" borderId="25" xfId="6" applyNumberFormat="1" applyFont="1" applyFill="1" applyBorder="1"/>
    <xf numFmtId="164" fontId="93" fillId="0" borderId="20" xfId="6" applyNumberFormat="1" applyFont="1" applyFill="1" applyBorder="1"/>
    <xf numFmtId="164" fontId="93" fillId="0" borderId="107" xfId="6" applyNumberFormat="1" applyFont="1" applyFill="1" applyBorder="1"/>
    <xf numFmtId="0" fontId="14" fillId="0" borderId="20" xfId="6" applyFont="1" applyBorder="1" applyAlignment="1">
      <alignment horizontal="left" wrapText="1"/>
    </xf>
    <xf numFmtId="166" fontId="89" fillId="0" borderId="0" xfId="6" applyNumberFormat="1" applyFont="1" applyBorder="1"/>
    <xf numFmtId="4" fontId="94" fillId="0" borderId="0" xfId="50" applyNumberFormat="1" applyFont="1" applyBorder="1"/>
    <xf numFmtId="166" fontId="92" fillId="0" borderId="0" xfId="6" applyNumberFormat="1" applyFont="1" applyBorder="1"/>
    <xf numFmtId="4" fontId="94" fillId="0" borderId="0" xfId="6" applyNumberFormat="1" applyFont="1" applyBorder="1"/>
    <xf numFmtId="0" fontId="8" fillId="0" borderId="5" xfId="6" applyFont="1" applyBorder="1"/>
    <xf numFmtId="166" fontId="92" fillId="0" borderId="13" xfId="6" applyNumberFormat="1" applyFont="1" applyBorder="1"/>
    <xf numFmtId="0" fontId="48" fillId="0" borderId="0" xfId="6" applyFont="1"/>
    <xf numFmtId="0" fontId="48" fillId="0" borderId="13" xfId="6" applyFont="1" applyBorder="1"/>
    <xf numFmtId="164" fontId="74" fillId="0" borderId="25" xfId="6" applyNumberFormat="1" applyFont="1" applyFill="1" applyBorder="1"/>
    <xf numFmtId="164" fontId="74" fillId="0" borderId="20" xfId="6" applyNumberFormat="1" applyFont="1" applyFill="1" applyBorder="1"/>
    <xf numFmtId="164" fontId="74" fillId="0" borderId="107" xfId="6" applyNumberFormat="1" applyFont="1" applyFill="1" applyBorder="1"/>
    <xf numFmtId="0" fontId="74" fillId="0" borderId="20" xfId="6" applyFont="1" applyBorder="1" applyAlignment="1">
      <alignment horizontal="left" wrapText="1"/>
    </xf>
    <xf numFmtId="0" fontId="48" fillId="0" borderId="5" xfId="6" applyFont="1" applyBorder="1"/>
    <xf numFmtId="0" fontId="48" fillId="0" borderId="14" xfId="6" applyFont="1" applyBorder="1"/>
    <xf numFmtId="0" fontId="48" fillId="0" borderId="0" xfId="6" applyFont="1" applyBorder="1"/>
    <xf numFmtId="0" fontId="96" fillId="0" borderId="0" xfId="6" applyFont="1" applyBorder="1"/>
    <xf numFmtId="0" fontId="95" fillId="0" borderId="0" xfId="6" applyFont="1" applyBorder="1"/>
    <xf numFmtId="0" fontId="96" fillId="0" borderId="94" xfId="6" applyFont="1" applyBorder="1"/>
    <xf numFmtId="0" fontId="96" fillId="0" borderId="5" xfId="6" applyFont="1" applyBorder="1"/>
    <xf numFmtId="0" fontId="95" fillId="0" borderId="13" xfId="6" applyFont="1" applyBorder="1"/>
    <xf numFmtId="0" fontId="48" fillId="0" borderId="48" xfId="6" applyFont="1" applyBorder="1"/>
    <xf numFmtId="0" fontId="10" fillId="0" borderId="24" xfId="6" applyFont="1" applyBorder="1"/>
    <xf numFmtId="4" fontId="10" fillId="0" borderId="24" xfId="6" applyNumberFormat="1" applyFont="1" applyBorder="1"/>
    <xf numFmtId="42" fontId="10" fillId="0" borderId="24" xfId="6" applyNumberFormat="1" applyFont="1" applyBorder="1"/>
    <xf numFmtId="0" fontId="10" fillId="0" borderId="19" xfId="6" applyFont="1" applyBorder="1"/>
    <xf numFmtId="42" fontId="10" fillId="0" borderId="20" xfId="6" applyNumberFormat="1" applyFont="1" applyBorder="1"/>
    <xf numFmtId="168" fontId="93" fillId="0" borderId="25" xfId="6" applyNumberFormat="1" applyFont="1" applyBorder="1"/>
    <xf numFmtId="6" fontId="93" fillId="0" borderId="19" xfId="6" applyNumberFormat="1" applyFont="1" applyBorder="1"/>
    <xf numFmtId="6" fontId="98" fillId="0" borderId="25" xfId="6" applyNumberFormat="1" applyFont="1" applyBorder="1"/>
    <xf numFmtId="6" fontId="98" fillId="0" borderId="20" xfId="6" applyNumberFormat="1" applyFont="1" applyBorder="1"/>
    <xf numFmtId="6" fontId="98" fillId="0" borderId="107" xfId="6" applyNumberFormat="1" applyFont="1" applyBorder="1"/>
    <xf numFmtId="0" fontId="98" fillId="0" borderId="25" xfId="6" applyFont="1" applyBorder="1"/>
    <xf numFmtId="0" fontId="98" fillId="0" borderId="19" xfId="6" applyFont="1" applyBorder="1"/>
    <xf numFmtId="166" fontId="93" fillId="0" borderId="108" xfId="39" applyNumberFormat="1" applyFont="1" applyBorder="1"/>
    <xf numFmtId="166" fontId="93" fillId="0" borderId="109" xfId="39" applyNumberFormat="1" applyFont="1" applyBorder="1"/>
    <xf numFmtId="166" fontId="93" fillId="0" borderId="110" xfId="39" applyNumberFormat="1" applyFont="1" applyBorder="1"/>
    <xf numFmtId="44" fontId="21" fillId="0" borderId="14" xfId="6" applyNumberFormat="1" applyBorder="1"/>
    <xf numFmtId="10" fontId="89" fillId="0" borderId="0" xfId="6" applyNumberFormat="1" applyFont="1" applyBorder="1"/>
    <xf numFmtId="0" fontId="21" fillId="0" borderId="94" xfId="6" applyBorder="1"/>
    <xf numFmtId="44" fontId="10" fillId="0" borderId="24" xfId="6" applyNumberFormat="1" applyFont="1" applyBorder="1"/>
    <xf numFmtId="44" fontId="56" fillId="0" borderId="94" xfId="6" applyNumberFormat="1" applyFont="1" applyBorder="1"/>
    <xf numFmtId="0" fontId="56" fillId="0" borderId="25" xfId="6" applyFont="1" applyBorder="1"/>
    <xf numFmtId="0" fontId="21" fillId="0" borderId="25" xfId="6" applyBorder="1"/>
    <xf numFmtId="0" fontId="21" fillId="0" borderId="19" xfId="6" applyBorder="1"/>
    <xf numFmtId="0" fontId="56" fillId="0" borderId="5" xfId="6" applyFont="1" applyBorder="1"/>
    <xf numFmtId="0" fontId="56" fillId="0" borderId="13" xfId="6" applyFont="1" applyBorder="1"/>
    <xf numFmtId="0" fontId="8" fillId="0" borderId="25" xfId="6" applyFont="1" applyBorder="1" applyAlignment="1"/>
    <xf numFmtId="20" fontId="21" fillId="0" borderId="25" xfId="6" applyNumberFormat="1" applyBorder="1" applyAlignment="1">
      <alignment horizontal="center"/>
    </xf>
    <xf numFmtId="169" fontId="14" fillId="0" borderId="25" xfId="6" applyNumberFormat="1" applyFont="1" applyBorder="1"/>
    <xf numFmtId="2" fontId="14" fillId="0" borderId="19" xfId="6" applyNumberFormat="1" applyFont="1" applyBorder="1"/>
    <xf numFmtId="0" fontId="14" fillId="0" borderId="25" xfId="6" applyFont="1" applyBorder="1"/>
    <xf numFmtId="44" fontId="89" fillId="0" borderId="0" xfId="6" applyNumberFormat="1" applyFont="1" applyBorder="1"/>
    <xf numFmtId="44" fontId="92" fillId="0" borderId="0" xfId="6" applyNumberFormat="1" applyFont="1" applyBorder="1"/>
    <xf numFmtId="44" fontId="92" fillId="0" borderId="13" xfId="6" applyNumberFormat="1" applyFont="1" applyBorder="1"/>
    <xf numFmtId="0" fontId="8" fillId="0" borderId="0" xfId="6" applyFont="1" applyBorder="1" applyAlignment="1"/>
    <xf numFmtId="166" fontId="10" fillId="0" borderId="0" xfId="6" applyNumberFormat="1" applyFont="1" applyBorder="1"/>
    <xf numFmtId="166" fontId="10" fillId="0" borderId="13" xfId="6" applyNumberFormat="1" applyFont="1" applyBorder="1"/>
    <xf numFmtId="0" fontId="92" fillId="18" borderId="25" xfId="6" applyFont="1" applyFill="1" applyBorder="1" applyAlignment="1">
      <alignment horizontal="center"/>
    </xf>
    <xf numFmtId="0" fontId="92" fillId="18" borderId="19" xfId="6" applyFont="1" applyFill="1" applyBorder="1" applyAlignment="1">
      <alignment horizontal="center"/>
    </xf>
    <xf numFmtId="0" fontId="92" fillId="18" borderId="104" xfId="6" applyFont="1" applyFill="1" applyBorder="1" applyAlignment="1">
      <alignment horizontal="center"/>
    </xf>
    <xf numFmtId="0" fontId="92" fillId="18" borderId="105" xfId="6" applyFont="1" applyFill="1" applyBorder="1" applyAlignment="1">
      <alignment horizontal="center"/>
    </xf>
    <xf numFmtId="0" fontId="92" fillId="18" borderId="106" xfId="6" applyFont="1" applyFill="1" applyBorder="1" applyAlignment="1">
      <alignment horizontal="center"/>
    </xf>
    <xf numFmtId="0" fontId="21" fillId="18" borderId="20" xfId="6" applyFill="1" applyBorder="1"/>
    <xf numFmtId="167" fontId="16" fillId="0" borderId="25" xfId="6" applyNumberFormat="1" applyFont="1" applyBorder="1"/>
    <xf numFmtId="167" fontId="16" fillId="0" borderId="19" xfId="6" applyNumberFormat="1" applyFont="1" applyBorder="1"/>
    <xf numFmtId="167" fontId="16" fillId="0" borderId="20" xfId="6" applyNumberFormat="1" applyFont="1" applyBorder="1"/>
    <xf numFmtId="167" fontId="16" fillId="0" borderId="107" xfId="6" applyNumberFormat="1" applyFont="1" applyBorder="1"/>
    <xf numFmtId="0" fontId="14" fillId="0" borderId="20" xfId="6" applyFont="1" applyBorder="1"/>
    <xf numFmtId="0" fontId="92" fillId="0" borderId="13" xfId="6" applyFont="1" applyBorder="1"/>
    <xf numFmtId="175" fontId="99" fillId="0" borderId="19" xfId="6" applyNumberFormat="1" applyFont="1" applyBorder="1"/>
    <xf numFmtId="169" fontId="99" fillId="0" borderId="25" xfId="6" applyNumberFormat="1" applyFont="1" applyBorder="1"/>
    <xf numFmtId="169" fontId="99" fillId="0" borderId="20" xfId="6" applyNumberFormat="1" applyFont="1" applyBorder="1"/>
    <xf numFmtId="169" fontId="99" fillId="0" borderId="107" xfId="6" applyNumberFormat="1" applyFont="1" applyBorder="1"/>
    <xf numFmtId="2" fontId="99" fillId="0" borderId="25" xfId="6" applyNumberFormat="1" applyFont="1" applyBorder="1"/>
    <xf numFmtId="2" fontId="99" fillId="0" borderId="19" xfId="6" applyNumberFormat="1" applyFont="1" applyBorder="1"/>
    <xf numFmtId="2" fontId="99" fillId="0" borderId="20" xfId="6" applyNumberFormat="1" applyFont="1" applyBorder="1"/>
    <xf numFmtId="2" fontId="99" fillId="0" borderId="107" xfId="6" applyNumberFormat="1" applyFont="1" applyBorder="1"/>
    <xf numFmtId="0" fontId="92" fillId="0" borderId="0" xfId="6" applyFont="1" applyBorder="1" applyAlignment="1">
      <alignment horizontal="center"/>
    </xf>
    <xf numFmtId="0" fontId="61" fillId="18" borderId="24" xfId="6" applyFont="1" applyFill="1" applyBorder="1"/>
    <xf numFmtId="0" fontId="61" fillId="18" borderId="20" xfId="6" applyFont="1" applyFill="1" applyBorder="1"/>
    <xf numFmtId="0" fontId="21" fillId="18" borderId="0" xfId="6" applyFill="1" applyBorder="1"/>
    <xf numFmtId="10" fontId="93" fillId="0" borderId="25" xfId="6" applyNumberFormat="1" applyFont="1" applyBorder="1"/>
    <xf numFmtId="10" fontId="93" fillId="0" borderId="19" xfId="6" applyNumberFormat="1" applyFont="1" applyBorder="1"/>
    <xf numFmtId="10" fontId="93" fillId="0" borderId="25" xfId="6" applyNumberFormat="1" applyFont="1" applyFill="1" applyBorder="1"/>
    <xf numFmtId="10" fontId="93" fillId="0" borderId="20" xfId="6" applyNumberFormat="1" applyFont="1" applyFill="1" applyBorder="1"/>
    <xf numFmtId="10" fontId="93" fillId="0" borderId="107" xfId="6" applyNumberFormat="1" applyFont="1" applyFill="1" applyBorder="1"/>
    <xf numFmtId="0" fontId="14" fillId="0" borderId="20" xfId="6" applyFont="1" applyBorder="1" applyAlignment="1">
      <alignment wrapText="1"/>
    </xf>
    <xf numFmtId="44" fontId="93" fillId="0" borderId="25" xfId="9" applyFont="1" applyFill="1" applyBorder="1"/>
    <xf numFmtId="44" fontId="93" fillId="0" borderId="19" xfId="9" applyFont="1" applyFill="1" applyBorder="1"/>
    <xf numFmtId="44" fontId="93" fillId="0" borderId="20" xfId="9" applyFont="1" applyFill="1" applyBorder="1"/>
    <xf numFmtId="44" fontId="93" fillId="0" borderId="107" xfId="9" applyFont="1" applyFill="1" applyBorder="1"/>
    <xf numFmtId="164" fontId="8" fillId="0" borderId="19" xfId="6" applyNumberFormat="1" applyFont="1" applyBorder="1" applyAlignment="1">
      <alignment horizontal="center"/>
    </xf>
    <xf numFmtId="164" fontId="8" fillId="0" borderId="20" xfId="6" applyNumberFormat="1" applyFont="1" applyBorder="1" applyAlignment="1">
      <alignment horizontal="center"/>
    </xf>
    <xf numFmtId="0" fontId="14" fillId="0" borderId="0" xfId="6" applyFont="1" applyBorder="1" applyAlignment="1">
      <alignment wrapText="1"/>
    </xf>
    <xf numFmtId="166" fontId="10" fillId="0" borderId="0" xfId="51" applyNumberFormat="1" applyFont="1" applyBorder="1"/>
    <xf numFmtId="0" fontId="98" fillId="0" borderId="25" xfId="6" applyFont="1" applyBorder="1" applyAlignment="1">
      <alignment wrapText="1"/>
    </xf>
    <xf numFmtId="0" fontId="98" fillId="0" borderId="19" xfId="6" applyFont="1" applyBorder="1" applyAlignment="1">
      <alignment horizontal="center"/>
    </xf>
    <xf numFmtId="0" fontId="98" fillId="0" borderId="25" xfId="6" applyFont="1" applyBorder="1" applyAlignment="1">
      <alignment horizontal="center"/>
    </xf>
    <xf numFmtId="0" fontId="98" fillId="0" borderId="20" xfId="6" applyFont="1" applyBorder="1" applyAlignment="1">
      <alignment horizontal="center"/>
    </xf>
    <xf numFmtId="0" fontId="98" fillId="0" borderId="107" xfId="6" applyFont="1" applyBorder="1" applyAlignment="1">
      <alignment horizontal="center"/>
    </xf>
    <xf numFmtId="0" fontId="0" fillId="0" borderId="0" xfId="0" applyAlignment="1">
      <alignment horizontal="left" vertical="center" wrapText="1"/>
    </xf>
    <xf numFmtId="44" fontId="93" fillId="0" borderId="108" xfId="9" applyFont="1" applyFill="1" applyBorder="1"/>
    <xf numFmtId="44" fontId="93" fillId="0" borderId="109" xfId="9" applyFont="1" applyFill="1" applyBorder="1"/>
    <xf numFmtId="44" fontId="93" fillId="0" borderId="110" xfId="9" applyFont="1" applyFill="1" applyBorder="1"/>
    <xf numFmtId="0" fontId="10" fillId="0" borderId="111" xfId="6" applyFont="1" applyBorder="1"/>
    <xf numFmtId="42" fontId="10" fillId="0" borderId="111" xfId="6" applyNumberFormat="1" applyFont="1" applyBorder="1"/>
    <xf numFmtId="0" fontId="10" fillId="0" borderId="112" xfId="6" applyFont="1" applyBorder="1"/>
    <xf numFmtId="42" fontId="10" fillId="0" borderId="113" xfId="6" applyNumberFormat="1" applyFont="1" applyBorder="1"/>
    <xf numFmtId="0" fontId="21" fillId="0" borderId="3" xfId="6" applyBorder="1"/>
    <xf numFmtId="0" fontId="21" fillId="0" borderId="4" xfId="6" applyBorder="1"/>
    <xf numFmtId="0" fontId="21" fillId="0" borderId="29" xfId="6" applyBorder="1"/>
    <xf numFmtId="0" fontId="14" fillId="0" borderId="13" xfId="6" applyFont="1" applyBorder="1"/>
    <xf numFmtId="0" fontId="14" fillId="0" borderId="5" xfId="6" applyFont="1" applyBorder="1"/>
    <xf numFmtId="0" fontId="14" fillId="18" borderId="20" xfId="6" applyFont="1" applyFill="1" applyBorder="1"/>
    <xf numFmtId="10" fontId="90" fillId="0" borderId="0" xfId="6" applyNumberFormat="1" applyFont="1" applyBorder="1"/>
    <xf numFmtId="166" fontId="10" fillId="0" borderId="13" xfId="51" applyNumberFormat="1" applyFont="1" applyBorder="1"/>
    <xf numFmtId="44" fontId="93" fillId="0" borderId="25" xfId="6" applyNumberFormat="1" applyFont="1" applyBorder="1"/>
    <xf numFmtId="44" fontId="93" fillId="0" borderId="19" xfId="6" applyNumberFormat="1" applyFont="1" applyBorder="1"/>
    <xf numFmtId="44" fontId="93" fillId="0" borderId="20" xfId="6" applyNumberFormat="1" applyFont="1" applyBorder="1"/>
    <xf numFmtId="44" fontId="93" fillId="0" borderId="107" xfId="6" applyNumberFormat="1" applyFont="1" applyBorder="1"/>
    <xf numFmtId="0" fontId="12" fillId="0" borderId="0" xfId="6" applyFont="1" applyBorder="1" applyAlignment="1">
      <alignment horizontal="right"/>
    </xf>
    <xf numFmtId="0" fontId="12" fillId="0" borderId="13" xfId="6" applyFont="1" applyBorder="1" applyAlignment="1">
      <alignment horizontal="right"/>
    </xf>
    <xf numFmtId="44" fontId="10" fillId="0" borderId="0" xfId="51" applyFont="1" applyBorder="1"/>
    <xf numFmtId="44" fontId="10" fillId="0" borderId="13" xfId="51" applyFont="1" applyBorder="1"/>
    <xf numFmtId="171" fontId="8" fillId="0" borderId="4" xfId="6" applyNumberFormat="1" applyFont="1" applyFill="1" applyBorder="1" applyAlignment="1"/>
    <xf numFmtId="9" fontId="8" fillId="0" borderId="4" xfId="6" applyNumberFormat="1" applyFont="1" applyFill="1" applyBorder="1" applyAlignment="1"/>
    <xf numFmtId="164" fontId="8" fillId="0" borderId="4" xfId="6" applyNumberFormat="1" applyFont="1" applyFill="1" applyBorder="1" applyAlignment="1"/>
    <xf numFmtId="44" fontId="8" fillId="0" borderId="4" xfId="51" applyFont="1" applyFill="1" applyBorder="1" applyAlignment="1"/>
    <xf numFmtId="44" fontId="8" fillId="20" borderId="4" xfId="51" applyFont="1" applyFill="1" applyBorder="1" applyAlignment="1"/>
    <xf numFmtId="10" fontId="56" fillId="0" borderId="94" xfId="40" applyNumberFormat="1" applyFont="1" applyFill="1" applyBorder="1"/>
    <xf numFmtId="171" fontId="8" fillId="0" borderId="19" xfId="6" applyNumberFormat="1" applyFont="1" applyFill="1" applyBorder="1" applyAlignment="1"/>
    <xf numFmtId="9" fontId="8" fillId="0" borderId="24" xfId="6" applyNumberFormat="1" applyFont="1" applyFill="1" applyBorder="1" applyAlignment="1"/>
    <xf numFmtId="164" fontId="8" fillId="0" borderId="24" xfId="6" applyNumberFormat="1" applyFont="1" applyFill="1" applyBorder="1" applyAlignment="1"/>
    <xf numFmtId="44" fontId="8" fillId="0" borderId="24" xfId="51" applyFont="1" applyFill="1" applyBorder="1" applyAlignment="1"/>
    <xf numFmtId="44" fontId="8" fillId="20" borderId="20" xfId="51" applyFont="1" applyFill="1" applyBorder="1" applyAlignment="1"/>
    <xf numFmtId="10" fontId="21" fillId="0" borderId="0" xfId="40" applyNumberFormat="1" applyFont="1" applyBorder="1"/>
    <xf numFmtId="0" fontId="9" fillId="0" borderId="4" xfId="6" applyFont="1" applyBorder="1"/>
    <xf numFmtId="9" fontId="9" fillId="0" borderId="4" xfId="6" applyNumberFormat="1" applyFont="1" applyBorder="1"/>
    <xf numFmtId="44" fontId="6" fillId="0" borderId="4" xfId="51" applyFont="1" applyBorder="1" applyAlignment="1"/>
    <xf numFmtId="171" fontId="6" fillId="0" borderId="4" xfId="6" applyNumberFormat="1" applyFont="1" applyBorder="1" applyAlignment="1"/>
    <xf numFmtId="9" fontId="6" fillId="0" borderId="4" xfId="6" applyNumberFormat="1" applyFont="1" applyBorder="1" applyAlignment="1"/>
    <xf numFmtId="164" fontId="6" fillId="0" borderId="4" xfId="6" applyNumberFormat="1" applyFont="1" applyBorder="1" applyAlignment="1"/>
    <xf numFmtId="44" fontId="93" fillId="0" borderId="108" xfId="6" applyNumberFormat="1" applyFont="1" applyBorder="1"/>
    <xf numFmtId="44" fontId="93" fillId="0" borderId="109" xfId="6" applyNumberFormat="1" applyFont="1" applyBorder="1"/>
    <xf numFmtId="44" fontId="93" fillId="0" borderId="110" xfId="6" applyNumberFormat="1" applyFont="1" applyBorder="1"/>
    <xf numFmtId="0" fontId="100" fillId="0" borderId="4" xfId="6" applyFont="1" applyBorder="1"/>
    <xf numFmtId="0" fontId="100" fillId="0" borderId="0" xfId="6" applyFont="1" applyBorder="1"/>
    <xf numFmtId="44" fontId="21" fillId="0" borderId="0" xfId="6" applyNumberFormat="1" applyBorder="1"/>
    <xf numFmtId="0" fontId="100" fillId="0" borderId="0" xfId="6" applyFont="1"/>
    <xf numFmtId="44" fontId="93" fillId="0" borderId="0" xfId="6" applyNumberFormat="1" applyFont="1" applyBorder="1"/>
    <xf numFmtId="0" fontId="14" fillId="0" borderId="25" xfId="6" applyFont="1" applyBorder="1" applyAlignment="1">
      <alignment wrapText="1"/>
    </xf>
    <xf numFmtId="0" fontId="21" fillId="0" borderId="17" xfId="6" applyBorder="1"/>
    <xf numFmtId="0" fontId="21" fillId="0" borderId="10" xfId="6" applyBorder="1"/>
    <xf numFmtId="0" fontId="21" fillId="0" borderId="95" xfId="6" applyBorder="1"/>
    <xf numFmtId="10" fontId="87" fillId="0" borderId="25" xfId="11" applyNumberFormat="1" applyFont="1" applyFill="1" applyBorder="1"/>
    <xf numFmtId="10" fontId="76" fillId="0" borderId="25" xfId="11" applyNumberFormat="1" applyFont="1" applyFill="1" applyBorder="1"/>
    <xf numFmtId="0" fontId="21" fillId="0" borderId="27" xfId="6" applyBorder="1"/>
    <xf numFmtId="0" fontId="21" fillId="0" borderId="7" xfId="6" applyBorder="1"/>
    <xf numFmtId="0" fontId="21" fillId="0" borderId="96" xfId="6" applyBorder="1"/>
    <xf numFmtId="0" fontId="21" fillId="0" borderId="31" xfId="6" applyBorder="1" applyAlignment="1">
      <alignment wrapText="1"/>
    </xf>
    <xf numFmtId="0" fontId="33" fillId="36" borderId="32" xfId="6" applyFont="1" applyFill="1" applyBorder="1" applyAlignment="1">
      <alignment horizontal="center" wrapText="1"/>
    </xf>
    <xf numFmtId="0" fontId="33" fillId="36" borderId="33" xfId="6" applyFont="1" applyFill="1" applyBorder="1" applyAlignment="1">
      <alignment horizontal="center" wrapText="1"/>
    </xf>
    <xf numFmtId="0" fontId="8" fillId="0" borderId="38" xfId="6" applyFont="1" applyBorder="1" applyAlignment="1">
      <alignment wrapText="1"/>
    </xf>
    <xf numFmtId="0" fontId="21" fillId="0" borderId="39" xfId="6" applyBorder="1" applyAlignment="1">
      <alignment wrapText="1"/>
    </xf>
    <xf numFmtId="20" fontId="21" fillId="0" borderId="25" xfId="6" applyNumberFormat="1" applyBorder="1" applyAlignment="1">
      <alignment wrapText="1"/>
    </xf>
    <xf numFmtId="0" fontId="21" fillId="0" borderId="114" xfId="6" applyBorder="1"/>
    <xf numFmtId="10" fontId="21" fillId="0" borderId="25" xfId="6" applyNumberFormat="1" applyBorder="1" applyAlignment="1">
      <alignment wrapText="1"/>
    </xf>
    <xf numFmtId="8" fontId="21" fillId="0" borderId="25" xfId="6" applyNumberFormat="1" applyBorder="1" applyAlignment="1">
      <alignment wrapText="1"/>
    </xf>
    <xf numFmtId="0" fontId="21" fillId="0" borderId="8" xfId="6" applyBorder="1"/>
    <xf numFmtId="0" fontId="8" fillId="0" borderId="43" xfId="6" applyFont="1" applyBorder="1" applyAlignment="1">
      <alignment wrapText="1"/>
    </xf>
    <xf numFmtId="10" fontId="21" fillId="0" borderId="44" xfId="6" applyNumberFormat="1" applyBorder="1" applyAlignment="1">
      <alignment wrapText="1"/>
    </xf>
    <xf numFmtId="0" fontId="21" fillId="0" borderId="45" xfId="6" applyBorder="1" applyAlignment="1">
      <alignment wrapText="1"/>
    </xf>
    <xf numFmtId="44" fontId="21" fillId="0" borderId="0" xfId="6" applyNumberFormat="1"/>
    <xf numFmtId="0" fontId="101" fillId="19" borderId="7" xfId="6" applyFont="1" applyFill="1" applyBorder="1" applyAlignment="1">
      <alignment horizontal="center"/>
    </xf>
    <xf numFmtId="0" fontId="21" fillId="19" borderId="8" xfId="6" applyFill="1" applyBorder="1"/>
    <xf numFmtId="0" fontId="56" fillId="19" borderId="8" xfId="6" applyFont="1" applyFill="1" applyBorder="1"/>
    <xf numFmtId="0" fontId="9" fillId="0" borderId="5" xfId="6" applyFont="1" applyBorder="1"/>
    <xf numFmtId="0" fontId="9" fillId="0" borderId="0" xfId="6" applyFont="1" applyBorder="1"/>
    <xf numFmtId="0" fontId="9" fillId="0" borderId="13" xfId="6" applyFont="1" applyBorder="1"/>
    <xf numFmtId="42" fontId="93" fillId="0" borderId="0" xfId="6" applyNumberFormat="1" applyFont="1" applyBorder="1"/>
    <xf numFmtId="167" fontId="102" fillId="0" borderId="0" xfId="6" applyNumberFormat="1" applyFont="1" applyBorder="1"/>
    <xf numFmtId="42" fontId="9" fillId="0" borderId="13" xfId="6" applyNumberFormat="1" applyFont="1" applyBorder="1"/>
    <xf numFmtId="42" fontId="9" fillId="0" borderId="0" xfId="6" applyNumberFormat="1" applyFont="1" applyBorder="1"/>
    <xf numFmtId="168" fontId="93" fillId="0" borderId="0" xfId="6" applyNumberFormat="1" applyFont="1" applyBorder="1"/>
    <xf numFmtId="43" fontId="102" fillId="0" borderId="0" xfId="50" applyNumberFormat="1" applyFont="1" applyBorder="1"/>
    <xf numFmtId="168" fontId="14" fillId="0" borderId="0" xfId="6" applyNumberFormat="1" applyFont="1" applyBorder="1"/>
    <xf numFmtId="6" fontId="93" fillId="0" borderId="0" xfId="6" applyNumberFormat="1" applyFont="1" applyBorder="1"/>
    <xf numFmtId="175" fontId="102" fillId="0" borderId="0" xfId="6" applyNumberFormat="1" applyFont="1" applyBorder="1"/>
    <xf numFmtId="6" fontId="14" fillId="0" borderId="0" xfId="6" applyNumberFormat="1" applyFont="1" applyBorder="1"/>
    <xf numFmtId="2" fontId="102" fillId="0" borderId="0" xfId="6" applyNumberFormat="1" applyFont="1" applyBorder="1"/>
    <xf numFmtId="0" fontId="93" fillId="0" borderId="0" xfId="6" applyFont="1" applyBorder="1"/>
    <xf numFmtId="0" fontId="102" fillId="0" borderId="0" xfId="6" applyFont="1" applyBorder="1"/>
    <xf numFmtId="10" fontId="93" fillId="0" borderId="0" xfId="6" applyNumberFormat="1" applyFont="1" applyBorder="1"/>
    <xf numFmtId="0" fontId="6" fillId="0" borderId="0" xfId="6" applyFont="1" applyBorder="1"/>
    <xf numFmtId="44" fontId="14" fillId="0" borderId="0" xfId="6" applyNumberFormat="1" applyFont="1" applyBorder="1"/>
    <xf numFmtId="0" fontId="6" fillId="0" borderId="0" xfId="6" applyFont="1" applyFill="1" applyBorder="1"/>
    <xf numFmtId="166" fontId="9" fillId="0" borderId="0" xfId="6" applyNumberFormat="1" applyFont="1" applyBorder="1"/>
    <xf numFmtId="44" fontId="93" fillId="0" borderId="0" xfId="39" applyFont="1" applyBorder="1"/>
    <xf numFmtId="44" fontId="14" fillId="0" borderId="0" xfId="39" applyFont="1" applyBorder="1"/>
    <xf numFmtId="0" fontId="14" fillId="0" borderId="0" xfId="6" applyFont="1" applyBorder="1" applyAlignment="1">
      <alignment vertical="center"/>
    </xf>
    <xf numFmtId="166" fontId="14" fillId="0" borderId="0" xfId="6" applyNumberFormat="1" applyFont="1" applyBorder="1"/>
    <xf numFmtId="0" fontId="103" fillId="0" borderId="0" xfId="6" applyFont="1" applyBorder="1"/>
    <xf numFmtId="44" fontId="104" fillId="0" borderId="0" xfId="6" applyNumberFormat="1" applyFont="1" applyBorder="1"/>
    <xf numFmtId="44" fontId="9" fillId="0" borderId="0" xfId="6" applyNumberFormat="1" applyFont="1" applyBorder="1"/>
    <xf numFmtId="44" fontId="10" fillId="0" borderId="4" xfId="6" applyNumberFormat="1" applyFont="1" applyBorder="1"/>
    <xf numFmtId="0" fontId="9" fillId="0" borderId="111" xfId="6" applyFont="1" applyBorder="1"/>
    <xf numFmtId="10" fontId="16" fillId="0" borderId="0" xfId="6" applyNumberFormat="1" applyFont="1" applyBorder="1"/>
    <xf numFmtId="166" fontId="9" fillId="0" borderId="13" xfId="51" applyNumberFormat="1" applyFont="1" applyBorder="1"/>
    <xf numFmtId="166" fontId="9" fillId="0" borderId="0" xfId="51" applyNumberFormat="1" applyFont="1" applyBorder="1"/>
    <xf numFmtId="44" fontId="9" fillId="0" borderId="0" xfId="51" applyFont="1" applyBorder="1"/>
    <xf numFmtId="44" fontId="9" fillId="0" borderId="13" xfId="51" applyFont="1" applyBorder="1"/>
    <xf numFmtId="171" fontId="6" fillId="0" borderId="3" xfId="6" applyNumberFormat="1" applyFont="1" applyBorder="1" applyAlignment="1"/>
    <xf numFmtId="44" fontId="6" fillId="0" borderId="6" xfId="51" applyFont="1" applyBorder="1" applyAlignment="1"/>
    <xf numFmtId="0" fontId="14" fillId="0" borderId="10" xfId="6" applyFont="1" applyBorder="1"/>
    <xf numFmtId="0" fontId="9" fillId="0" borderId="9" xfId="6" applyFont="1" applyBorder="1"/>
    <xf numFmtId="9" fontId="9" fillId="0" borderId="10" xfId="6" applyNumberFormat="1" applyFont="1" applyBorder="1"/>
    <xf numFmtId="0" fontId="9" fillId="0" borderId="10" xfId="6" applyFont="1" applyBorder="1"/>
    <xf numFmtId="44" fontId="6" fillId="0" borderId="10" xfId="51" applyFont="1" applyBorder="1" applyAlignment="1"/>
    <xf numFmtId="44" fontId="6" fillId="0" borderId="18" xfId="51" applyFont="1" applyBorder="1" applyAlignment="1"/>
    <xf numFmtId="0" fontId="21" fillId="0" borderId="115" xfId="6" applyBorder="1"/>
    <xf numFmtId="171" fontId="6" fillId="0" borderId="10" xfId="6" applyNumberFormat="1" applyFont="1" applyBorder="1" applyAlignment="1"/>
    <xf numFmtId="9" fontId="6" fillId="0" borderId="10" xfId="6" applyNumberFormat="1" applyFont="1" applyBorder="1" applyAlignment="1"/>
    <xf numFmtId="164" fontId="6" fillId="0" borderId="10" xfId="6" applyNumberFormat="1" applyFont="1" applyBorder="1" applyAlignment="1"/>
    <xf numFmtId="166" fontId="53" fillId="33" borderId="100" xfId="61" applyNumberFormat="1" applyFont="1"/>
    <xf numFmtId="176" fontId="18" fillId="37" borderId="94" xfId="25" applyNumberFormat="1" applyFont="1" applyFill="1" applyBorder="1" applyAlignment="1" applyProtection="1">
      <alignment horizontal="center" vertical="center"/>
    </xf>
    <xf numFmtId="166" fontId="18" fillId="37" borderId="94" xfId="51" applyNumberFormat="1" applyFont="1" applyFill="1" applyBorder="1" applyAlignment="1" applyProtection="1">
      <alignment horizontal="center" vertical="center"/>
    </xf>
    <xf numFmtId="0" fontId="53" fillId="33" borderId="100" xfId="61" applyFont="1" applyAlignment="1">
      <alignment horizontal="center"/>
    </xf>
    <xf numFmtId="0" fontId="19" fillId="0" borderId="0" xfId="32"/>
    <xf numFmtId="0" fontId="53" fillId="33" borderId="116" xfId="61" applyFont="1" applyBorder="1"/>
    <xf numFmtId="9" fontId="19" fillId="0" borderId="0" xfId="40" applyFont="1" applyFill="1"/>
    <xf numFmtId="0" fontId="19" fillId="0" borderId="0" xfId="32" applyFill="1"/>
    <xf numFmtId="166" fontId="1" fillId="0" borderId="0" xfId="51" applyNumberFormat="1" applyFont="1" applyAlignment="1">
      <alignment wrapText="1"/>
    </xf>
    <xf numFmtId="0" fontId="19" fillId="0" borderId="0" xfId="32" applyAlignment="1">
      <alignment wrapText="1"/>
    </xf>
    <xf numFmtId="176" fontId="19" fillId="0" borderId="0" xfId="32" applyNumberFormat="1" applyAlignment="1">
      <alignment wrapText="1"/>
    </xf>
    <xf numFmtId="166" fontId="1" fillId="38" borderId="0" xfId="51" applyNumberFormat="1" applyFont="1" applyFill="1" applyAlignment="1">
      <alignment wrapText="1"/>
    </xf>
    <xf numFmtId="9" fontId="1" fillId="0" borderId="0" xfId="34" applyFont="1" applyAlignment="1">
      <alignment wrapText="1"/>
    </xf>
    <xf numFmtId="0" fontId="54" fillId="2" borderId="0" xfId="60" applyFont="1" applyAlignment="1">
      <alignment wrapText="1"/>
    </xf>
    <xf numFmtId="166" fontId="54" fillId="2" borderId="29" xfId="60" applyNumberFormat="1" applyFont="1" applyBorder="1" applyAlignment="1">
      <alignment wrapText="1"/>
    </xf>
    <xf numFmtId="0" fontId="19" fillId="0" borderId="0" xfId="32" applyAlignment="1">
      <alignment horizontal="center" wrapText="1"/>
    </xf>
    <xf numFmtId="9" fontId="19" fillId="0" borderId="0" xfId="40" applyFont="1" applyFill="1" applyAlignment="1">
      <alignment wrapText="1"/>
    </xf>
    <xf numFmtId="0" fontId="19" fillId="0" borderId="0" xfId="32" applyFill="1" applyAlignment="1">
      <alignment wrapText="1"/>
    </xf>
    <xf numFmtId="166" fontId="1" fillId="0" borderId="0" xfId="51" applyNumberFormat="1" applyFont="1"/>
    <xf numFmtId="176" fontId="19" fillId="0" borderId="0" xfId="32" applyNumberFormat="1"/>
    <xf numFmtId="166" fontId="1" fillId="38" borderId="0" xfId="51" applyNumberFormat="1" applyFont="1" applyFill="1"/>
    <xf numFmtId="9" fontId="1" fillId="0" borderId="0" xfId="34" applyFont="1"/>
    <xf numFmtId="0" fontId="19" fillId="0" borderId="94" xfId="32" applyBorder="1"/>
    <xf numFmtId="0" fontId="105" fillId="0" borderId="7" xfId="0" applyFont="1" applyBorder="1" applyAlignment="1">
      <alignment horizontal="center"/>
    </xf>
    <xf numFmtId="0" fontId="105" fillId="0" borderId="96" xfId="0" applyFont="1" applyBorder="1" applyAlignment="1">
      <alignment horizontal="center" wrapText="1"/>
    </xf>
    <xf numFmtId="0" fontId="105" fillId="0" borderId="96" xfId="0" applyFont="1" applyFill="1" applyBorder="1" applyAlignment="1">
      <alignment horizontal="center" wrapText="1"/>
    </xf>
    <xf numFmtId="0" fontId="105" fillId="39" borderId="96" xfId="0" applyFont="1" applyFill="1" applyBorder="1" applyAlignment="1">
      <alignment horizontal="center" wrapText="1"/>
    </xf>
    <xf numFmtId="9" fontId="105" fillId="0" borderId="0" xfId="40" applyFont="1" applyFill="1" applyBorder="1" applyAlignment="1">
      <alignment horizontal="center" wrapText="1"/>
    </xf>
    <xf numFmtId="0" fontId="105" fillId="0" borderId="0" xfId="0" applyFont="1" applyFill="1" applyBorder="1" applyAlignment="1">
      <alignment horizontal="center" wrapText="1"/>
    </xf>
    <xf numFmtId="170" fontId="1" fillId="0" borderId="14" xfId="51" applyNumberFormat="1" applyFont="1" applyFill="1" applyBorder="1"/>
    <xf numFmtId="170" fontId="19" fillId="0" borderId="5" xfId="51" applyNumberFormat="1" applyFont="1" applyFill="1" applyBorder="1"/>
    <xf numFmtId="170" fontId="19" fillId="0" borderId="19" xfId="51" applyNumberFormat="1" applyFont="1" applyFill="1" applyBorder="1"/>
    <xf numFmtId="10" fontId="19" fillId="0" borderId="0" xfId="40" applyNumberFormat="1" applyFont="1" applyFill="1" applyBorder="1"/>
    <xf numFmtId="5" fontId="19" fillId="0" borderId="0" xfId="51" applyNumberFormat="1" applyFont="1" applyFill="1" applyBorder="1"/>
    <xf numFmtId="170" fontId="19" fillId="0" borderId="5" xfId="32" applyNumberFormat="1" applyFill="1" applyBorder="1"/>
    <xf numFmtId="170" fontId="19" fillId="0" borderId="3" xfId="51" applyNumberFormat="1" applyFont="1" applyFill="1" applyBorder="1"/>
    <xf numFmtId="170" fontId="19" fillId="20" borderId="7" xfId="51" applyNumberFormat="1" applyFont="1" applyFill="1" applyBorder="1"/>
    <xf numFmtId="170" fontId="19" fillId="20" borderId="8" xfId="51" applyNumberFormat="1" applyFont="1" applyFill="1" applyBorder="1"/>
    <xf numFmtId="170" fontId="19" fillId="20" borderId="14" xfId="51" applyNumberFormat="1" applyFont="1" applyFill="1" applyBorder="1"/>
    <xf numFmtId="170" fontId="19" fillId="20" borderId="0" xfId="51" applyNumberFormat="1" applyFont="1" applyFill="1" applyBorder="1"/>
    <xf numFmtId="166" fontId="1" fillId="23" borderId="0" xfId="51" applyNumberFormat="1" applyFont="1" applyFill="1"/>
    <xf numFmtId="0" fontId="54" fillId="2" borderId="0" xfId="60" applyFont="1"/>
    <xf numFmtId="166" fontId="54" fillId="2" borderId="94" xfId="60" applyNumberFormat="1" applyFont="1" applyBorder="1"/>
    <xf numFmtId="170" fontId="19" fillId="20" borderId="17" xfId="51" applyNumberFormat="1" applyFont="1" applyFill="1" applyBorder="1"/>
    <xf numFmtId="170" fontId="19" fillId="20" borderId="10" xfId="51" applyNumberFormat="1" applyFont="1" applyFill="1" applyBorder="1"/>
    <xf numFmtId="170" fontId="19" fillId="20" borderId="44" xfId="51" applyNumberFormat="1" applyFont="1" applyFill="1" applyBorder="1"/>
    <xf numFmtId="166" fontId="19" fillId="0" borderId="0" xfId="32" applyNumberFormat="1"/>
    <xf numFmtId="166" fontId="1" fillId="26" borderId="0" xfId="51" applyNumberFormat="1" applyFont="1" applyFill="1"/>
    <xf numFmtId="166" fontId="1" fillId="42" borderId="0" xfId="51" applyNumberFormat="1" applyFont="1" applyFill="1"/>
    <xf numFmtId="166" fontId="1" fillId="43" borderId="0" xfId="51" applyNumberFormat="1" applyFont="1" applyFill="1"/>
    <xf numFmtId="166" fontId="1" fillId="44" borderId="0" xfId="51" applyNumberFormat="1" applyFont="1" applyFill="1"/>
    <xf numFmtId="166" fontId="1" fillId="45" borderId="0" xfId="51" applyNumberFormat="1" applyFont="1" applyFill="1"/>
    <xf numFmtId="166" fontId="1" fillId="46" borderId="0" xfId="51" applyNumberFormat="1" applyFont="1" applyFill="1"/>
    <xf numFmtId="166" fontId="1" fillId="41" borderId="0" xfId="51" applyNumberFormat="1" applyFont="1" applyFill="1"/>
    <xf numFmtId="166" fontId="1" fillId="28" borderId="0" xfId="51" applyNumberFormat="1" applyFont="1" applyFill="1"/>
    <xf numFmtId="166" fontId="1" fillId="47" borderId="0" xfId="51" applyNumberFormat="1" applyFont="1" applyFill="1"/>
    <xf numFmtId="166" fontId="1" fillId="27" borderId="0" xfId="51" applyNumberFormat="1" applyFont="1" applyFill="1"/>
    <xf numFmtId="166" fontId="1" fillId="48" borderId="0" xfId="51" applyNumberFormat="1" applyFont="1" applyFill="1"/>
    <xf numFmtId="0" fontId="54" fillId="2" borderId="0" xfId="60" applyFont="1" applyAlignment="1">
      <alignment vertical="center"/>
    </xf>
    <xf numFmtId="0" fontId="19" fillId="0" borderId="0" xfId="32" applyAlignment="1">
      <alignment vertical="center"/>
    </xf>
    <xf numFmtId="176" fontId="19" fillId="23" borderId="0" xfId="32" applyNumberFormat="1" applyFill="1"/>
    <xf numFmtId="9" fontId="1" fillId="23" borderId="0" xfId="34" applyFont="1" applyFill="1"/>
    <xf numFmtId="166" fontId="1" fillId="0" borderId="27" xfId="51" applyNumberFormat="1" applyFont="1" applyBorder="1"/>
    <xf numFmtId="0" fontId="0" fillId="0" borderId="27" xfId="0" applyBorder="1"/>
    <xf numFmtId="176" fontId="19" fillId="23" borderId="27" xfId="32" applyNumberFormat="1" applyFill="1" applyBorder="1"/>
    <xf numFmtId="166" fontId="1" fillId="23" borderId="27" xfId="51" applyNumberFormat="1" applyFont="1" applyFill="1" applyBorder="1"/>
    <xf numFmtId="9" fontId="1" fillId="23" borderId="27" xfId="34" applyFont="1" applyFill="1" applyBorder="1"/>
    <xf numFmtId="0" fontId="19" fillId="0" borderId="30" xfId="32" applyBorder="1"/>
    <xf numFmtId="166" fontId="53" fillId="33" borderId="117" xfId="61" applyNumberFormat="1" applyFont="1" applyBorder="1"/>
    <xf numFmtId="166" fontId="1" fillId="0" borderId="25" xfId="51" applyNumberFormat="1" applyFont="1" applyBorder="1"/>
    <xf numFmtId="176" fontId="19" fillId="0" borderId="24" xfId="25" applyNumberFormat="1" applyBorder="1"/>
    <xf numFmtId="166" fontId="19" fillId="0" borderId="25" xfId="51" applyNumberFormat="1" applyFont="1" applyBorder="1"/>
    <xf numFmtId="176" fontId="19" fillId="0" borderId="25" xfId="25" applyNumberFormat="1" applyBorder="1"/>
    <xf numFmtId="9" fontId="1" fillId="0" borderId="20" xfId="34" applyFont="1" applyBorder="1"/>
    <xf numFmtId="0" fontId="19" fillId="0" borderId="25" xfId="32" applyBorder="1"/>
    <xf numFmtId="0" fontId="53" fillId="33" borderId="100" xfId="61" applyFont="1" applyAlignment="1">
      <alignment horizontal="center" vertical="center" wrapText="1"/>
    </xf>
    <xf numFmtId="9" fontId="0" fillId="0" borderId="0" xfId="40" applyFont="1"/>
    <xf numFmtId="0" fontId="0" fillId="0" borderId="0" xfId="0" applyFill="1" applyBorder="1" applyAlignment="1">
      <alignment horizontal="center"/>
    </xf>
    <xf numFmtId="0" fontId="0" fillId="18" borderId="14" xfId="0" applyFill="1" applyBorder="1" applyAlignment="1">
      <alignment vertical="center"/>
    </xf>
    <xf numFmtId="0" fontId="0" fillId="18" borderId="48" xfId="0" applyFill="1" applyBorder="1" applyAlignment="1">
      <alignment horizontal="center"/>
    </xf>
    <xf numFmtId="0" fontId="0" fillId="0" borderId="14" xfId="0" applyBorder="1" applyAlignment="1">
      <alignment horizontal="left" wrapText="1"/>
    </xf>
    <xf numFmtId="43" fontId="0" fillId="0" borderId="0" xfId="59" applyFont="1"/>
    <xf numFmtId="166" fontId="0" fillId="0" borderId="0" xfId="0" applyNumberFormat="1" applyFill="1" applyBorder="1"/>
    <xf numFmtId="0" fontId="0" fillId="18" borderId="14" xfId="0" applyFill="1" applyBorder="1"/>
    <xf numFmtId="0" fontId="0" fillId="18" borderId="48" xfId="0" applyFill="1" applyBorder="1"/>
    <xf numFmtId="44" fontId="0" fillId="0" borderId="0" xfId="51" applyFont="1" applyFill="1" applyBorder="1"/>
    <xf numFmtId="0" fontId="0" fillId="0" borderId="14" xfId="0" applyBorder="1"/>
    <xf numFmtId="10" fontId="0" fillId="0" borderId="48" xfId="0" applyNumberFormat="1" applyBorder="1"/>
    <xf numFmtId="0" fontId="0" fillId="0" borderId="118" xfId="0" applyFill="1" applyBorder="1"/>
    <xf numFmtId="0" fontId="0" fillId="0" borderId="35" xfId="0" applyBorder="1"/>
    <xf numFmtId="44" fontId="0" fillId="0" borderId="0" xfId="51" applyNumberFormat="1" applyFont="1" applyFill="1" applyBorder="1"/>
    <xf numFmtId="44" fontId="0" fillId="0" borderId="0" xfId="51" applyFont="1"/>
    <xf numFmtId="177" fontId="0" fillId="0" borderId="0" xfId="51" applyNumberFormat="1" applyFont="1" applyBorder="1"/>
    <xf numFmtId="9" fontId="0" fillId="0" borderId="0" xfId="40" applyFont="1" applyBorder="1"/>
    <xf numFmtId="170" fontId="0" fillId="0" borderId="22" xfId="0" applyNumberFormat="1" applyBorder="1" applyAlignment="1">
      <alignment horizontal="center"/>
    </xf>
    <xf numFmtId="170" fontId="0" fillId="0" borderId="18" xfId="0" applyNumberFormat="1" applyBorder="1" applyAlignment="1">
      <alignment horizontal="center"/>
    </xf>
    <xf numFmtId="168" fontId="0" fillId="0" borderId="0" xfId="0" applyNumberFormat="1" applyBorder="1"/>
    <xf numFmtId="10" fontId="0" fillId="0" borderId="0" xfId="40" applyNumberFormat="1" applyFont="1" applyBorder="1"/>
    <xf numFmtId="170" fontId="5" fillId="19" borderId="75" xfId="0" applyNumberFormat="1" applyFont="1" applyFill="1" applyBorder="1"/>
    <xf numFmtId="170" fontId="5" fillId="19" borderId="44" xfId="0" applyNumberFormat="1" applyFont="1" applyFill="1" applyBorder="1"/>
    <xf numFmtId="170" fontId="5" fillId="19" borderId="75" xfId="13" applyNumberFormat="1" applyFont="1" applyFill="1" applyBorder="1"/>
    <xf numFmtId="44" fontId="8" fillId="19" borderId="75" xfId="7" applyFont="1" applyFill="1" applyBorder="1"/>
    <xf numFmtId="44" fontId="8" fillId="19" borderId="44" xfId="7" applyFont="1" applyFill="1" applyBorder="1"/>
    <xf numFmtId="0" fontId="0" fillId="0" borderId="0" xfId="0" applyBorder="1" applyAlignment="1">
      <alignment horizontal="center"/>
    </xf>
    <xf numFmtId="170" fontId="0" fillId="0" borderId="33" xfId="0" applyNumberFormat="1" applyBorder="1" applyAlignment="1">
      <alignment horizontal="center"/>
    </xf>
    <xf numFmtId="170" fontId="0" fillId="0" borderId="95" xfId="0" applyNumberFormat="1" applyBorder="1" applyAlignment="1">
      <alignment horizontal="center"/>
    </xf>
    <xf numFmtId="0" fontId="0" fillId="0" borderId="17" xfId="0" applyFill="1" applyBorder="1"/>
    <xf numFmtId="170" fontId="0" fillId="19" borderId="95" xfId="40" applyNumberFormat="1" applyFont="1" applyFill="1" applyBorder="1"/>
    <xf numFmtId="170" fontId="0" fillId="19" borderId="95" xfId="0" applyNumberFormat="1" applyFill="1" applyBorder="1"/>
    <xf numFmtId="170" fontId="0" fillId="0" borderId="119" xfId="51" applyNumberFormat="1" applyFont="1" applyFill="1" applyBorder="1"/>
    <xf numFmtId="170" fontId="0" fillId="19" borderId="37" xfId="51" applyNumberFormat="1" applyFont="1" applyFill="1" applyBorder="1"/>
    <xf numFmtId="168" fontId="0" fillId="0" borderId="48" xfId="51" applyNumberFormat="1" applyFont="1" applyBorder="1"/>
    <xf numFmtId="168" fontId="0" fillId="0" borderId="48" xfId="0" applyNumberFormat="1" applyBorder="1"/>
    <xf numFmtId="170" fontId="19" fillId="20" borderId="23" xfId="51" applyNumberFormat="1" applyFont="1" applyFill="1" applyBorder="1"/>
    <xf numFmtId="170" fontId="19" fillId="20" borderId="19" xfId="51" applyNumberFormat="1" applyFont="1" applyFill="1" applyBorder="1"/>
    <xf numFmtId="170" fontId="19" fillId="39" borderId="25" xfId="51" applyNumberFormat="1" applyFont="1" applyFill="1" applyBorder="1" applyAlignment="1">
      <alignment horizontal="center"/>
    </xf>
    <xf numFmtId="5" fontId="19" fillId="40" borderId="25" xfId="51" applyNumberFormat="1" applyFont="1" applyFill="1" applyBorder="1" applyAlignment="1">
      <alignment horizontal="center"/>
    </xf>
    <xf numFmtId="170" fontId="19" fillId="20" borderId="25" xfId="51" applyNumberFormat="1" applyFont="1" applyFill="1" applyBorder="1" applyAlignment="1">
      <alignment horizontal="center"/>
    </xf>
    <xf numFmtId="170" fontId="19" fillId="20" borderId="14" xfId="51" applyNumberFormat="1" applyFont="1" applyFill="1" applyBorder="1" applyAlignment="1">
      <alignment horizontal="center"/>
    </xf>
    <xf numFmtId="5" fontId="19" fillId="20" borderId="25" xfId="51" applyNumberFormat="1" applyFont="1" applyFill="1" applyBorder="1" applyAlignment="1">
      <alignment horizontal="center"/>
    </xf>
    <xf numFmtId="0" fontId="5" fillId="0" borderId="19" xfId="0" applyFont="1" applyBorder="1"/>
    <xf numFmtId="0" fontId="5" fillId="0" borderId="24" xfId="0" applyFont="1" applyBorder="1"/>
    <xf numFmtId="10" fontId="5" fillId="0" borderId="24" xfId="0" applyNumberFormat="1" applyFont="1" applyBorder="1"/>
    <xf numFmtId="166" fontId="5" fillId="19" borderId="20" xfId="38" applyNumberFormat="1" applyFont="1" applyFill="1" applyBorder="1"/>
    <xf numFmtId="0" fontId="5" fillId="0" borderId="3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166" fontId="1" fillId="0" borderId="6" xfId="38" applyNumberFormat="1" applyFont="1" applyBorder="1"/>
    <xf numFmtId="0" fontId="0" fillId="0" borderId="5" xfId="0" applyFont="1" applyBorder="1"/>
    <xf numFmtId="0" fontId="0" fillId="0" borderId="0" xfId="0" applyFont="1" applyBorder="1"/>
    <xf numFmtId="44" fontId="1" fillId="0" borderId="0" xfId="38" applyFont="1" applyBorder="1" applyAlignment="1">
      <alignment horizontal="center"/>
    </xf>
    <xf numFmtId="166" fontId="1" fillId="0" borderId="13" xfId="38" applyNumberFormat="1" applyFont="1" applyFill="1" applyBorder="1"/>
    <xf numFmtId="8" fontId="0" fillId="0" borderId="0" xfId="0" applyNumberFormat="1" applyFont="1" applyBorder="1"/>
    <xf numFmtId="10" fontId="1" fillId="0" borderId="0" xfId="40" applyNumberFormat="1" applyFont="1" applyBorder="1"/>
    <xf numFmtId="6" fontId="0" fillId="0" borderId="13" xfId="0" applyNumberFormat="1" applyFont="1" applyBorder="1"/>
    <xf numFmtId="4" fontId="5" fillId="19" borderId="19" xfId="0" applyNumberFormat="1" applyFont="1" applyFill="1" applyBorder="1"/>
    <xf numFmtId="0" fontId="5" fillId="19" borderId="24" xfId="0" applyFont="1" applyFill="1" applyBorder="1"/>
    <xf numFmtId="6" fontId="5" fillId="19" borderId="20" xfId="0" applyNumberFormat="1" applyFont="1" applyFill="1" applyBorder="1"/>
    <xf numFmtId="44" fontId="5" fillId="19" borderId="20" xfId="38" applyNumberFormat="1" applyFont="1" applyFill="1" applyBorder="1"/>
    <xf numFmtId="170" fontId="106" fillId="0" borderId="0" xfId="0" applyNumberFormat="1" applyFont="1" applyAlignment="1">
      <alignment horizontal="right"/>
    </xf>
    <xf numFmtId="10" fontId="106" fillId="0" borderId="0" xfId="2" applyNumberFormat="1" applyFont="1"/>
    <xf numFmtId="0" fontId="50" fillId="22" borderId="25" xfId="0" applyFont="1" applyFill="1" applyBorder="1" applyAlignment="1">
      <alignment horizontal="left" vertical="top"/>
    </xf>
    <xf numFmtId="0" fontId="54" fillId="0" borderId="94" xfId="0" applyFont="1" applyFill="1" applyBorder="1" applyAlignment="1">
      <alignment horizontal="left" vertical="center" wrapText="1"/>
    </xf>
    <xf numFmtId="0" fontId="54" fillId="0" borderId="25" xfId="0" applyFont="1" applyFill="1" applyBorder="1" applyAlignment="1">
      <alignment horizontal="left" vertical="center" wrapText="1"/>
    </xf>
    <xf numFmtId="0" fontId="71" fillId="13" borderId="8" xfId="4" applyFont="1" applyFill="1" applyBorder="1" applyAlignment="1">
      <alignment horizontal="left"/>
    </xf>
    <xf numFmtId="0" fontId="71" fillId="13" borderId="96" xfId="4" applyFont="1" applyFill="1" applyBorder="1" applyAlignment="1">
      <alignment horizontal="left"/>
    </xf>
    <xf numFmtId="0" fontId="72" fillId="19" borderId="0" xfId="4" applyFont="1" applyFill="1" applyBorder="1" applyAlignment="1">
      <alignment horizontal="left"/>
    </xf>
    <xf numFmtId="0" fontId="72" fillId="19" borderId="48" xfId="4" applyFont="1" applyFill="1" applyBorder="1" applyAlignment="1">
      <alignment horizontal="left"/>
    </xf>
    <xf numFmtId="0" fontId="73" fillId="13" borderId="10" xfId="4" applyFont="1" applyFill="1" applyBorder="1" applyAlignment="1">
      <alignment horizontal="left"/>
    </xf>
    <xf numFmtId="0" fontId="73" fillId="13" borderId="95" xfId="4" applyFont="1" applyFill="1" applyBorder="1" applyAlignment="1">
      <alignment horizontal="left"/>
    </xf>
    <xf numFmtId="10" fontId="0" fillId="0" borderId="5" xfId="2" applyNumberFormat="1" applyFont="1" applyBorder="1" applyAlignment="1">
      <alignment horizontal="right"/>
    </xf>
    <xf numFmtId="0" fontId="68" fillId="23" borderId="19" xfId="0" applyFont="1" applyFill="1" applyBorder="1" applyAlignment="1">
      <alignment horizontal="center"/>
    </xf>
    <xf numFmtId="0" fontId="68" fillId="23" borderId="24" xfId="0" applyFont="1" applyFill="1" applyBorder="1" applyAlignment="1">
      <alignment horizontal="center"/>
    </xf>
    <xf numFmtId="0" fontId="68" fillId="23" borderId="20" xfId="0" applyFont="1" applyFill="1" applyBorder="1" applyAlignment="1">
      <alignment horizontal="center"/>
    </xf>
    <xf numFmtId="0" fontId="8" fillId="22" borderId="19" xfId="0" applyFont="1" applyFill="1" applyBorder="1" applyAlignment="1">
      <alignment horizontal="center"/>
    </xf>
    <xf numFmtId="0" fontId="8" fillId="22" borderId="20" xfId="0" applyFont="1" applyFill="1" applyBorder="1" applyAlignment="1">
      <alignment horizontal="center"/>
    </xf>
    <xf numFmtId="0" fontId="0" fillId="22" borderId="25" xfId="0" applyFill="1" applyBorder="1" applyAlignment="1">
      <alignment horizontal="center"/>
    </xf>
    <xf numFmtId="6" fontId="0" fillId="0" borderId="25" xfId="0" applyNumberFormat="1" applyBorder="1" applyAlignment="1">
      <alignment horizontal="center"/>
    </xf>
    <xf numFmtId="0" fontId="0" fillId="0" borderId="0" xfId="0"/>
    <xf numFmtId="0" fontId="0" fillId="0" borderId="94" xfId="0" applyBorder="1" applyAlignment="1">
      <alignment horizontal="left" wrapText="1"/>
    </xf>
    <xf numFmtId="5" fontId="0" fillId="0" borderId="25" xfId="51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10" fontId="0" fillId="0" borderId="25" xfId="0" applyNumberFormat="1" applyBorder="1" applyAlignment="1">
      <alignment horizontal="center"/>
    </xf>
    <xf numFmtId="170" fontId="0" fillId="0" borderId="25" xfId="0" applyNumberFormat="1" applyFill="1" applyBorder="1" applyAlignment="1">
      <alignment horizontal="center"/>
    </xf>
    <xf numFmtId="170" fontId="0" fillId="19" borderId="29" xfId="0" applyNumberFormat="1" applyFill="1" applyBorder="1" applyAlignment="1">
      <alignment horizontal="center"/>
    </xf>
    <xf numFmtId="170" fontId="0" fillId="19" borderId="30" xfId="0" applyNumberFormat="1" applyFill="1" applyBorder="1" applyAlignment="1">
      <alignment horizontal="center"/>
    </xf>
    <xf numFmtId="0" fontId="0" fillId="0" borderId="94" xfId="0" applyBorder="1" applyAlignment="1">
      <alignment horizontal="center" vertical="center" wrapText="1"/>
    </xf>
    <xf numFmtId="0" fontId="0" fillId="0" borderId="29" xfId="0" applyBorder="1" applyAlignment="1">
      <alignment horizontal="left" wrapText="1"/>
    </xf>
    <xf numFmtId="6" fontId="0" fillId="0" borderId="3" xfId="0" applyNumberFormat="1" applyBorder="1" applyAlignment="1">
      <alignment horizontal="center"/>
    </xf>
    <xf numFmtId="6" fontId="0" fillId="0" borderId="6" xfId="0" applyNumberFormat="1" applyBorder="1" applyAlignment="1">
      <alignment horizontal="center"/>
    </xf>
    <xf numFmtId="6" fontId="0" fillId="0" borderId="26" xfId="0" applyNumberFormat="1" applyBorder="1" applyAlignment="1">
      <alignment horizontal="center"/>
    </xf>
    <xf numFmtId="6" fontId="0" fillId="0" borderId="28" xfId="0" applyNumberFormat="1" applyBorder="1" applyAlignment="1">
      <alignment horizontal="center"/>
    </xf>
    <xf numFmtId="0" fontId="0" fillId="0" borderId="94" xfId="0" applyBorder="1" applyAlignment="1">
      <alignment horizontal="center" vertical="center"/>
    </xf>
    <xf numFmtId="5" fontId="0" fillId="0" borderId="29" xfId="51" applyNumberFormat="1" applyFont="1" applyBorder="1" applyAlignment="1">
      <alignment horizontal="center" vertical="center" wrapText="1"/>
    </xf>
    <xf numFmtId="5" fontId="0" fillId="0" borderId="30" xfId="51" applyNumberFormat="1" applyFont="1" applyBorder="1" applyAlignment="1">
      <alignment horizontal="center" vertical="center" wrapText="1"/>
    </xf>
    <xf numFmtId="0" fontId="0" fillId="0" borderId="29" xfId="0" applyBorder="1" applyAlignment="1">
      <alignment horizontal="center"/>
    </xf>
    <xf numFmtId="0" fontId="0" fillId="0" borderId="94" xfId="0" applyBorder="1" applyAlignment="1">
      <alignment horizontal="center"/>
    </xf>
    <xf numFmtId="10" fontId="0" fillId="0" borderId="29" xfId="0" applyNumberFormat="1" applyBorder="1" applyAlignment="1">
      <alignment horizontal="center"/>
    </xf>
    <xf numFmtId="10" fontId="0" fillId="0" borderId="30" xfId="0" applyNumberFormat="1" applyBorder="1" applyAlignment="1">
      <alignment horizontal="center"/>
    </xf>
    <xf numFmtId="170" fontId="0" fillId="0" borderId="29" xfId="0" applyNumberFormat="1" applyFill="1" applyBorder="1" applyAlignment="1">
      <alignment horizontal="center"/>
    </xf>
    <xf numFmtId="170" fontId="0" fillId="0" borderId="30" xfId="0" applyNumberFormat="1" applyFill="1" applyBorder="1" applyAlignment="1">
      <alignment horizontal="center"/>
    </xf>
    <xf numFmtId="0" fontId="0" fillId="0" borderId="2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6" fontId="0" fillId="0" borderId="29" xfId="0" applyNumberFormat="1" applyFill="1" applyBorder="1" applyAlignment="1">
      <alignment horizontal="center" vertical="center"/>
    </xf>
    <xf numFmtId="0" fontId="68" fillId="23" borderId="25" xfId="0" applyFont="1" applyFill="1" applyBorder="1" applyAlignment="1">
      <alignment horizontal="center" vertical="center" wrapText="1"/>
    </xf>
    <xf numFmtId="0" fontId="5" fillId="22" borderId="25" xfId="0" applyFont="1" applyFill="1" applyBorder="1" applyAlignment="1">
      <alignment horizontal="center"/>
    </xf>
    <xf numFmtId="0" fontId="8" fillId="13" borderId="19" xfId="4" applyFont="1" applyFill="1" applyBorder="1" applyAlignment="1">
      <alignment horizontal="left" wrapText="1"/>
    </xf>
    <xf numFmtId="0" fontId="8" fillId="13" borderId="20" xfId="4" applyFont="1" applyFill="1" applyBorder="1" applyAlignment="1">
      <alignment horizontal="left" wrapText="1"/>
    </xf>
    <xf numFmtId="170" fontId="22" fillId="0" borderId="19" xfId="0" applyNumberFormat="1" applyFont="1" applyBorder="1" applyAlignment="1">
      <alignment horizontal="center"/>
    </xf>
    <xf numFmtId="170" fontId="22" fillId="0" borderId="20" xfId="0" applyNumberFormat="1" applyFont="1" applyBorder="1" applyAlignment="1">
      <alignment horizontal="center"/>
    </xf>
    <xf numFmtId="171" fontId="11" fillId="4" borderId="35" xfId="3" applyNumberFormat="1" applyFont="1" applyBorder="1" applyAlignment="1">
      <alignment horizontal="center" vertical="center"/>
    </xf>
    <xf numFmtId="171" fontId="11" fillId="4" borderId="36" xfId="3" applyNumberFormat="1" applyFont="1" applyBorder="1" applyAlignment="1">
      <alignment horizontal="center" vertical="center"/>
    </xf>
    <xf numFmtId="171" fontId="11" fillId="4" borderId="37" xfId="3" applyNumberFormat="1" applyFont="1" applyBorder="1" applyAlignment="1">
      <alignment horizontal="center" vertical="center"/>
    </xf>
    <xf numFmtId="0" fontId="8" fillId="18" borderId="46" xfId="4" applyFont="1" applyFill="1" applyBorder="1" applyAlignment="1">
      <alignment horizontal="center" vertical="center"/>
    </xf>
    <xf numFmtId="0" fontId="8" fillId="18" borderId="47" xfId="4" applyFont="1" applyFill="1" applyBorder="1" applyAlignment="1">
      <alignment horizontal="center" vertical="center"/>
    </xf>
    <xf numFmtId="10" fontId="6" fillId="0" borderId="24" xfId="4" applyNumberFormat="1" applyBorder="1" applyAlignment="1">
      <alignment horizontal="center"/>
    </xf>
    <xf numFmtId="0" fontId="6" fillId="0" borderId="24" xfId="4" applyBorder="1" applyAlignment="1">
      <alignment horizontal="center"/>
    </xf>
    <xf numFmtId="0" fontId="0" fillId="0" borderId="69" xfId="0" applyBorder="1" applyAlignment="1">
      <alignment horizontal="center" wrapText="1"/>
    </xf>
    <xf numFmtId="0" fontId="0" fillId="0" borderId="70" xfId="0" applyBorder="1" applyAlignment="1">
      <alignment horizontal="center" wrapText="1"/>
    </xf>
    <xf numFmtId="0" fontId="0" fillId="0" borderId="71" xfId="0" applyBorder="1" applyAlignment="1">
      <alignment horizontal="center" wrapText="1"/>
    </xf>
    <xf numFmtId="0" fontId="8" fillId="13" borderId="19" xfId="4" applyFont="1" applyFill="1" applyBorder="1" applyAlignment="1">
      <alignment horizontal="center"/>
    </xf>
    <xf numFmtId="0" fontId="8" fillId="13" borderId="20" xfId="4" applyFont="1" applyFill="1" applyBorder="1" applyAlignment="1">
      <alignment horizontal="center"/>
    </xf>
    <xf numFmtId="10" fontId="8" fillId="0" borderId="24" xfId="2" applyNumberFormat="1" applyFont="1" applyBorder="1" applyAlignment="1">
      <alignment horizontal="center"/>
    </xf>
    <xf numFmtId="0" fontId="6" fillId="18" borderId="34" xfId="4" applyFill="1" applyBorder="1" applyAlignment="1">
      <alignment horizontal="center" vertical="center"/>
    </xf>
    <xf numFmtId="0" fontId="6" fillId="18" borderId="24" xfId="4" applyFill="1" applyBorder="1" applyAlignment="1">
      <alignment horizontal="center" vertical="center"/>
    </xf>
    <xf numFmtId="0" fontId="6" fillId="18" borderId="42" xfId="4" applyFill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/>
    </xf>
    <xf numFmtId="171" fontId="11" fillId="4" borderId="65" xfId="3" applyNumberFormat="1" applyFont="1" applyBorder="1" applyAlignment="1">
      <alignment horizontal="center" vertical="center"/>
    </xf>
    <xf numFmtId="0" fontId="0" fillId="0" borderId="85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54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55" xfId="0" applyBorder="1" applyAlignment="1">
      <alignment horizontal="center" wrapText="1"/>
    </xf>
    <xf numFmtId="0" fontId="28" fillId="13" borderId="25" xfId="0" applyFont="1" applyFill="1" applyBorder="1" applyAlignment="1">
      <alignment horizontal="center" wrapText="1"/>
    </xf>
    <xf numFmtId="0" fontId="27" fillId="0" borderId="25" xfId="0" applyFont="1" applyBorder="1" applyAlignment="1">
      <alignment horizontal="center"/>
    </xf>
    <xf numFmtId="0" fontId="27" fillId="0" borderId="19" xfId="0" applyFont="1" applyBorder="1" applyAlignment="1">
      <alignment horizontal="center"/>
    </xf>
    <xf numFmtId="0" fontId="11" fillId="18" borderId="34" xfId="4" applyFont="1" applyFill="1" applyBorder="1" applyAlignment="1">
      <alignment horizontal="center" vertical="center"/>
    </xf>
    <xf numFmtId="0" fontId="11" fillId="18" borderId="24" xfId="4" applyFont="1" applyFill="1" applyBorder="1" applyAlignment="1">
      <alignment horizontal="center" vertical="center"/>
    </xf>
    <xf numFmtId="0" fontId="11" fillId="18" borderId="42" xfId="4" applyFont="1" applyFill="1" applyBorder="1" applyAlignment="1">
      <alignment horizontal="center" vertical="center"/>
    </xf>
    <xf numFmtId="0" fontId="8" fillId="13" borderId="25" xfId="0" applyFont="1" applyFill="1" applyBorder="1" applyAlignment="1">
      <alignment horizontal="center"/>
    </xf>
    <xf numFmtId="0" fontId="6" fillId="0" borderId="25" xfId="4" applyBorder="1" applyAlignment="1">
      <alignment horizontal="center"/>
    </xf>
    <xf numFmtId="0" fontId="6" fillId="0" borderId="19" xfId="4" applyBorder="1" applyAlignment="1">
      <alignment horizontal="center"/>
    </xf>
    <xf numFmtId="2" fontId="6" fillId="0" borderId="34" xfId="0" applyNumberFormat="1" applyFont="1" applyFill="1" applyBorder="1" applyAlignment="1">
      <alignment horizontal="center"/>
    </xf>
    <xf numFmtId="2" fontId="6" fillId="0" borderId="24" xfId="0" applyNumberFormat="1" applyFont="1" applyFill="1" applyBorder="1" applyAlignment="1">
      <alignment horizontal="center"/>
    </xf>
    <xf numFmtId="0" fontId="34" fillId="17" borderId="38" xfId="0" applyFont="1" applyFill="1" applyBorder="1" applyAlignment="1">
      <alignment horizontal="center"/>
    </xf>
    <xf numFmtId="0" fontId="34" fillId="17" borderId="25" xfId="0" applyFont="1" applyFill="1" applyBorder="1" applyAlignment="1">
      <alignment horizontal="center"/>
    </xf>
    <xf numFmtId="0" fontId="8" fillId="13" borderId="24" xfId="4" applyFont="1" applyFill="1" applyBorder="1" applyAlignment="1">
      <alignment horizontal="center"/>
    </xf>
    <xf numFmtId="10" fontId="16" fillId="0" borderId="25" xfId="4" applyNumberFormat="1" applyFont="1" applyBorder="1" applyAlignment="1">
      <alignment horizontal="center"/>
    </xf>
    <xf numFmtId="0" fontId="16" fillId="0" borderId="25" xfId="4" applyFont="1" applyBorder="1" applyAlignment="1">
      <alignment horizontal="center"/>
    </xf>
    <xf numFmtId="0" fontId="21" fillId="0" borderId="25" xfId="6" applyBorder="1" applyAlignment="1">
      <alignment horizontal="center" wrapText="1"/>
    </xf>
    <xf numFmtId="171" fontId="11" fillId="4" borderId="31" xfId="3" applyNumberFormat="1" applyFont="1" applyBorder="1" applyAlignment="1">
      <alignment horizontal="center" vertical="center"/>
    </xf>
    <xf numFmtId="171" fontId="11" fillId="4" borderId="32" xfId="3" applyNumberFormat="1" applyFont="1" applyBorder="1" applyAlignment="1">
      <alignment horizontal="center" vertical="center"/>
    </xf>
    <xf numFmtId="171" fontId="11" fillId="4" borderId="33" xfId="3" applyNumberFormat="1" applyFont="1" applyBorder="1" applyAlignment="1">
      <alignment horizontal="center" vertical="center"/>
    </xf>
    <xf numFmtId="0" fontId="8" fillId="13" borderId="24" xfId="0" applyFont="1" applyFill="1" applyBorder="1" applyAlignment="1">
      <alignment horizontal="center"/>
    </xf>
    <xf numFmtId="0" fontId="8" fillId="13" borderId="20" xfId="0" applyFont="1" applyFill="1" applyBorder="1" applyAlignment="1">
      <alignment horizontal="center"/>
    </xf>
    <xf numFmtId="10" fontId="17" fillId="0" borderId="25" xfId="2" applyNumberFormat="1" applyFont="1" applyBorder="1" applyAlignment="1">
      <alignment horizontal="center"/>
    </xf>
    <xf numFmtId="0" fontId="21" fillId="0" borderId="19" xfId="6" applyBorder="1" applyAlignment="1">
      <alignment horizontal="center" wrapText="1"/>
    </xf>
    <xf numFmtId="0" fontId="8" fillId="13" borderId="25" xfId="4" applyFont="1" applyFill="1" applyBorder="1" applyAlignment="1">
      <alignment horizontal="left"/>
    </xf>
    <xf numFmtId="0" fontId="26" fillId="13" borderId="20" xfId="0" applyFont="1" applyFill="1" applyBorder="1" applyAlignment="1">
      <alignment horizontal="center" wrapText="1"/>
    </xf>
    <xf numFmtId="0" fontId="26" fillId="13" borderId="25" xfId="0" applyFont="1" applyFill="1" applyBorder="1" applyAlignment="1">
      <alignment horizontal="center" wrapText="1"/>
    </xf>
    <xf numFmtId="10" fontId="16" fillId="0" borderId="25" xfId="11" applyNumberFormat="1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0" xfId="0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10" fontId="15" fillId="0" borderId="19" xfId="0" applyNumberFormat="1" applyFont="1" applyFill="1" applyBorder="1" applyAlignment="1">
      <alignment horizontal="center"/>
    </xf>
    <xf numFmtId="10" fontId="15" fillId="0" borderId="20" xfId="0" applyNumberFormat="1" applyFont="1" applyFill="1" applyBorder="1" applyAlignment="1">
      <alignment horizontal="center"/>
    </xf>
    <xf numFmtId="10" fontId="19" fillId="0" borderId="19" xfId="2" applyNumberFormat="1" applyFont="1" applyBorder="1" applyAlignment="1">
      <alignment horizontal="center" wrapText="1"/>
    </xf>
    <xf numFmtId="10" fontId="19" fillId="0" borderId="20" xfId="2" applyNumberFormat="1" applyFont="1" applyBorder="1" applyAlignment="1">
      <alignment horizontal="center" wrapText="1"/>
    </xf>
    <xf numFmtId="2" fontId="27" fillId="0" borderId="19" xfId="0" applyNumberFormat="1" applyFont="1" applyFill="1" applyBorder="1" applyAlignment="1">
      <alignment horizontal="center"/>
    </xf>
    <xf numFmtId="2" fontId="27" fillId="0" borderId="20" xfId="0" applyNumberFormat="1" applyFont="1" applyFill="1" applyBorder="1" applyAlignment="1">
      <alignment horizontal="center"/>
    </xf>
    <xf numFmtId="0" fontId="26" fillId="13" borderId="25" xfId="0" applyFont="1" applyFill="1" applyBorder="1" applyAlignment="1">
      <alignment horizontal="center"/>
    </xf>
    <xf numFmtId="170" fontId="13" fillId="0" borderId="25" xfId="7" applyNumberFormat="1" applyFont="1" applyFill="1" applyBorder="1" applyAlignment="1">
      <alignment horizontal="center"/>
    </xf>
    <xf numFmtId="2" fontId="27" fillId="0" borderId="25" xfId="0" applyNumberFormat="1" applyFont="1" applyFill="1" applyBorder="1" applyAlignment="1">
      <alignment horizontal="center"/>
    </xf>
    <xf numFmtId="10" fontId="17" fillId="0" borderId="19" xfId="2" applyNumberFormat="1" applyFont="1" applyBorder="1" applyAlignment="1">
      <alignment horizontal="center"/>
    </xf>
    <xf numFmtId="10" fontId="17" fillId="0" borderId="20" xfId="2" applyNumberFormat="1" applyFont="1" applyBorder="1" applyAlignment="1">
      <alignment horizontal="center"/>
    </xf>
    <xf numFmtId="2" fontId="6" fillId="0" borderId="20" xfId="0" applyNumberFormat="1" applyFont="1" applyFill="1" applyBorder="1" applyAlignment="1">
      <alignment horizontal="center"/>
    </xf>
    <xf numFmtId="170" fontId="22" fillId="0" borderId="25" xfId="10" applyNumberFormat="1" applyFont="1" applyBorder="1" applyAlignment="1">
      <alignment horizontal="center"/>
    </xf>
    <xf numFmtId="0" fontId="6" fillId="0" borderId="19" xfId="0" applyFont="1" applyFill="1" applyBorder="1" applyAlignment="1">
      <alignment horizontal="center" wrapText="1"/>
    </xf>
    <xf numFmtId="0" fontId="6" fillId="0" borderId="24" xfId="0" applyFont="1" applyFill="1" applyBorder="1" applyAlignment="1">
      <alignment horizontal="center" wrapText="1"/>
    </xf>
    <xf numFmtId="0" fontId="6" fillId="0" borderId="20" xfId="0" applyFont="1" applyFill="1" applyBorder="1" applyAlignment="1">
      <alignment horizontal="center" wrapText="1"/>
    </xf>
    <xf numFmtId="2" fontId="8" fillId="13" borderId="25" xfId="0" applyNumberFormat="1" applyFont="1" applyFill="1" applyBorder="1" applyAlignment="1">
      <alignment horizontal="center"/>
    </xf>
    <xf numFmtId="170" fontId="13" fillId="0" borderId="19" xfId="1" applyNumberFormat="1" applyFont="1" applyFill="1" applyBorder="1" applyAlignment="1">
      <alignment horizontal="center"/>
    </xf>
    <xf numFmtId="170" fontId="13" fillId="0" borderId="20" xfId="1" applyNumberFormat="1" applyFont="1" applyFill="1" applyBorder="1" applyAlignment="1">
      <alignment horizontal="center"/>
    </xf>
    <xf numFmtId="2" fontId="32" fillId="0" borderId="25" xfId="0" applyNumberFormat="1" applyFont="1" applyFill="1" applyBorder="1" applyAlignment="1">
      <alignment horizontal="center" wrapText="1"/>
    </xf>
    <xf numFmtId="2" fontId="32" fillId="0" borderId="25" xfId="0" applyNumberFormat="1" applyFont="1" applyFill="1" applyBorder="1" applyAlignment="1">
      <alignment horizontal="center"/>
    </xf>
    <xf numFmtId="10" fontId="13" fillId="0" borderId="25" xfId="0" applyNumberFormat="1" applyFont="1" applyFill="1" applyBorder="1" applyAlignment="1">
      <alignment horizontal="center"/>
    </xf>
    <xf numFmtId="0" fontId="6" fillId="0" borderId="25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170" fontId="13" fillId="0" borderId="25" xfId="9" applyNumberFormat="1" applyFont="1" applyFill="1" applyBorder="1" applyAlignment="1">
      <alignment horizontal="center"/>
    </xf>
    <xf numFmtId="0" fontId="31" fillId="0" borderId="25" xfId="0" applyFont="1" applyBorder="1" applyAlignment="1">
      <alignment horizontal="center" wrapText="1"/>
    </xf>
    <xf numFmtId="2" fontId="6" fillId="0" borderId="19" xfId="0" applyNumberFormat="1" applyFont="1" applyFill="1" applyBorder="1" applyAlignment="1">
      <alignment horizontal="center"/>
    </xf>
    <xf numFmtId="0" fontId="6" fillId="0" borderId="25" xfId="0" applyFont="1" applyBorder="1" applyAlignment="1">
      <alignment horizontal="center" wrapText="1"/>
    </xf>
    <xf numFmtId="164" fontId="27" fillId="13" borderId="3" xfId="0" applyNumberFormat="1" applyFont="1" applyFill="1" applyBorder="1" applyAlignment="1">
      <alignment horizontal="center" wrapText="1"/>
    </xf>
    <xf numFmtId="164" fontId="27" fillId="13" borderId="4" xfId="0" applyNumberFormat="1" applyFont="1" applyFill="1" applyBorder="1" applyAlignment="1">
      <alignment horizontal="center" wrapText="1"/>
    </xf>
    <xf numFmtId="170" fontId="22" fillId="0" borderId="25" xfId="0" applyNumberFormat="1" applyFont="1" applyBorder="1" applyAlignment="1">
      <alignment horizontal="center"/>
    </xf>
    <xf numFmtId="0" fontId="8" fillId="13" borderId="19" xfId="4" applyFont="1" applyFill="1" applyBorder="1" applyAlignment="1">
      <alignment horizontal="left"/>
    </xf>
    <xf numFmtId="0" fontId="8" fillId="13" borderId="20" xfId="4" applyFont="1" applyFill="1" applyBorder="1" applyAlignment="1">
      <alignment horizontal="left"/>
    </xf>
    <xf numFmtId="0" fontId="6" fillId="0" borderId="19" xfId="4" applyFont="1" applyBorder="1" applyAlignment="1">
      <alignment horizontal="right"/>
    </xf>
    <xf numFmtId="0" fontId="6" fillId="0" borderId="20" xfId="4" applyFont="1" applyBorder="1" applyAlignment="1">
      <alignment horizontal="right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26" xfId="0" applyFont="1" applyFill="1" applyBorder="1" applyAlignment="1">
      <alignment horizontal="center"/>
    </xf>
    <xf numFmtId="0" fontId="6" fillId="0" borderId="27" xfId="0" applyFont="1" applyFill="1" applyBorder="1" applyAlignment="1">
      <alignment horizontal="center"/>
    </xf>
    <xf numFmtId="0" fontId="6" fillId="0" borderId="28" xfId="0" applyFont="1" applyFill="1" applyBorder="1" applyAlignment="1">
      <alignment horizontal="center"/>
    </xf>
    <xf numFmtId="0" fontId="18" fillId="0" borderId="25" xfId="0" applyFont="1" applyBorder="1" applyAlignment="1">
      <alignment horizontal="center" wrapText="1"/>
    </xf>
    <xf numFmtId="2" fontId="17" fillId="0" borderId="25" xfId="0" applyNumberFormat="1" applyFont="1" applyBorder="1" applyAlignment="1">
      <alignment horizontal="center"/>
    </xf>
    <xf numFmtId="0" fontId="17" fillId="0" borderId="25" xfId="0" applyFont="1" applyBorder="1" applyAlignment="1">
      <alignment horizontal="center"/>
    </xf>
    <xf numFmtId="2" fontId="6" fillId="0" borderId="19" xfId="4" applyNumberFormat="1" applyFont="1" applyFill="1" applyBorder="1" applyAlignment="1">
      <alignment horizontal="center"/>
    </xf>
    <xf numFmtId="2" fontId="6" fillId="0" borderId="24" xfId="4" applyNumberFormat="1" applyFont="1" applyFill="1" applyBorder="1" applyAlignment="1">
      <alignment horizontal="center"/>
    </xf>
    <xf numFmtId="0" fontId="8" fillId="13" borderId="25" xfId="0" applyFont="1" applyFill="1" applyBorder="1" applyAlignment="1">
      <alignment horizontal="center" wrapText="1"/>
    </xf>
    <xf numFmtId="0" fontId="8" fillId="13" borderId="19" xfId="0" applyFont="1" applyFill="1" applyBorder="1" applyAlignment="1">
      <alignment horizontal="center"/>
    </xf>
    <xf numFmtId="10" fontId="13" fillId="0" borderId="19" xfId="0" applyNumberFormat="1" applyFont="1" applyFill="1" applyBorder="1" applyAlignment="1">
      <alignment horizontal="center"/>
    </xf>
    <xf numFmtId="10" fontId="13" fillId="0" borderId="20" xfId="0" applyNumberFormat="1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6" fillId="0" borderId="20" xfId="0" applyFont="1" applyFill="1" applyBorder="1" applyAlignment="1">
      <alignment horizontal="center"/>
    </xf>
    <xf numFmtId="0" fontId="10" fillId="13" borderId="25" xfId="0" applyFont="1" applyFill="1" applyBorder="1" applyAlignment="1">
      <alignment horizontal="center" wrapText="1"/>
    </xf>
    <xf numFmtId="170" fontId="13" fillId="0" borderId="25" xfId="0" applyNumberFormat="1" applyFont="1" applyFill="1" applyBorder="1" applyAlignment="1">
      <alignment horizontal="center"/>
    </xf>
    <xf numFmtId="164" fontId="27" fillId="13" borderId="6" xfId="0" applyNumberFormat="1" applyFont="1" applyFill="1" applyBorder="1" applyAlignment="1">
      <alignment horizontal="center" wrapText="1"/>
    </xf>
    <xf numFmtId="164" fontId="27" fillId="13" borderId="19" xfId="0" applyNumberFormat="1" applyFont="1" applyFill="1" applyBorder="1" applyAlignment="1">
      <alignment horizontal="center" wrapText="1"/>
    </xf>
    <xf numFmtId="164" fontId="27" fillId="13" borderId="24" xfId="0" applyNumberFormat="1" applyFont="1" applyFill="1" applyBorder="1" applyAlignment="1">
      <alignment horizontal="center" wrapText="1"/>
    </xf>
    <xf numFmtId="164" fontId="27" fillId="13" borderId="20" xfId="0" applyNumberFormat="1" applyFont="1" applyFill="1" applyBorder="1" applyAlignment="1">
      <alignment horizontal="center" wrapText="1"/>
    </xf>
    <xf numFmtId="164" fontId="27" fillId="0" borderId="19" xfId="0" applyNumberFormat="1" applyFont="1" applyBorder="1" applyAlignment="1">
      <alignment horizontal="center" wrapText="1"/>
    </xf>
    <xf numFmtId="164" fontId="27" fillId="0" borderId="24" xfId="0" applyNumberFormat="1" applyFont="1" applyBorder="1" applyAlignment="1">
      <alignment horizontal="center" wrapText="1"/>
    </xf>
    <xf numFmtId="164" fontId="27" fillId="0" borderId="20" xfId="0" applyNumberFormat="1" applyFont="1" applyBorder="1" applyAlignment="1">
      <alignment horizontal="center" wrapText="1"/>
    </xf>
    <xf numFmtId="164" fontId="8" fillId="0" borderId="25" xfId="0" applyNumberFormat="1" applyFont="1" applyBorder="1" applyAlignment="1">
      <alignment horizontal="center"/>
    </xf>
    <xf numFmtId="2" fontId="16" fillId="14" borderId="25" xfId="0" applyNumberFormat="1" applyFont="1" applyFill="1" applyBorder="1" applyAlignment="1">
      <alignment horizontal="center"/>
    </xf>
    <xf numFmtId="2" fontId="9" fillId="14" borderId="25" xfId="0" applyNumberFormat="1" applyFont="1" applyFill="1" applyBorder="1" applyAlignment="1">
      <alignment horizontal="center"/>
    </xf>
    <xf numFmtId="2" fontId="9" fillId="14" borderId="19" xfId="0" applyNumberFormat="1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164" fontId="8" fillId="0" borderId="25" xfId="0" applyNumberFormat="1" applyFont="1" applyFill="1" applyBorder="1" applyAlignment="1">
      <alignment horizontal="center"/>
    </xf>
    <xf numFmtId="164" fontId="8" fillId="0" borderId="25" xfId="0" applyNumberFormat="1" applyFont="1" applyBorder="1" applyAlignment="1">
      <alignment horizontal="center" wrapText="1"/>
    </xf>
    <xf numFmtId="2" fontId="16" fillId="0" borderId="25" xfId="0" applyNumberFormat="1" applyFont="1" applyFill="1" applyBorder="1" applyAlignment="1">
      <alignment horizontal="center"/>
    </xf>
    <xf numFmtId="164" fontId="27" fillId="13" borderId="25" xfId="0" applyNumberFormat="1" applyFont="1" applyFill="1" applyBorder="1" applyAlignment="1">
      <alignment horizontal="center" wrapText="1"/>
    </xf>
    <xf numFmtId="0" fontId="6" fillId="0" borderId="19" xfId="4" applyFont="1" applyFill="1" applyBorder="1" applyAlignment="1">
      <alignment horizontal="right"/>
    </xf>
    <xf numFmtId="0" fontId="6" fillId="0" borderId="20" xfId="4" applyFont="1" applyFill="1" applyBorder="1" applyAlignment="1">
      <alignment horizontal="right"/>
    </xf>
    <xf numFmtId="164" fontId="8" fillId="0" borderId="19" xfId="0" applyNumberFormat="1" applyFont="1" applyBorder="1" applyAlignment="1">
      <alignment horizontal="center"/>
    </xf>
    <xf numFmtId="164" fontId="8" fillId="0" borderId="24" xfId="0" applyNumberFormat="1" applyFont="1" applyBorder="1" applyAlignment="1">
      <alignment horizontal="center"/>
    </xf>
    <xf numFmtId="164" fontId="8" fillId="0" borderId="20" xfId="0" applyNumberFormat="1" applyFont="1" applyBorder="1" applyAlignment="1">
      <alignment horizontal="center"/>
    </xf>
    <xf numFmtId="164" fontId="8" fillId="13" borderId="25" xfId="0" applyNumberFormat="1" applyFont="1" applyFill="1" applyBorder="1" applyAlignment="1">
      <alignment horizontal="center"/>
    </xf>
    <xf numFmtId="44" fontId="19" fillId="0" borderId="25" xfId="1" applyFont="1" applyBorder="1" applyAlignment="1">
      <alignment horizontal="center"/>
    </xf>
    <xf numFmtId="2" fontId="6" fillId="14" borderId="25" xfId="0" applyNumberFormat="1" applyFont="1" applyFill="1" applyBorder="1" applyAlignment="1">
      <alignment horizontal="center"/>
    </xf>
    <xf numFmtId="2" fontId="6" fillId="0" borderId="25" xfId="0" applyNumberFormat="1" applyFont="1" applyFill="1" applyBorder="1" applyAlignment="1">
      <alignment horizontal="center"/>
    </xf>
    <xf numFmtId="164" fontId="27" fillId="13" borderId="19" xfId="4" applyNumberFormat="1" applyFont="1" applyFill="1" applyBorder="1" applyAlignment="1">
      <alignment horizontal="center" wrapText="1"/>
    </xf>
    <xf numFmtId="164" fontId="27" fillId="13" borderId="24" xfId="4" applyNumberFormat="1" applyFont="1" applyFill="1" applyBorder="1" applyAlignment="1">
      <alignment horizontal="center" wrapText="1"/>
    </xf>
    <xf numFmtId="0" fontId="8" fillId="0" borderId="19" xfId="4" applyFont="1" applyBorder="1" applyAlignment="1">
      <alignment horizontal="center"/>
    </xf>
    <xf numFmtId="0" fontId="8" fillId="0" borderId="20" xfId="4" applyFont="1" applyBorder="1" applyAlignment="1">
      <alignment horizontal="center"/>
    </xf>
    <xf numFmtId="0" fontId="17" fillId="0" borderId="19" xfId="6" applyFont="1" applyBorder="1" applyAlignment="1">
      <alignment horizontal="center"/>
    </xf>
    <xf numFmtId="0" fontId="17" fillId="0" borderId="20" xfId="6" applyFont="1" applyBorder="1" applyAlignment="1">
      <alignment horizontal="center"/>
    </xf>
    <xf numFmtId="164" fontId="26" fillId="0" borderId="25" xfId="0" applyNumberFormat="1" applyFont="1" applyBorder="1" applyAlignment="1">
      <alignment horizontal="center" wrapText="1"/>
    </xf>
    <xf numFmtId="164" fontId="28" fillId="0" borderId="25" xfId="0" applyNumberFormat="1" applyFont="1" applyBorder="1" applyAlignment="1">
      <alignment horizontal="center" wrapText="1"/>
    </xf>
    <xf numFmtId="165" fontId="29" fillId="0" borderId="25" xfId="0" applyNumberFormat="1" applyFont="1" applyFill="1" applyBorder="1" applyAlignment="1">
      <alignment horizontal="center" wrapText="1"/>
    </xf>
    <xf numFmtId="164" fontId="8" fillId="0" borderId="19" xfId="4" applyNumberFormat="1" applyFont="1" applyBorder="1" applyAlignment="1">
      <alignment horizontal="center"/>
    </xf>
    <xf numFmtId="164" fontId="8" fillId="0" borderId="24" xfId="4" applyNumberFormat="1" applyFont="1" applyBorder="1" applyAlignment="1">
      <alignment horizontal="center"/>
    </xf>
    <xf numFmtId="2" fontId="16" fillId="14" borderId="19" xfId="0" applyNumberFormat="1" applyFont="1" applyFill="1" applyBorder="1" applyAlignment="1">
      <alignment horizontal="center"/>
    </xf>
    <xf numFmtId="2" fontId="16" fillId="14" borderId="20" xfId="0" applyNumberFormat="1" applyFont="1" applyFill="1" applyBorder="1" applyAlignment="1">
      <alignment horizontal="center"/>
    </xf>
    <xf numFmtId="2" fontId="6" fillId="14" borderId="24" xfId="0" applyNumberFormat="1" applyFont="1" applyFill="1" applyBorder="1" applyAlignment="1">
      <alignment horizontal="center"/>
    </xf>
    <xf numFmtId="2" fontId="6" fillId="14" borderId="20" xfId="0" applyNumberFormat="1" applyFont="1" applyFill="1" applyBorder="1" applyAlignment="1">
      <alignment horizontal="center"/>
    </xf>
    <xf numFmtId="2" fontId="16" fillId="0" borderId="19" xfId="0" applyNumberFormat="1" applyFont="1" applyFill="1" applyBorder="1" applyAlignment="1">
      <alignment horizontal="center"/>
    </xf>
    <xf numFmtId="2" fontId="16" fillId="0" borderId="20" xfId="0" applyNumberFormat="1" applyFont="1" applyFill="1" applyBorder="1" applyAlignment="1">
      <alignment horizontal="center"/>
    </xf>
    <xf numFmtId="165" fontId="8" fillId="0" borderId="25" xfId="0" applyNumberFormat="1" applyFont="1" applyFill="1" applyBorder="1" applyAlignment="1">
      <alignment horizontal="center" wrapText="1"/>
    </xf>
    <xf numFmtId="169" fontId="6" fillId="0" borderId="19" xfId="0" applyNumberFormat="1" applyFont="1" applyFill="1" applyBorder="1" applyAlignment="1">
      <alignment horizontal="center" wrapText="1"/>
    </xf>
    <xf numFmtId="169" fontId="6" fillId="0" borderId="24" xfId="0" applyNumberFormat="1" applyFont="1" applyFill="1" applyBorder="1" applyAlignment="1">
      <alignment horizontal="center" wrapText="1"/>
    </xf>
    <xf numFmtId="164" fontId="8" fillId="0" borderId="19" xfId="4" applyNumberFormat="1" applyFont="1" applyFill="1" applyBorder="1" applyAlignment="1">
      <alignment horizontal="left"/>
    </xf>
    <xf numFmtId="164" fontId="8" fillId="0" borderId="20" xfId="4" applyNumberFormat="1" applyFont="1" applyFill="1" applyBorder="1" applyAlignment="1">
      <alignment horizontal="left"/>
    </xf>
    <xf numFmtId="164" fontId="8" fillId="0" borderId="19" xfId="4" applyNumberFormat="1" applyFont="1" applyBorder="1" applyAlignment="1">
      <alignment horizontal="left"/>
    </xf>
    <xf numFmtId="164" fontId="8" fillId="0" borderId="20" xfId="4" applyNumberFormat="1" applyFont="1" applyBorder="1" applyAlignment="1">
      <alignment horizontal="left"/>
    </xf>
    <xf numFmtId="164" fontId="8" fillId="0" borderId="19" xfId="0" applyNumberFormat="1" applyFont="1" applyFill="1" applyBorder="1" applyAlignment="1">
      <alignment horizontal="center"/>
    </xf>
    <xf numFmtId="164" fontId="8" fillId="0" borderId="20" xfId="0" applyNumberFormat="1" applyFont="1" applyFill="1" applyBorder="1" applyAlignment="1">
      <alignment horizontal="center"/>
    </xf>
    <xf numFmtId="2" fontId="6" fillId="0" borderId="19" xfId="0" applyNumberFormat="1" applyFont="1" applyFill="1" applyBorder="1" applyAlignment="1">
      <alignment horizontal="left" wrapText="1"/>
    </xf>
    <xf numFmtId="2" fontId="6" fillId="0" borderId="20" xfId="0" applyNumberFormat="1" applyFont="1" applyFill="1" applyBorder="1" applyAlignment="1">
      <alignment horizontal="left" wrapText="1"/>
    </xf>
    <xf numFmtId="164" fontId="8" fillId="0" borderId="25" xfId="0" applyNumberFormat="1" applyFont="1" applyFill="1" applyBorder="1" applyAlignment="1">
      <alignment horizontal="center" wrapText="1"/>
    </xf>
    <xf numFmtId="165" fontId="26" fillId="0" borderId="19" xfId="4" applyNumberFormat="1" applyFont="1" applyFill="1" applyBorder="1" applyAlignment="1">
      <alignment horizontal="center"/>
    </xf>
    <xf numFmtId="165" fontId="26" fillId="0" borderId="20" xfId="4" applyNumberFormat="1" applyFont="1" applyFill="1" applyBorder="1" applyAlignment="1">
      <alignment horizontal="center"/>
    </xf>
    <xf numFmtId="169" fontId="6" fillId="0" borderId="20" xfId="0" applyNumberFormat="1" applyFont="1" applyFill="1" applyBorder="1" applyAlignment="1">
      <alignment horizontal="center" wrapText="1"/>
    </xf>
    <xf numFmtId="2" fontId="17" fillId="14" borderId="19" xfId="0" applyNumberFormat="1" applyFont="1" applyFill="1" applyBorder="1" applyAlignment="1">
      <alignment horizontal="center"/>
    </xf>
    <xf numFmtId="2" fontId="17" fillId="14" borderId="20" xfId="0" applyNumberFormat="1" applyFont="1" applyFill="1" applyBorder="1" applyAlignment="1">
      <alignment horizontal="center"/>
    </xf>
    <xf numFmtId="1" fontId="12" fillId="13" borderId="19" xfId="0" applyNumberFormat="1" applyFont="1" applyFill="1" applyBorder="1" applyAlignment="1">
      <alignment horizontal="center"/>
    </xf>
    <xf numFmtId="1" fontId="12" fillId="13" borderId="24" xfId="0" applyNumberFormat="1" applyFont="1" applyFill="1" applyBorder="1" applyAlignment="1">
      <alignment horizontal="center"/>
    </xf>
    <xf numFmtId="0" fontId="18" fillId="0" borderId="29" xfId="0" applyFont="1" applyBorder="1" applyAlignment="1">
      <alignment horizontal="center" wrapText="1"/>
    </xf>
    <xf numFmtId="168" fontId="13" fillId="0" borderId="29" xfId="1" applyNumberFormat="1" applyFont="1" applyBorder="1" applyAlignment="1">
      <alignment horizontal="center"/>
    </xf>
    <xf numFmtId="0" fontId="6" fillId="0" borderId="25" xfId="4" applyFont="1" applyBorder="1" applyAlignment="1">
      <alignment horizontal="center"/>
    </xf>
    <xf numFmtId="0" fontId="6" fillId="0" borderId="19" xfId="4" applyFont="1" applyBorder="1" applyAlignment="1">
      <alignment horizontal="center"/>
    </xf>
    <xf numFmtId="164" fontId="8" fillId="13" borderId="19" xfId="0" applyNumberFormat="1" applyFont="1" applyFill="1" applyBorder="1" applyAlignment="1">
      <alignment horizontal="center"/>
    </xf>
    <xf numFmtId="164" fontId="8" fillId="13" borderId="24" xfId="0" applyNumberFormat="1" applyFont="1" applyFill="1" applyBorder="1" applyAlignment="1">
      <alignment horizontal="center"/>
    </xf>
    <xf numFmtId="164" fontId="8" fillId="13" borderId="20" xfId="0" applyNumberFormat="1" applyFont="1" applyFill="1" applyBorder="1" applyAlignment="1">
      <alignment horizontal="center"/>
    </xf>
    <xf numFmtId="2" fontId="16" fillId="15" borderId="25" xfId="0" applyNumberFormat="1" applyFont="1" applyFill="1" applyBorder="1" applyAlignment="1">
      <alignment horizontal="center"/>
    </xf>
    <xf numFmtId="169" fontId="16" fillId="14" borderId="25" xfId="0" applyNumberFormat="1" applyFont="1" applyFill="1" applyBorder="1" applyAlignment="1">
      <alignment horizontal="center"/>
    </xf>
    <xf numFmtId="168" fontId="13" fillId="0" borderId="25" xfId="7" applyNumberFormat="1" applyFont="1" applyBorder="1" applyAlignment="1">
      <alignment horizontal="center"/>
    </xf>
    <xf numFmtId="1" fontId="9" fillId="0" borderId="25" xfId="0" applyNumberFormat="1" applyFont="1" applyBorder="1" applyAlignment="1">
      <alignment horizontal="center" wrapText="1"/>
    </xf>
    <xf numFmtId="16" fontId="8" fillId="13" borderId="27" xfId="0" applyNumberFormat="1" applyFont="1" applyFill="1" applyBorder="1" applyAlignment="1">
      <alignment horizontal="center"/>
    </xf>
    <xf numFmtId="168" fontId="13" fillId="0" borderId="25" xfId="1" applyNumberFormat="1" applyFont="1" applyBorder="1" applyAlignment="1">
      <alignment horizontal="center"/>
    </xf>
    <xf numFmtId="0" fontId="8" fillId="0" borderId="25" xfId="4" applyFont="1" applyBorder="1" applyAlignment="1">
      <alignment horizontal="center" wrapText="1"/>
    </xf>
    <xf numFmtId="168" fontId="22" fillId="0" borderId="25" xfId="0" applyNumberFormat="1" applyFont="1" applyBorder="1" applyAlignment="1">
      <alignment horizontal="center"/>
    </xf>
    <xf numFmtId="0" fontId="14" fillId="0" borderId="19" xfId="0" applyFont="1" applyBorder="1" applyAlignment="1">
      <alignment horizontal="center" wrapText="1"/>
    </xf>
    <xf numFmtId="0" fontId="14" fillId="0" borderId="20" xfId="0" applyFont="1" applyBorder="1" applyAlignment="1">
      <alignment horizontal="center" wrapText="1"/>
    </xf>
    <xf numFmtId="0" fontId="8" fillId="0" borderId="25" xfId="4" applyFont="1" applyBorder="1" applyAlignment="1">
      <alignment horizontal="center"/>
    </xf>
    <xf numFmtId="168" fontId="13" fillId="0" borderId="19" xfId="1" applyNumberFormat="1" applyFont="1" applyBorder="1" applyAlignment="1">
      <alignment horizontal="center"/>
    </xf>
    <xf numFmtId="168" fontId="13" fillId="0" borderId="20" xfId="1" applyNumberFormat="1" applyFont="1" applyBorder="1" applyAlignment="1">
      <alignment horizontal="center"/>
    </xf>
    <xf numFmtId="1" fontId="9" fillId="0" borderId="19" xfId="0" applyNumberFormat="1" applyFont="1" applyBorder="1" applyAlignment="1">
      <alignment horizontal="center" wrapText="1"/>
    </xf>
    <xf numFmtId="1" fontId="9" fillId="0" borderId="20" xfId="0" applyNumberFormat="1" applyFont="1" applyBorder="1" applyAlignment="1">
      <alignment horizontal="center" wrapText="1"/>
    </xf>
    <xf numFmtId="0" fontId="18" fillId="0" borderId="25" xfId="0" applyFont="1" applyBorder="1" applyAlignment="1">
      <alignment horizontal="center"/>
    </xf>
    <xf numFmtId="0" fontId="14" fillId="0" borderId="25" xfId="0" applyFont="1" applyBorder="1" applyAlignment="1">
      <alignment horizontal="center"/>
    </xf>
    <xf numFmtId="164" fontId="13" fillId="0" borderId="25" xfId="0" applyNumberFormat="1" applyFont="1" applyFill="1" applyBorder="1" applyAlignment="1">
      <alignment horizontal="center"/>
    </xf>
    <xf numFmtId="0" fontId="6" fillId="0" borderId="25" xfId="0" applyFont="1" applyFill="1" applyBorder="1" applyAlignment="1">
      <alignment horizontal="center" wrapText="1"/>
    </xf>
    <xf numFmtId="1" fontId="12" fillId="13" borderId="19" xfId="4" applyNumberFormat="1" applyFont="1" applyFill="1" applyBorder="1" applyAlignment="1">
      <alignment horizontal="center"/>
    </xf>
    <xf numFmtId="1" fontId="12" fillId="13" borderId="24" xfId="4" applyNumberFormat="1" applyFont="1" applyFill="1" applyBorder="1" applyAlignment="1">
      <alignment horizontal="center"/>
    </xf>
    <xf numFmtId="164" fontId="13" fillId="0" borderId="19" xfId="0" applyNumberFormat="1" applyFont="1" applyFill="1" applyBorder="1" applyAlignment="1">
      <alignment horizontal="center"/>
    </xf>
    <xf numFmtId="164" fontId="13" fillId="0" borderId="20" xfId="0" applyNumberFormat="1" applyFont="1" applyFill="1" applyBorder="1" applyAlignment="1">
      <alignment horizontal="center"/>
    </xf>
    <xf numFmtId="164" fontId="13" fillId="0" borderId="19" xfId="4" applyNumberFormat="1" applyFont="1" applyFill="1" applyBorder="1" applyAlignment="1">
      <alignment horizontal="center"/>
    </xf>
    <xf numFmtId="164" fontId="13" fillId="0" borderId="20" xfId="4" applyNumberFormat="1" applyFont="1" applyFill="1" applyBorder="1" applyAlignment="1">
      <alignment horizontal="center"/>
    </xf>
    <xf numFmtId="0" fontId="6" fillId="0" borderId="19" xfId="0" applyFont="1" applyBorder="1" applyAlignment="1">
      <alignment horizontal="center" wrapText="1"/>
    </xf>
    <xf numFmtId="165" fontId="8" fillId="0" borderId="19" xfId="4" applyNumberFormat="1" applyFont="1" applyFill="1" applyBorder="1" applyAlignment="1">
      <alignment horizontal="left" wrapText="1"/>
    </xf>
    <xf numFmtId="165" fontId="8" fillId="0" borderId="20" xfId="4" applyNumberFormat="1" applyFont="1" applyFill="1" applyBorder="1" applyAlignment="1">
      <alignment horizontal="left" wrapText="1"/>
    </xf>
    <xf numFmtId="0" fontId="11" fillId="4" borderId="52" xfId="3" applyFont="1" applyBorder="1" applyAlignment="1">
      <alignment horizontal="center"/>
    </xf>
    <xf numFmtId="0" fontId="11" fillId="4" borderId="11" xfId="3" applyFont="1" applyBorder="1" applyAlignment="1">
      <alignment horizontal="center"/>
    </xf>
    <xf numFmtId="0" fontId="11" fillId="4" borderId="53" xfId="3" applyFont="1" applyBorder="1" applyAlignment="1">
      <alignment horizontal="center"/>
    </xf>
    <xf numFmtId="164" fontId="12" fillId="13" borderId="19" xfId="0" applyNumberFormat="1" applyFont="1" applyFill="1" applyBorder="1" applyAlignment="1">
      <alignment horizontal="center"/>
    </xf>
    <xf numFmtId="164" fontId="12" fillId="13" borderId="24" xfId="0" applyNumberFormat="1" applyFont="1" applyFill="1" applyBorder="1" applyAlignment="1">
      <alignment horizontal="center"/>
    </xf>
    <xf numFmtId="164" fontId="12" fillId="13" borderId="20" xfId="0" applyNumberFormat="1" applyFont="1" applyFill="1" applyBorder="1" applyAlignment="1">
      <alignment horizontal="center"/>
    </xf>
    <xf numFmtId="164" fontId="12" fillId="0" borderId="15" xfId="0" applyNumberFormat="1" applyFont="1" applyBorder="1" applyAlignment="1">
      <alignment horizontal="center"/>
    </xf>
    <xf numFmtId="164" fontId="12" fillId="0" borderId="8" xfId="0" applyNumberFormat="1" applyFont="1" applyBorder="1" applyAlignment="1">
      <alignment horizontal="center"/>
    </xf>
    <xf numFmtId="164" fontId="12" fillId="0" borderId="12" xfId="0" applyNumberFormat="1" applyFont="1" applyBorder="1" applyAlignment="1">
      <alignment horizontal="center"/>
    </xf>
    <xf numFmtId="164" fontId="8" fillId="0" borderId="24" xfId="0" applyNumberFormat="1" applyFont="1" applyFill="1" applyBorder="1" applyAlignment="1">
      <alignment horizontal="center"/>
    </xf>
    <xf numFmtId="164" fontId="8" fillId="13" borderId="3" xfId="0" applyNumberFormat="1" applyFont="1" applyFill="1" applyBorder="1" applyAlignment="1">
      <alignment horizontal="center"/>
    </xf>
    <xf numFmtId="164" fontId="8" fillId="13" borderId="4" xfId="0" applyNumberFormat="1" applyFont="1" applyFill="1" applyBorder="1" applyAlignment="1">
      <alignment horizontal="center"/>
    </xf>
    <xf numFmtId="164" fontId="8" fillId="13" borderId="6" xfId="0" applyNumberFormat="1" applyFont="1" applyFill="1" applyBorder="1" applyAlignment="1">
      <alignment horizontal="center"/>
    </xf>
    <xf numFmtId="164" fontId="8" fillId="13" borderId="9" xfId="0" applyNumberFormat="1" applyFont="1" applyFill="1" applyBorder="1" applyAlignment="1">
      <alignment horizontal="center"/>
    </xf>
    <xf numFmtId="164" fontId="8" fillId="13" borderId="10" xfId="0" applyNumberFormat="1" applyFont="1" applyFill="1" applyBorder="1" applyAlignment="1">
      <alignment horizontal="center"/>
    </xf>
    <xf numFmtId="164" fontId="8" fillId="13" borderId="18" xfId="0" applyNumberFormat="1" applyFont="1" applyFill="1" applyBorder="1" applyAlignment="1">
      <alignment horizontal="center"/>
    </xf>
    <xf numFmtId="164" fontId="12" fillId="0" borderId="21" xfId="0" applyNumberFormat="1" applyFont="1" applyBorder="1" applyAlignment="1">
      <alignment horizontal="center"/>
    </xf>
    <xf numFmtId="164" fontId="12" fillId="0" borderId="16" xfId="0" applyNumberFormat="1" applyFont="1" applyBorder="1" applyAlignment="1">
      <alignment horizontal="center"/>
    </xf>
    <xf numFmtId="164" fontId="12" fillId="0" borderId="22" xfId="0" applyNumberFormat="1" applyFont="1" applyBorder="1" applyAlignment="1">
      <alignment horizontal="center"/>
    </xf>
    <xf numFmtId="164" fontId="12" fillId="0" borderId="23" xfId="0" applyNumberFormat="1" applyFont="1" applyBorder="1" applyAlignment="1">
      <alignment horizontal="center"/>
    </xf>
    <xf numFmtId="0" fontId="0" fillId="0" borderId="8" xfId="0" applyBorder="1" applyAlignment="1"/>
    <xf numFmtId="0" fontId="0" fillId="0" borderId="12" xfId="0" applyBorder="1" applyAlignment="1"/>
    <xf numFmtId="164" fontId="8" fillId="13" borderId="3" xfId="4" applyNumberFormat="1" applyFont="1" applyFill="1" applyBorder="1" applyAlignment="1">
      <alignment horizontal="center"/>
    </xf>
    <xf numFmtId="164" fontId="8" fillId="13" borderId="4" xfId="4" applyNumberFormat="1" applyFont="1" applyFill="1" applyBorder="1" applyAlignment="1">
      <alignment horizontal="center"/>
    </xf>
    <xf numFmtId="164" fontId="8" fillId="13" borderId="9" xfId="4" applyNumberFormat="1" applyFont="1" applyFill="1" applyBorder="1" applyAlignment="1">
      <alignment horizontal="center"/>
    </xf>
    <xf numFmtId="164" fontId="8" fillId="13" borderId="10" xfId="4" applyNumberFormat="1" applyFont="1" applyFill="1" applyBorder="1" applyAlignment="1">
      <alignment horizontal="center"/>
    </xf>
    <xf numFmtId="164" fontId="8" fillId="13" borderId="5" xfId="0" applyNumberFormat="1" applyFont="1" applyFill="1" applyBorder="1" applyAlignment="1">
      <alignment horizontal="center"/>
    </xf>
    <xf numFmtId="164" fontId="8" fillId="13" borderId="0" xfId="0" applyNumberFormat="1" applyFont="1" applyFill="1" applyBorder="1" applyAlignment="1">
      <alignment horizontal="center"/>
    </xf>
    <xf numFmtId="164" fontId="8" fillId="13" borderId="13" xfId="0" applyNumberFormat="1" applyFont="1" applyFill="1" applyBorder="1" applyAlignment="1">
      <alignment horizontal="center"/>
    </xf>
    <xf numFmtId="164" fontId="8" fillId="13" borderId="7" xfId="0" applyNumberFormat="1" applyFont="1" applyFill="1" applyBorder="1" applyAlignment="1">
      <alignment horizontal="center"/>
    </xf>
    <xf numFmtId="164" fontId="8" fillId="13" borderId="8" xfId="0" applyNumberFormat="1" applyFont="1" applyFill="1" applyBorder="1" applyAlignment="1">
      <alignment horizontal="center"/>
    </xf>
    <xf numFmtId="164" fontId="8" fillId="13" borderId="14" xfId="0" applyNumberFormat="1" applyFont="1" applyFill="1" applyBorder="1" applyAlignment="1">
      <alignment horizontal="center"/>
    </xf>
    <xf numFmtId="164" fontId="8" fillId="13" borderId="17" xfId="0" applyNumberFormat="1" applyFont="1" applyFill="1" applyBorder="1" applyAlignment="1">
      <alignment horizontal="center"/>
    </xf>
    <xf numFmtId="0" fontId="50" fillId="4" borderId="52" xfId="3" applyFont="1" applyBorder="1" applyAlignment="1">
      <alignment horizontal="center"/>
    </xf>
    <xf numFmtId="0" fontId="50" fillId="4" borderId="11" xfId="3" applyFont="1" applyBorder="1" applyAlignment="1">
      <alignment horizontal="center"/>
    </xf>
    <xf numFmtId="0" fontId="50" fillId="4" borderId="53" xfId="3" applyFont="1" applyBorder="1" applyAlignment="1">
      <alignment horizontal="center"/>
    </xf>
    <xf numFmtId="164" fontId="8" fillId="13" borderId="12" xfId="0" applyNumberFormat="1" applyFont="1" applyFill="1" applyBorder="1" applyAlignment="1">
      <alignment horizontal="center"/>
    </xf>
    <xf numFmtId="0" fontId="11" fillId="4" borderId="86" xfId="3" applyFont="1" applyBorder="1" applyAlignment="1">
      <alignment horizontal="center"/>
    </xf>
    <xf numFmtId="0" fontId="11" fillId="4" borderId="87" xfId="3" applyFont="1" applyBorder="1" applyAlignment="1">
      <alignment horizontal="center"/>
    </xf>
    <xf numFmtId="0" fontId="11" fillId="4" borderId="88" xfId="3" applyFont="1" applyBorder="1" applyAlignment="1">
      <alignment horizontal="center"/>
    </xf>
    <xf numFmtId="0" fontId="0" fillId="18" borderId="25" xfId="0" applyFill="1" applyBorder="1" applyAlignment="1">
      <alignment horizontal="center"/>
    </xf>
    <xf numFmtId="0" fontId="5" fillId="18" borderId="30" xfId="0" applyFont="1" applyFill="1" applyBorder="1" applyAlignment="1">
      <alignment horizontal="center"/>
    </xf>
    <xf numFmtId="10" fontId="11" fillId="0" borderId="30" xfId="0" applyNumberFormat="1" applyFont="1" applyFill="1" applyBorder="1" applyAlignment="1">
      <alignment horizontal="center"/>
    </xf>
    <xf numFmtId="0" fontId="65" fillId="21" borderId="19" xfId="6" applyFont="1" applyFill="1" applyBorder="1" applyAlignment="1">
      <alignment horizontal="center"/>
    </xf>
    <xf numFmtId="0" fontId="65" fillId="21" borderId="20" xfId="6" applyFont="1" applyFill="1" applyBorder="1" applyAlignment="1">
      <alignment horizontal="center"/>
    </xf>
    <xf numFmtId="10" fontId="54" fillId="0" borderId="25" xfId="4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10" fontId="54" fillId="15" borderId="19" xfId="11" applyNumberFormat="1" applyFont="1" applyFill="1" applyBorder="1" applyAlignment="1">
      <alignment horizontal="center"/>
    </xf>
    <xf numFmtId="10" fontId="54" fillId="15" borderId="20" xfId="11" applyNumberFormat="1" applyFont="1" applyFill="1" applyBorder="1" applyAlignment="1">
      <alignment horizontal="center"/>
    </xf>
    <xf numFmtId="0" fontId="5" fillId="0" borderId="25" xfId="0" applyFont="1" applyFill="1" applyBorder="1" applyAlignment="1">
      <alignment horizontal="center"/>
    </xf>
    <xf numFmtId="0" fontId="53" fillId="0" borderId="19" xfId="6" applyFont="1" applyFill="1" applyBorder="1" applyAlignment="1">
      <alignment horizontal="center"/>
    </xf>
    <xf numFmtId="0" fontId="53" fillId="0" borderId="20" xfId="6" applyFont="1" applyFill="1" applyBorder="1" applyAlignment="1">
      <alignment horizontal="center"/>
    </xf>
    <xf numFmtId="0" fontId="51" fillId="0" borderId="19" xfId="6" applyFont="1" applyFill="1" applyBorder="1" applyAlignment="1">
      <alignment horizontal="center" vertical="center"/>
    </xf>
    <xf numFmtId="0" fontId="51" fillId="0" borderId="20" xfId="6" applyFont="1" applyFill="1" applyBorder="1" applyAlignment="1">
      <alignment horizontal="center" vertical="center"/>
    </xf>
    <xf numFmtId="0" fontId="51" fillId="0" borderId="19" xfId="6" applyFont="1" applyFill="1" applyBorder="1" applyAlignment="1">
      <alignment horizontal="center"/>
    </xf>
    <xf numFmtId="0" fontId="51" fillId="0" borderId="20" xfId="6" applyFont="1" applyFill="1" applyBorder="1" applyAlignment="1">
      <alignment horizontal="center"/>
    </xf>
    <xf numFmtId="0" fontId="5" fillId="0" borderId="25" xfId="0" applyFont="1" applyFill="1" applyBorder="1" applyAlignment="1">
      <alignment horizontal="center" wrapText="1"/>
    </xf>
    <xf numFmtId="0" fontId="51" fillId="21" borderId="19" xfId="6" applyFont="1" applyFill="1" applyBorder="1" applyAlignment="1">
      <alignment horizontal="center"/>
    </xf>
    <xf numFmtId="0" fontId="51" fillId="21" borderId="20" xfId="6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51" fillId="21" borderId="19" xfId="6" applyFont="1" applyFill="1" applyBorder="1" applyAlignment="1">
      <alignment horizontal="center" wrapText="1"/>
    </xf>
    <xf numFmtId="0" fontId="51" fillId="21" borderId="20" xfId="6" applyFont="1" applyFill="1" applyBorder="1" applyAlignment="1">
      <alignment horizontal="center" wrapText="1"/>
    </xf>
    <xf numFmtId="0" fontId="56" fillId="0" borderId="25" xfId="0" applyFont="1" applyFill="1" applyBorder="1" applyAlignment="1">
      <alignment horizontal="center"/>
    </xf>
    <xf numFmtId="0" fontId="50" fillId="0" borderId="25" xfId="0" applyFont="1" applyFill="1" applyBorder="1" applyAlignment="1">
      <alignment horizontal="center"/>
    </xf>
    <xf numFmtId="0" fontId="56" fillId="0" borderId="19" xfId="0" applyFont="1" applyFill="1" applyBorder="1" applyAlignment="1">
      <alignment horizontal="center" wrapText="1"/>
    </xf>
    <xf numFmtId="0" fontId="56" fillId="0" borderId="20" xfId="0" applyFont="1" applyFill="1" applyBorder="1" applyAlignment="1">
      <alignment horizontal="center" wrapText="1"/>
    </xf>
    <xf numFmtId="164" fontId="53" fillId="21" borderId="19" xfId="6" applyNumberFormat="1" applyFont="1" applyFill="1" applyBorder="1" applyAlignment="1">
      <alignment horizontal="center"/>
    </xf>
    <xf numFmtId="164" fontId="53" fillId="21" borderId="20" xfId="6" applyNumberFormat="1" applyFont="1" applyFill="1" applyBorder="1" applyAlignment="1">
      <alignment horizontal="center"/>
    </xf>
    <xf numFmtId="164" fontId="53" fillId="0" borderId="25" xfId="6" applyNumberFormat="1" applyFont="1" applyFill="1" applyBorder="1" applyAlignment="1">
      <alignment horizontal="center"/>
    </xf>
    <xf numFmtId="0" fontId="51" fillId="0" borderId="25" xfId="6" applyFont="1" applyFill="1" applyBorder="1" applyAlignment="1">
      <alignment horizontal="center"/>
    </xf>
    <xf numFmtId="0" fontId="51" fillId="0" borderId="25" xfId="10" applyFont="1" applyFill="1" applyBorder="1" applyAlignment="1">
      <alignment horizontal="center" wrapText="1"/>
    </xf>
    <xf numFmtId="0" fontId="53" fillId="0" borderId="25" xfId="6" applyFont="1" applyFill="1" applyBorder="1" applyAlignment="1">
      <alignment horizontal="center"/>
    </xf>
    <xf numFmtId="0" fontId="54" fillId="4" borderId="19" xfId="3" applyFont="1" applyBorder="1" applyAlignment="1">
      <alignment horizontal="center"/>
    </xf>
    <xf numFmtId="0" fontId="54" fillId="4" borderId="24" xfId="3" applyFont="1" applyBorder="1" applyAlignment="1">
      <alignment horizontal="center"/>
    </xf>
    <xf numFmtId="0" fontId="54" fillId="4" borderId="20" xfId="3" applyFont="1" applyBorder="1" applyAlignment="1">
      <alignment horizontal="center"/>
    </xf>
    <xf numFmtId="0" fontId="54" fillId="4" borderId="91" xfId="3" applyFont="1" applyBorder="1" applyAlignment="1">
      <alignment horizontal="center"/>
    </xf>
    <xf numFmtId="0" fontId="54" fillId="4" borderId="92" xfId="3" applyFont="1" applyBorder="1" applyAlignment="1">
      <alignment horizontal="center"/>
    </xf>
    <xf numFmtId="0" fontId="54" fillId="4" borderId="93" xfId="3" applyFont="1" applyBorder="1" applyAlignment="1">
      <alignment horizontal="center"/>
    </xf>
    <xf numFmtId="0" fontId="0" fillId="20" borderId="19" xfId="0" applyFill="1" applyBorder="1" applyAlignment="1">
      <alignment horizontal="center"/>
    </xf>
    <xf numFmtId="0" fontId="0" fillId="20" borderId="24" xfId="0" applyFill="1" applyBorder="1" applyAlignment="1">
      <alignment horizontal="center"/>
    </xf>
    <xf numFmtId="0" fontId="0" fillId="20" borderId="20" xfId="0" applyFill="1" applyBorder="1" applyAlignment="1">
      <alignment horizontal="center"/>
    </xf>
    <xf numFmtId="0" fontId="21" fillId="0" borderId="0" xfId="6" applyBorder="1" applyAlignment="1">
      <alignment horizontal="center"/>
    </xf>
    <xf numFmtId="0" fontId="21" fillId="0" borderId="13" xfId="6" applyBorder="1" applyAlignment="1">
      <alignment horizontal="center"/>
    </xf>
    <xf numFmtId="0" fontId="10" fillId="34" borderId="101" xfId="6" applyFont="1" applyFill="1" applyBorder="1" applyAlignment="1">
      <alignment horizontal="center"/>
    </xf>
    <xf numFmtId="0" fontId="10" fillId="34" borderId="102" xfId="6" applyFont="1" applyFill="1" applyBorder="1" applyAlignment="1">
      <alignment horizontal="center"/>
    </xf>
    <xf numFmtId="0" fontId="10" fillId="34" borderId="47" xfId="6" applyFont="1" applyFill="1" applyBorder="1" applyAlignment="1">
      <alignment horizontal="center"/>
    </xf>
    <xf numFmtId="164" fontId="8" fillId="18" borderId="25" xfId="6" applyNumberFormat="1" applyFont="1" applyFill="1" applyBorder="1" applyAlignment="1">
      <alignment horizontal="center"/>
    </xf>
    <xf numFmtId="0" fontId="86" fillId="0" borderId="0" xfId="6" applyFont="1" applyBorder="1" applyAlignment="1">
      <alignment horizontal="center"/>
    </xf>
    <xf numFmtId="0" fontId="56" fillId="18" borderId="25" xfId="6" applyFont="1" applyFill="1" applyBorder="1" applyAlignment="1">
      <alignment horizontal="center"/>
    </xf>
    <xf numFmtId="0" fontId="8" fillId="0" borderId="5" xfId="6" applyFont="1" applyBorder="1" applyAlignment="1">
      <alignment horizontal="left"/>
    </xf>
    <xf numFmtId="0" fontId="8" fillId="0" borderId="0" xfId="6" applyFont="1" applyBorder="1" applyAlignment="1">
      <alignment horizontal="left"/>
    </xf>
    <xf numFmtId="0" fontId="21" fillId="0" borderId="0" xfId="6" applyAlignment="1">
      <alignment horizontal="center" wrapText="1"/>
    </xf>
    <xf numFmtId="0" fontId="21" fillId="0" borderId="13" xfId="6" applyBorder="1" applyAlignment="1">
      <alignment horizontal="center" wrapText="1"/>
    </xf>
    <xf numFmtId="0" fontId="91" fillId="35" borderId="103" xfId="6" applyFont="1" applyFill="1" applyBorder="1" applyAlignment="1">
      <alignment horizontal="center"/>
    </xf>
    <xf numFmtId="0" fontId="61" fillId="18" borderId="19" xfId="6" applyFont="1" applyFill="1" applyBorder="1" applyAlignment="1">
      <alignment horizontal="center" vertical="center"/>
    </xf>
    <xf numFmtId="0" fontId="61" fillId="18" borderId="20" xfId="6" applyFont="1" applyFill="1" applyBorder="1" applyAlignment="1">
      <alignment horizontal="center" vertical="center"/>
    </xf>
    <xf numFmtId="164" fontId="8" fillId="0" borderId="25" xfId="6" applyNumberFormat="1" applyFont="1" applyBorder="1" applyAlignment="1">
      <alignment horizontal="center"/>
    </xf>
    <xf numFmtId="0" fontId="95" fillId="0" borderId="19" xfId="6" applyFont="1" applyBorder="1" applyAlignment="1">
      <alignment horizontal="center"/>
    </xf>
    <xf numFmtId="0" fontId="95" fillId="0" borderId="20" xfId="6" applyFont="1" applyBorder="1" applyAlignment="1">
      <alignment horizontal="center"/>
    </xf>
    <xf numFmtId="0" fontId="97" fillId="19" borderId="25" xfId="10" applyFont="1" applyFill="1" applyBorder="1" applyAlignment="1">
      <alignment horizontal="center" wrapText="1"/>
    </xf>
    <xf numFmtId="0" fontId="97" fillId="0" borderId="25" xfId="6" applyFont="1" applyBorder="1" applyAlignment="1">
      <alignment horizontal="center"/>
    </xf>
    <xf numFmtId="0" fontId="8" fillId="0" borderId="5" xfId="6" applyFont="1" applyFill="1" applyBorder="1" applyAlignment="1">
      <alignment horizontal="left"/>
    </xf>
    <xf numFmtId="0" fontId="8" fillId="0" borderId="0" xfId="6" applyFont="1" applyFill="1" applyBorder="1" applyAlignment="1">
      <alignment horizontal="left"/>
    </xf>
    <xf numFmtId="164" fontId="8" fillId="18" borderId="19" xfId="6" applyNumberFormat="1" applyFont="1" applyFill="1" applyBorder="1" applyAlignment="1">
      <alignment horizontal="center"/>
    </xf>
    <xf numFmtId="164" fontId="8" fillId="18" borderId="20" xfId="6" applyNumberFormat="1" applyFont="1" applyFill="1" applyBorder="1" applyAlignment="1">
      <alignment horizontal="center"/>
    </xf>
    <xf numFmtId="0" fontId="92" fillId="0" borderId="5" xfId="6" applyFont="1" applyBorder="1" applyAlignment="1">
      <alignment horizontal="left"/>
    </xf>
    <xf numFmtId="0" fontId="92" fillId="0" borderId="0" xfId="6" applyFont="1" applyBorder="1" applyAlignment="1">
      <alignment horizontal="left"/>
    </xf>
    <xf numFmtId="164" fontId="8" fillId="0" borderId="19" xfId="6" applyNumberFormat="1" applyFont="1" applyBorder="1" applyAlignment="1">
      <alignment horizontal="center"/>
    </xf>
    <xf numFmtId="164" fontId="8" fillId="0" borderId="20" xfId="6" applyNumberFormat="1" applyFont="1" applyBorder="1" applyAlignment="1">
      <alignment horizontal="center"/>
    </xf>
    <xf numFmtId="0" fontId="92" fillId="0" borderId="19" xfId="6" applyFont="1" applyBorder="1" applyAlignment="1">
      <alignment horizontal="center"/>
    </xf>
    <xf numFmtId="0" fontId="92" fillId="0" borderId="20" xfId="6" applyFont="1" applyBorder="1" applyAlignment="1">
      <alignment horizontal="center"/>
    </xf>
    <xf numFmtId="0" fontId="8" fillId="0" borderId="19" xfId="6" applyFont="1" applyBorder="1" applyAlignment="1">
      <alignment horizontal="center"/>
    </xf>
    <xf numFmtId="0" fontId="8" fillId="0" borderId="20" xfId="6" applyFont="1" applyBorder="1" applyAlignment="1">
      <alignment horizontal="center"/>
    </xf>
    <xf numFmtId="0" fontId="10" fillId="0" borderId="5" xfId="6" applyFont="1" applyBorder="1" applyAlignment="1">
      <alignment horizontal="left"/>
    </xf>
    <xf numFmtId="0" fontId="10" fillId="0" borderId="0" xfId="6" applyFont="1" applyBorder="1" applyAlignment="1">
      <alignment horizontal="left"/>
    </xf>
    <xf numFmtId="0" fontId="92" fillId="18" borderId="25" xfId="6" applyFont="1" applyFill="1" applyBorder="1" applyAlignment="1">
      <alignment horizontal="center"/>
    </xf>
    <xf numFmtId="164" fontId="8" fillId="19" borderId="19" xfId="6" applyNumberFormat="1" applyFont="1" applyFill="1" applyBorder="1" applyAlignment="1">
      <alignment horizontal="center"/>
    </xf>
    <xf numFmtId="164" fontId="8" fillId="19" borderId="20" xfId="6" applyNumberFormat="1" applyFont="1" applyFill="1" applyBorder="1" applyAlignment="1">
      <alignment horizontal="center"/>
    </xf>
    <xf numFmtId="0" fontId="92" fillId="18" borderId="19" xfId="6" applyFont="1" applyFill="1" applyBorder="1" applyAlignment="1">
      <alignment horizontal="center"/>
    </xf>
    <xf numFmtId="0" fontId="92" fillId="18" borderId="20" xfId="6" applyFont="1" applyFill="1" applyBorder="1" applyAlignment="1">
      <alignment horizontal="center"/>
    </xf>
    <xf numFmtId="0" fontId="92" fillId="0" borderId="19" xfId="6" applyFont="1" applyFill="1" applyBorder="1" applyAlignment="1">
      <alignment horizontal="center"/>
    </xf>
    <xf numFmtId="0" fontId="92" fillId="0" borderId="24" xfId="6" applyFont="1" applyFill="1" applyBorder="1" applyAlignment="1">
      <alignment horizontal="center"/>
    </xf>
    <xf numFmtId="0" fontId="8" fillId="18" borderId="19" xfId="6" applyFont="1" applyFill="1" applyBorder="1" applyAlignment="1">
      <alignment horizontal="center"/>
    </xf>
    <xf numFmtId="0" fontId="8" fillId="18" borderId="20" xfId="6" applyFont="1" applyFill="1" applyBorder="1" applyAlignment="1">
      <alignment horizontal="center"/>
    </xf>
    <xf numFmtId="0" fontId="101" fillId="0" borderId="35" xfId="6" applyFont="1" applyBorder="1" applyAlignment="1">
      <alignment horizontal="center"/>
    </xf>
    <xf numFmtId="0" fontId="101" fillId="0" borderId="37" xfId="6" applyFont="1" applyBorder="1" applyAlignment="1">
      <alignment horizontal="center"/>
    </xf>
    <xf numFmtId="0" fontId="56" fillId="0" borderId="35" xfId="6" applyFont="1" applyBorder="1" applyAlignment="1">
      <alignment horizontal="center"/>
    </xf>
    <xf numFmtId="0" fontId="56" fillId="0" borderId="36" xfId="6" applyFont="1" applyBorder="1" applyAlignment="1">
      <alignment horizontal="center"/>
    </xf>
    <xf numFmtId="0" fontId="56" fillId="0" borderId="37" xfId="6" applyFont="1" applyBorder="1" applyAlignment="1">
      <alignment horizontal="center"/>
    </xf>
    <xf numFmtId="0" fontId="56" fillId="22" borderId="19" xfId="6" applyFont="1" applyFill="1" applyBorder="1" applyAlignment="1">
      <alignment horizontal="center"/>
    </xf>
    <xf numFmtId="0" fontId="56" fillId="22" borderId="24" xfId="6" applyFont="1" applyFill="1" applyBorder="1" applyAlignment="1">
      <alignment horizontal="center"/>
    </xf>
    <xf numFmtId="0" fontId="56" fillId="22" borderId="20" xfId="6" applyFont="1" applyFill="1" applyBorder="1" applyAlignment="1">
      <alignment horizontal="center"/>
    </xf>
    <xf numFmtId="0" fontId="11" fillId="40" borderId="6" xfId="32" applyFont="1" applyFill="1" applyBorder="1" applyAlignment="1">
      <alignment horizontal="center" vertical="center" wrapText="1"/>
    </xf>
    <xf numFmtId="0" fontId="60" fillId="40" borderId="13" xfId="32" applyFont="1" applyFill="1" applyBorder="1" applyAlignment="1">
      <alignment horizontal="center" vertical="center" wrapText="1"/>
    </xf>
    <xf numFmtId="0" fontId="60" fillId="40" borderId="28" xfId="32" applyFont="1" applyFill="1" applyBorder="1" applyAlignment="1">
      <alignment horizontal="center" vertical="center" wrapText="1"/>
    </xf>
    <xf numFmtId="0" fontId="19" fillId="41" borderId="29" xfId="32" applyFont="1" applyFill="1" applyBorder="1" applyAlignment="1">
      <alignment horizontal="center" vertical="center" wrapText="1"/>
    </xf>
    <xf numFmtId="0" fontId="19" fillId="41" borderId="94" xfId="32" applyFill="1" applyBorder="1" applyAlignment="1">
      <alignment horizontal="center" vertical="center" wrapText="1"/>
    </xf>
    <xf numFmtId="0" fontId="19" fillId="41" borderId="30" xfId="32" applyFill="1" applyBorder="1" applyAlignment="1">
      <alignment horizontal="center" vertical="center" wrapText="1"/>
    </xf>
    <xf numFmtId="0" fontId="19" fillId="23" borderId="29" xfId="32" applyFont="1" applyFill="1" applyBorder="1" applyAlignment="1">
      <alignment horizontal="center" vertical="center" wrapText="1"/>
    </xf>
    <xf numFmtId="0" fontId="19" fillId="23" borderId="94" xfId="32" applyFill="1" applyBorder="1" applyAlignment="1">
      <alignment horizontal="center" vertical="center" wrapText="1"/>
    </xf>
    <xf numFmtId="0" fontId="19" fillId="23" borderId="30" xfId="32" applyFill="1" applyBorder="1" applyAlignment="1">
      <alignment horizontal="center" vertical="center" wrapText="1"/>
    </xf>
    <xf numFmtId="0" fontId="0" fillId="20" borderId="7" xfId="0" applyFill="1" applyBorder="1" applyAlignment="1">
      <alignment horizontal="center"/>
    </xf>
    <xf numFmtId="0" fontId="0" fillId="20" borderId="96" xfId="0" applyFill="1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0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170" fontId="0" fillId="0" borderId="8" xfId="0" applyNumberFormat="1" applyBorder="1" applyAlignment="1">
      <alignment horizontal="center" vertical="center"/>
    </xf>
    <xf numFmtId="170" fontId="0" fillId="0" borderId="10" xfId="0" applyNumberFormat="1" applyBorder="1" applyAlignment="1">
      <alignment horizontal="center" vertical="center"/>
    </xf>
    <xf numFmtId="170" fontId="0" fillId="0" borderId="96" xfId="0" applyNumberFormat="1" applyBorder="1" applyAlignment="1">
      <alignment horizontal="center" vertical="center"/>
    </xf>
    <xf numFmtId="170" fontId="0" fillId="0" borderId="95" xfId="0" applyNumberFormat="1" applyBorder="1" applyAlignment="1">
      <alignment horizontal="center" vertical="center"/>
    </xf>
    <xf numFmtId="0" fontId="78" fillId="0" borderId="99" xfId="0" applyFont="1" applyBorder="1" applyAlignment="1">
      <alignment horizontal="center" vertical="center" wrapText="1"/>
    </xf>
    <xf numFmtId="0" fontId="78" fillId="0" borderId="98" xfId="0" applyFont="1" applyBorder="1" applyAlignment="1">
      <alignment horizontal="center" vertical="center" wrapText="1"/>
    </xf>
    <xf numFmtId="0" fontId="77" fillId="0" borderId="99" xfId="0" applyFont="1" applyBorder="1" applyAlignment="1">
      <alignment vertical="center" wrapText="1"/>
    </xf>
    <xf numFmtId="0" fontId="77" fillId="0" borderId="98" xfId="0" applyFont="1" applyBorder="1" applyAlignment="1">
      <alignment vertical="center" wrapText="1"/>
    </xf>
    <xf numFmtId="8" fontId="78" fillId="0" borderId="99" xfId="0" applyNumberFormat="1" applyFont="1" applyBorder="1" applyAlignment="1">
      <alignment horizontal="center" vertical="center" wrapText="1"/>
    </xf>
    <xf numFmtId="8" fontId="78" fillId="0" borderId="98" xfId="0" applyNumberFormat="1" applyFont="1" applyBorder="1" applyAlignment="1">
      <alignment horizontal="center" vertical="center" wrapText="1"/>
    </xf>
    <xf numFmtId="0" fontId="78" fillId="19" borderId="99" xfId="0" applyFont="1" applyFill="1" applyBorder="1" applyAlignment="1">
      <alignment horizontal="center" vertical="center" wrapText="1"/>
    </xf>
    <xf numFmtId="0" fontId="78" fillId="19" borderId="98" xfId="0" applyFont="1" applyFill="1" applyBorder="1" applyAlignment="1">
      <alignment horizontal="center" vertical="center" wrapText="1"/>
    </xf>
    <xf numFmtId="0" fontId="79" fillId="0" borderId="0" xfId="0" applyFont="1" applyAlignment="1">
      <alignment horizontal="center" vertical="center"/>
    </xf>
    <xf numFmtId="15" fontId="79" fillId="0" borderId="10" xfId="0" applyNumberFormat="1" applyFont="1" applyBorder="1" applyAlignment="1">
      <alignment horizontal="center" vertical="center"/>
    </xf>
  </cellXfs>
  <cellStyles count="62">
    <cellStyle name="40% - Accent2 2" xfId="14"/>
    <cellStyle name="40% - Accent5 2" xfId="15"/>
    <cellStyle name="60% - Accent1 2" xfId="16"/>
    <cellStyle name="60% - Accent4 2" xfId="17"/>
    <cellStyle name="60% - Accent5 2" xfId="18"/>
    <cellStyle name="Accent2 2" xfId="19"/>
    <cellStyle name="Accent6 2" xfId="20"/>
    <cellStyle name="Bad" xfId="37" builtinId="27"/>
    <cellStyle name="Bad 2" xfId="21"/>
    <cellStyle name="Bad 3" xfId="22"/>
    <cellStyle name="Check Cell" xfId="61" builtinId="23"/>
    <cellStyle name="Comma" xfId="59" builtinId="3"/>
    <cellStyle name="Comma [0] 2" xfId="23"/>
    <cellStyle name="Comma 2" xfId="24"/>
    <cellStyle name="Comma 2 2" xfId="25"/>
    <cellStyle name="Comma 2 3" xfId="50"/>
    <cellStyle name="Comma 3" xfId="26"/>
    <cellStyle name="Comma 3 2" xfId="41"/>
    <cellStyle name="Comma 4" xfId="27"/>
    <cellStyle name="Comma 5" xfId="42"/>
    <cellStyle name="Comma 6" xfId="43"/>
    <cellStyle name="Currency" xfId="1" builtinId="4"/>
    <cellStyle name="Currency 2" xfId="7"/>
    <cellStyle name="Currency 2 2" xfId="28"/>
    <cellStyle name="Currency 2 2 2" xfId="39"/>
    <cellStyle name="Currency 3" xfId="9"/>
    <cellStyle name="Currency 3 2" xfId="44"/>
    <cellStyle name="Currency 4" xfId="8"/>
    <cellStyle name="Currency 4 2" xfId="29"/>
    <cellStyle name="Currency 4 2 2" xfId="51"/>
    <cellStyle name="Currency 5" xfId="30"/>
    <cellStyle name="Currency 5 2" xfId="45"/>
    <cellStyle name="Currency 6" xfId="38"/>
    <cellStyle name="Currency 7" xfId="52"/>
    <cellStyle name="Good" xfId="60" builtinId="26"/>
    <cellStyle name="Good 2" xfId="31"/>
    <cellStyle name="Input" xfId="3" builtinId="20"/>
    <cellStyle name="Normal" xfId="0" builtinId="0"/>
    <cellStyle name="Normal 2" xfId="4"/>
    <cellStyle name="Normal 2 2" xfId="6"/>
    <cellStyle name="Normal 2 2 2" xfId="5"/>
    <cellStyle name="Normal 2 3" xfId="32"/>
    <cellStyle name="Normal 3" xfId="13"/>
    <cellStyle name="Normal 3 2" xfId="46"/>
    <cellStyle name="Normal 4" xfId="10"/>
    <cellStyle name="Normal 4 2" xfId="47"/>
    <cellStyle name="Normal 4 3" xfId="53"/>
    <cellStyle name="Normal 5" xfId="48"/>
    <cellStyle name="Normal 6" xfId="49"/>
    <cellStyle name="Normal 6 2" xfId="54"/>
    <cellStyle name="Normal 7" xfId="55"/>
    <cellStyle name="Normal 8" xfId="56"/>
    <cellStyle name="Normal 9" xfId="57"/>
    <cellStyle name="Note 2" xfId="33"/>
    <cellStyle name="Percent" xfId="2" builtinId="5"/>
    <cellStyle name="Percent 2" xfId="12"/>
    <cellStyle name="Percent 2 2" xfId="34"/>
    <cellStyle name="Percent 3" xfId="11"/>
    <cellStyle name="Percent 4" xfId="35"/>
    <cellStyle name="Percent 5" xfId="36"/>
    <cellStyle name="Percent 6" xfId="40"/>
    <cellStyle name="Percent 7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504190</xdr:colOff>
      <xdr:row>22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0" y="708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504190</xdr:colOff>
      <xdr:row>22</xdr:row>
      <xdr:rowOff>0</xdr:rowOff>
    </xdr:from>
    <xdr:ext cx="184731" cy="264560"/>
    <xdr:sp macro="" textlink="">
      <xdr:nvSpPr>
        <xdr:cNvPr id="3" name="TextBox 2"/>
        <xdr:cNvSpPr txBox="1"/>
      </xdr:nvSpPr>
      <xdr:spPr>
        <a:xfrm>
          <a:off x="0" y="708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496570</xdr:colOff>
      <xdr:row>22</xdr:row>
      <xdr:rowOff>0</xdr:rowOff>
    </xdr:from>
    <xdr:ext cx="184731" cy="264560"/>
    <xdr:sp macro="" textlink="">
      <xdr:nvSpPr>
        <xdr:cNvPr id="4" name="TextBox 3"/>
        <xdr:cNvSpPr txBox="1"/>
      </xdr:nvSpPr>
      <xdr:spPr>
        <a:xfrm>
          <a:off x="0" y="708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504190</xdr:colOff>
      <xdr:row>22</xdr:row>
      <xdr:rowOff>0</xdr:rowOff>
    </xdr:from>
    <xdr:ext cx="184731" cy="264560"/>
    <xdr:sp macro="" textlink="">
      <xdr:nvSpPr>
        <xdr:cNvPr id="5" name="TextBox 4"/>
        <xdr:cNvSpPr txBox="1"/>
      </xdr:nvSpPr>
      <xdr:spPr>
        <a:xfrm>
          <a:off x="0" y="708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496570</xdr:colOff>
      <xdr:row>22</xdr:row>
      <xdr:rowOff>0</xdr:rowOff>
    </xdr:from>
    <xdr:ext cx="184731" cy="264560"/>
    <xdr:sp macro="" textlink="">
      <xdr:nvSpPr>
        <xdr:cNvPr id="6" name="TextBox 5"/>
        <xdr:cNvSpPr txBox="1"/>
      </xdr:nvSpPr>
      <xdr:spPr>
        <a:xfrm>
          <a:off x="0" y="708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496570</xdr:colOff>
      <xdr:row>22</xdr:row>
      <xdr:rowOff>0</xdr:rowOff>
    </xdr:from>
    <xdr:ext cx="184731" cy="264560"/>
    <xdr:sp macro="" textlink="">
      <xdr:nvSpPr>
        <xdr:cNvPr id="7" name="TextBox 6"/>
        <xdr:cNvSpPr txBox="1"/>
      </xdr:nvSpPr>
      <xdr:spPr>
        <a:xfrm>
          <a:off x="0" y="708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504190</xdr:colOff>
      <xdr:row>22</xdr:row>
      <xdr:rowOff>0</xdr:rowOff>
    </xdr:from>
    <xdr:ext cx="184731" cy="264560"/>
    <xdr:sp macro="" textlink="">
      <xdr:nvSpPr>
        <xdr:cNvPr id="8" name="TextBox 7"/>
        <xdr:cNvSpPr txBox="1"/>
      </xdr:nvSpPr>
      <xdr:spPr>
        <a:xfrm>
          <a:off x="0" y="708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504190</xdr:colOff>
      <xdr:row>22</xdr:row>
      <xdr:rowOff>0</xdr:rowOff>
    </xdr:from>
    <xdr:ext cx="184731" cy="264560"/>
    <xdr:sp macro="" textlink="">
      <xdr:nvSpPr>
        <xdr:cNvPr id="9" name="TextBox 8"/>
        <xdr:cNvSpPr txBox="1"/>
      </xdr:nvSpPr>
      <xdr:spPr>
        <a:xfrm>
          <a:off x="0" y="708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504190</xdr:colOff>
      <xdr:row>22</xdr:row>
      <xdr:rowOff>0</xdr:rowOff>
    </xdr:from>
    <xdr:ext cx="184731" cy="264560"/>
    <xdr:sp macro="" textlink="">
      <xdr:nvSpPr>
        <xdr:cNvPr id="10" name="TextBox 9"/>
        <xdr:cNvSpPr txBox="1"/>
      </xdr:nvSpPr>
      <xdr:spPr>
        <a:xfrm>
          <a:off x="0" y="708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504190</xdr:colOff>
      <xdr:row>22</xdr:row>
      <xdr:rowOff>0</xdr:rowOff>
    </xdr:from>
    <xdr:ext cx="184731" cy="264560"/>
    <xdr:sp macro="" textlink="">
      <xdr:nvSpPr>
        <xdr:cNvPr id="11" name="TextBox 10"/>
        <xdr:cNvSpPr txBox="1"/>
      </xdr:nvSpPr>
      <xdr:spPr>
        <a:xfrm>
          <a:off x="0" y="708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504190</xdr:colOff>
      <xdr:row>22</xdr:row>
      <xdr:rowOff>0</xdr:rowOff>
    </xdr:from>
    <xdr:ext cx="184731" cy="264560"/>
    <xdr:sp macro="" textlink="">
      <xdr:nvSpPr>
        <xdr:cNvPr id="12" name="TextBox 11"/>
        <xdr:cNvSpPr txBox="1"/>
      </xdr:nvSpPr>
      <xdr:spPr>
        <a:xfrm>
          <a:off x="0" y="708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504190</xdr:colOff>
      <xdr:row>22</xdr:row>
      <xdr:rowOff>0</xdr:rowOff>
    </xdr:from>
    <xdr:ext cx="184731" cy="264560"/>
    <xdr:sp macro="" textlink="">
      <xdr:nvSpPr>
        <xdr:cNvPr id="13" name="TextBox 12"/>
        <xdr:cNvSpPr txBox="1"/>
      </xdr:nvSpPr>
      <xdr:spPr>
        <a:xfrm>
          <a:off x="0" y="708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504190</xdr:colOff>
      <xdr:row>22</xdr:row>
      <xdr:rowOff>0</xdr:rowOff>
    </xdr:from>
    <xdr:ext cx="184731" cy="264560"/>
    <xdr:sp macro="" textlink="">
      <xdr:nvSpPr>
        <xdr:cNvPr id="14" name="TextBox 13"/>
        <xdr:cNvSpPr txBox="1"/>
      </xdr:nvSpPr>
      <xdr:spPr>
        <a:xfrm>
          <a:off x="0" y="708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504190</xdr:colOff>
      <xdr:row>22</xdr:row>
      <xdr:rowOff>0</xdr:rowOff>
    </xdr:from>
    <xdr:ext cx="184731" cy="264560"/>
    <xdr:sp macro="" textlink="">
      <xdr:nvSpPr>
        <xdr:cNvPr id="15" name="TextBox 14"/>
        <xdr:cNvSpPr txBox="1"/>
      </xdr:nvSpPr>
      <xdr:spPr>
        <a:xfrm>
          <a:off x="0" y="708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504190</xdr:colOff>
      <xdr:row>22</xdr:row>
      <xdr:rowOff>0</xdr:rowOff>
    </xdr:from>
    <xdr:ext cx="184731" cy="264560"/>
    <xdr:sp macro="" textlink="">
      <xdr:nvSpPr>
        <xdr:cNvPr id="16" name="TextBox 15"/>
        <xdr:cNvSpPr txBox="1"/>
      </xdr:nvSpPr>
      <xdr:spPr>
        <a:xfrm>
          <a:off x="0" y="708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504190</xdr:colOff>
      <xdr:row>22</xdr:row>
      <xdr:rowOff>0</xdr:rowOff>
    </xdr:from>
    <xdr:ext cx="184731" cy="264560"/>
    <xdr:sp macro="" textlink="">
      <xdr:nvSpPr>
        <xdr:cNvPr id="17" name="TextBox 16"/>
        <xdr:cNvSpPr txBox="1"/>
      </xdr:nvSpPr>
      <xdr:spPr>
        <a:xfrm>
          <a:off x="0" y="708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504190</xdr:colOff>
      <xdr:row>22</xdr:row>
      <xdr:rowOff>0</xdr:rowOff>
    </xdr:from>
    <xdr:ext cx="184731" cy="264560"/>
    <xdr:sp macro="" textlink="">
      <xdr:nvSpPr>
        <xdr:cNvPr id="18" name="TextBox 17"/>
        <xdr:cNvSpPr txBox="1"/>
      </xdr:nvSpPr>
      <xdr:spPr>
        <a:xfrm>
          <a:off x="0" y="708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504190</xdr:colOff>
      <xdr:row>22</xdr:row>
      <xdr:rowOff>0</xdr:rowOff>
    </xdr:from>
    <xdr:ext cx="184731" cy="264560"/>
    <xdr:sp macro="" textlink="">
      <xdr:nvSpPr>
        <xdr:cNvPr id="19" name="TextBox 18"/>
        <xdr:cNvSpPr txBox="1"/>
      </xdr:nvSpPr>
      <xdr:spPr>
        <a:xfrm>
          <a:off x="0" y="708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488950</xdr:colOff>
      <xdr:row>24</xdr:row>
      <xdr:rowOff>0</xdr:rowOff>
    </xdr:from>
    <xdr:ext cx="184731" cy="274009"/>
    <xdr:sp macro="" textlink="">
      <xdr:nvSpPr>
        <xdr:cNvPr id="2" name="TextBox 1"/>
        <xdr:cNvSpPr txBox="1"/>
      </xdr:nvSpPr>
      <xdr:spPr>
        <a:xfrm>
          <a:off x="0" y="714756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488950</xdr:colOff>
      <xdr:row>24</xdr:row>
      <xdr:rowOff>0</xdr:rowOff>
    </xdr:from>
    <xdr:ext cx="184731" cy="274009"/>
    <xdr:sp macro="" textlink="">
      <xdr:nvSpPr>
        <xdr:cNvPr id="3" name="TextBox 2"/>
        <xdr:cNvSpPr txBox="1"/>
      </xdr:nvSpPr>
      <xdr:spPr>
        <a:xfrm>
          <a:off x="0" y="714756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488950</xdr:colOff>
      <xdr:row>24</xdr:row>
      <xdr:rowOff>0</xdr:rowOff>
    </xdr:from>
    <xdr:ext cx="184731" cy="274009"/>
    <xdr:sp macro="" textlink="">
      <xdr:nvSpPr>
        <xdr:cNvPr id="4" name="TextBox 3"/>
        <xdr:cNvSpPr txBox="1"/>
      </xdr:nvSpPr>
      <xdr:spPr>
        <a:xfrm>
          <a:off x="0" y="714756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488950</xdr:colOff>
      <xdr:row>24</xdr:row>
      <xdr:rowOff>0</xdr:rowOff>
    </xdr:from>
    <xdr:ext cx="184731" cy="274009"/>
    <xdr:sp macro="" textlink="">
      <xdr:nvSpPr>
        <xdr:cNvPr id="5" name="TextBox 4"/>
        <xdr:cNvSpPr txBox="1"/>
      </xdr:nvSpPr>
      <xdr:spPr>
        <a:xfrm>
          <a:off x="0" y="714756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488950</xdr:colOff>
      <xdr:row>24</xdr:row>
      <xdr:rowOff>0</xdr:rowOff>
    </xdr:from>
    <xdr:ext cx="184731" cy="274009"/>
    <xdr:sp macro="" textlink="">
      <xdr:nvSpPr>
        <xdr:cNvPr id="6" name="TextBox 5"/>
        <xdr:cNvSpPr txBox="1"/>
      </xdr:nvSpPr>
      <xdr:spPr>
        <a:xfrm>
          <a:off x="0" y="714756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488950</xdr:colOff>
      <xdr:row>24</xdr:row>
      <xdr:rowOff>0</xdr:rowOff>
    </xdr:from>
    <xdr:ext cx="184731" cy="274009"/>
    <xdr:sp macro="" textlink="">
      <xdr:nvSpPr>
        <xdr:cNvPr id="7" name="TextBox 6"/>
        <xdr:cNvSpPr txBox="1"/>
      </xdr:nvSpPr>
      <xdr:spPr>
        <a:xfrm>
          <a:off x="0" y="714756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488950</xdr:colOff>
      <xdr:row>24</xdr:row>
      <xdr:rowOff>0</xdr:rowOff>
    </xdr:from>
    <xdr:ext cx="184731" cy="274009"/>
    <xdr:sp macro="" textlink="">
      <xdr:nvSpPr>
        <xdr:cNvPr id="8" name="TextBox 7"/>
        <xdr:cNvSpPr txBox="1"/>
      </xdr:nvSpPr>
      <xdr:spPr>
        <a:xfrm>
          <a:off x="0" y="714756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488950</xdr:colOff>
      <xdr:row>24</xdr:row>
      <xdr:rowOff>0</xdr:rowOff>
    </xdr:from>
    <xdr:ext cx="184731" cy="274009"/>
    <xdr:sp macro="" textlink="">
      <xdr:nvSpPr>
        <xdr:cNvPr id="9" name="TextBox 8"/>
        <xdr:cNvSpPr txBox="1"/>
      </xdr:nvSpPr>
      <xdr:spPr>
        <a:xfrm>
          <a:off x="0" y="714756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488950</xdr:colOff>
      <xdr:row>24</xdr:row>
      <xdr:rowOff>0</xdr:rowOff>
    </xdr:from>
    <xdr:ext cx="184731" cy="274009"/>
    <xdr:sp macro="" textlink="">
      <xdr:nvSpPr>
        <xdr:cNvPr id="10" name="TextBox 9"/>
        <xdr:cNvSpPr txBox="1"/>
      </xdr:nvSpPr>
      <xdr:spPr>
        <a:xfrm>
          <a:off x="0" y="714756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488950</xdr:colOff>
      <xdr:row>24</xdr:row>
      <xdr:rowOff>0</xdr:rowOff>
    </xdr:from>
    <xdr:ext cx="184731" cy="274009"/>
    <xdr:sp macro="" textlink="">
      <xdr:nvSpPr>
        <xdr:cNvPr id="11" name="TextBox 10"/>
        <xdr:cNvSpPr txBox="1"/>
      </xdr:nvSpPr>
      <xdr:spPr>
        <a:xfrm>
          <a:off x="0" y="714756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488950</xdr:colOff>
      <xdr:row>24</xdr:row>
      <xdr:rowOff>0</xdr:rowOff>
    </xdr:from>
    <xdr:ext cx="184731" cy="274009"/>
    <xdr:sp macro="" textlink="">
      <xdr:nvSpPr>
        <xdr:cNvPr id="12" name="TextBox 11"/>
        <xdr:cNvSpPr txBox="1"/>
      </xdr:nvSpPr>
      <xdr:spPr>
        <a:xfrm>
          <a:off x="0" y="714756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488950</xdr:colOff>
      <xdr:row>24</xdr:row>
      <xdr:rowOff>0</xdr:rowOff>
    </xdr:from>
    <xdr:ext cx="184731" cy="274009"/>
    <xdr:sp macro="" textlink="">
      <xdr:nvSpPr>
        <xdr:cNvPr id="13" name="TextBox 12"/>
        <xdr:cNvSpPr txBox="1"/>
      </xdr:nvSpPr>
      <xdr:spPr>
        <a:xfrm>
          <a:off x="0" y="714756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488950</xdr:colOff>
      <xdr:row>24</xdr:row>
      <xdr:rowOff>0</xdr:rowOff>
    </xdr:from>
    <xdr:ext cx="184731" cy="274009"/>
    <xdr:sp macro="" textlink="">
      <xdr:nvSpPr>
        <xdr:cNvPr id="14" name="TextBox 13"/>
        <xdr:cNvSpPr txBox="1"/>
      </xdr:nvSpPr>
      <xdr:spPr>
        <a:xfrm>
          <a:off x="0" y="714756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488950</xdr:colOff>
      <xdr:row>24</xdr:row>
      <xdr:rowOff>0</xdr:rowOff>
    </xdr:from>
    <xdr:ext cx="184731" cy="274009"/>
    <xdr:sp macro="" textlink="">
      <xdr:nvSpPr>
        <xdr:cNvPr id="15" name="TextBox 14"/>
        <xdr:cNvSpPr txBox="1"/>
      </xdr:nvSpPr>
      <xdr:spPr>
        <a:xfrm>
          <a:off x="0" y="714756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488950</xdr:colOff>
      <xdr:row>24</xdr:row>
      <xdr:rowOff>0</xdr:rowOff>
    </xdr:from>
    <xdr:ext cx="184731" cy="274009"/>
    <xdr:sp macro="" textlink="">
      <xdr:nvSpPr>
        <xdr:cNvPr id="16" name="TextBox 15"/>
        <xdr:cNvSpPr txBox="1"/>
      </xdr:nvSpPr>
      <xdr:spPr>
        <a:xfrm>
          <a:off x="0" y="714756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>
    <xdr:from>
      <xdr:col>18</xdr:col>
      <xdr:colOff>280458</xdr:colOff>
      <xdr:row>70</xdr:row>
      <xdr:rowOff>100541</xdr:rowOff>
    </xdr:from>
    <xdr:to>
      <xdr:col>35</xdr:col>
      <xdr:colOff>0</xdr:colOff>
      <xdr:row>78</xdr:row>
      <xdr:rowOff>174625</xdr:rowOff>
    </xdr:to>
    <xdr:sp macro="" textlink="">
      <xdr:nvSpPr>
        <xdr:cNvPr id="17" name="TextBox 16"/>
        <xdr:cNvSpPr txBox="1"/>
      </xdr:nvSpPr>
      <xdr:spPr>
        <a:xfrm>
          <a:off x="4981998" y="22503341"/>
          <a:ext cx="16110162" cy="2085764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4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This is a single client model budget break out. This is included in the spread sheet because calculations for the master look up table are linked to these tables. </a:t>
          </a:r>
        </a:p>
      </xdr:txBody>
    </xdr:sp>
    <xdr:clientData/>
  </xdr:twoCellAnchor>
  <xdr:oneCellAnchor>
    <xdr:from>
      <xdr:col>9</xdr:col>
      <xdr:colOff>488950</xdr:colOff>
      <xdr:row>24</xdr:row>
      <xdr:rowOff>0</xdr:rowOff>
    </xdr:from>
    <xdr:ext cx="184731" cy="274009"/>
    <xdr:sp macro="" textlink="">
      <xdr:nvSpPr>
        <xdr:cNvPr id="18" name="TextBox 17"/>
        <xdr:cNvSpPr txBox="1"/>
      </xdr:nvSpPr>
      <xdr:spPr>
        <a:xfrm>
          <a:off x="0" y="714756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9</xdr:col>
      <xdr:colOff>488950</xdr:colOff>
      <xdr:row>24</xdr:row>
      <xdr:rowOff>0</xdr:rowOff>
    </xdr:from>
    <xdr:ext cx="184731" cy="274009"/>
    <xdr:sp macro="" textlink="">
      <xdr:nvSpPr>
        <xdr:cNvPr id="19" name="TextBox 18"/>
        <xdr:cNvSpPr txBox="1"/>
      </xdr:nvSpPr>
      <xdr:spPr>
        <a:xfrm>
          <a:off x="0" y="714756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9</xdr:col>
      <xdr:colOff>488950</xdr:colOff>
      <xdr:row>24</xdr:row>
      <xdr:rowOff>0</xdr:rowOff>
    </xdr:from>
    <xdr:ext cx="184731" cy="274009"/>
    <xdr:sp macro="" textlink="">
      <xdr:nvSpPr>
        <xdr:cNvPr id="20" name="TextBox 19"/>
        <xdr:cNvSpPr txBox="1"/>
      </xdr:nvSpPr>
      <xdr:spPr>
        <a:xfrm>
          <a:off x="0" y="714756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>
    <xdr:from>
      <xdr:col>2</xdr:col>
      <xdr:colOff>222250</xdr:colOff>
      <xdr:row>49</xdr:row>
      <xdr:rowOff>243416</xdr:rowOff>
    </xdr:from>
    <xdr:to>
      <xdr:col>4</xdr:col>
      <xdr:colOff>836084</xdr:colOff>
      <xdr:row>51</xdr:row>
      <xdr:rowOff>211666</xdr:rowOff>
    </xdr:to>
    <xdr:sp macro="" textlink="">
      <xdr:nvSpPr>
        <xdr:cNvPr id="21" name="TextBox 20"/>
        <xdr:cNvSpPr txBox="1"/>
      </xdr:nvSpPr>
      <xdr:spPr>
        <a:xfrm>
          <a:off x="0" y="13464116"/>
          <a:ext cx="0" cy="471170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000" b="1" u="sng"/>
            <a:t>Chart A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f06\workgroups\W_Pricing\SubAbuse\2012\Data\Outpatient%20Counseling%20&amp;%20Other%20Related\Counseling%20Rate%20Options%20MARCH%20181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iley/AppData/Local/Microsoft/Windows/Temporary%20Internet%20Files/Content.Outlook/99OJ7751/FOIA%20101%20CMR%2041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on/Administrative%20Services-POS%20Policy%20Office/Rate%20Setting/Rate%20Projects/Placement%20and%20Support%20Services/Rate%20Review%202018/1.%20Strategy%20Materials/DCF/DCF%202018%20Fiscal%20Impac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on/Administrative%20Services-POS%20Policy%20Office/Rate%20Setting/Rate%20Projects/Placement%20and%20Support%20Services/Archive/Copy%20of%20AMSS%20and%20Support%20Tracking%20Sheet%20619201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f06\workgroups\CAO%20Administrative%20Operations\POS%20Policy%20Office\Service%20Class%20Strategy%20Groups\Year%202\Child%20&amp;%20Adol%20Intermed%20Stab\All%20models%20side%20by%20sid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f06\workgroups\Documents%20and%20Settings\KeDriscoll\Local%20Settings\Temporary%20Internet%20Files\OLK7B\Copy%20of%20IFC%20Model%20Budget%20updates%20(LGB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on/Administrative%20Services-POS%20Policy%20Office/Rate%20Setting/Rate%20Projects/Placement%20and%20Support%20Services/Rate%20Review%202018/1.%20Strategy%20Materials/DCF/DCF%20Support%20Model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on/Administrative%20Services-POS%20Policy%20Office/Rate%20Setting/Rate%20Projects/Placement%20and%20Support%20Services/Rate%20Review%202016/1.%20Strategy%20Team%20Materials/Rate%20review%202016%20workbook%206.15.1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on/Administrative%20Services-POS%20Policy%20Office/Rate%20Setting/Rate%20Projects/Placement%20and%20Support%20Services/Archive/Copy%20of%20PAS%20-%20Shared%20Living%20Final%20Rate%20Options%2001232014%201%20pm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on/Administrative%20Services-POS%20Policy%20Office/Rate%20Setting/Rate%20Projects/Placement%20and%20Support%20Services/Rate%20Review%202016/3.%20Proposal,%20Hearing,%20&amp;%20Sign%20Off/For%20Website/PS&amp;S%20FY17%20Review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s OPC031813"/>
      <sheetName val="Family &amp; Group 031813"/>
      <sheetName val="Sxn35_031813"/>
      <sheetName val="Rate Chart"/>
      <sheetName val="Hours0213"/>
      <sheetName val="Sxn35_020513"/>
      <sheetName val="Models OP020513"/>
      <sheetName val="Family &amp; Group 020513"/>
      <sheetName val="DayTx 020513"/>
      <sheetName val="Rec Coaching020513"/>
      <sheetName val="PsychoEd 020513"/>
      <sheetName val="Telephone020513"/>
      <sheetName val="Other ProgExpNOTRAVEL"/>
      <sheetName val="Travel"/>
      <sheetName val="DCI &amp;II"/>
      <sheetName val="Hours122412"/>
      <sheetName val="Hours012913"/>
      <sheetName val="Family &amp; Group 012913"/>
      <sheetName val="Sxn35_122412"/>
      <sheetName val="Models OP122412"/>
      <sheetName val="All Srvs"/>
      <sheetName val="DayTx 012913"/>
      <sheetName val="InHomeTh"/>
      <sheetName val="Rec Coaching"/>
      <sheetName val="PsychoEd"/>
      <sheetName val="Phone Rec"/>
      <sheetName val="Clean3385"/>
      <sheetName val="CatsRevised"/>
      <sheetName val="CAF1012"/>
      <sheetName val="Category Detail"/>
      <sheetName val="Admin3385"/>
      <sheetName val="AdminALL"/>
      <sheetName val="medical FTE3385"/>
      <sheetName val="medicalALL"/>
      <sheetName val="SupportALL"/>
      <sheetName val="Support3385"/>
      <sheetName val="prog mgmtALL"/>
      <sheetName val="prog mgmt3385"/>
      <sheetName val="Occ3385"/>
      <sheetName val="OtherDC3385"/>
      <sheetName val="OtherProgExp3385"/>
      <sheetName val="Clean3397"/>
      <sheetName val="Clean ALL"/>
      <sheetName val="RawDataCalcs"/>
      <sheetName val="new CAF"/>
      <sheetName val="for pres"/>
      <sheetName val="Source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69"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31254.922841553554</v>
          </cell>
          <cell r="AA69">
            <v>33105.937943376768</v>
          </cell>
          <cell r="AB69">
            <v>20741.307122210026</v>
          </cell>
          <cell r="AC69">
            <v>25113.779210245128</v>
          </cell>
          <cell r="AD69">
            <v>88786.823580613331</v>
          </cell>
          <cell r="AE69">
            <v>62810.713447732443</v>
          </cell>
          <cell r="AF69">
            <v>40956.196976734464</v>
          </cell>
          <cell r="AG69">
            <v>17680</v>
          </cell>
          <cell r="AH69">
            <v>25681.000758506118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37793.970923453351</v>
          </cell>
          <cell r="AU69">
            <v>20099.452159556731</v>
          </cell>
          <cell r="AV69">
            <v>20286.405563557739</v>
          </cell>
          <cell r="AW69">
            <v>17680</v>
          </cell>
          <cell r="AX69">
            <v>17680</v>
          </cell>
          <cell r="AY69">
            <v>0</v>
          </cell>
          <cell r="AZ69">
            <v>17680</v>
          </cell>
          <cell r="BA69">
            <v>17680</v>
          </cell>
          <cell r="BB69">
            <v>33977.415363675485</v>
          </cell>
          <cell r="BC69">
            <v>17680</v>
          </cell>
          <cell r="BD69">
            <v>17680</v>
          </cell>
          <cell r="BE69">
            <v>30167.461826569073</v>
          </cell>
          <cell r="BF69">
            <v>17680</v>
          </cell>
          <cell r="BG69">
            <v>17680</v>
          </cell>
          <cell r="BH69">
            <v>17680</v>
          </cell>
          <cell r="BI69">
            <v>17680</v>
          </cell>
          <cell r="BJ69">
            <v>0</v>
          </cell>
          <cell r="BK69">
            <v>0</v>
          </cell>
          <cell r="BL69">
            <v>21250.045125851197</v>
          </cell>
          <cell r="BM69">
            <v>17680</v>
          </cell>
          <cell r="BN69">
            <v>35930.97602494889</v>
          </cell>
          <cell r="BO69">
            <v>17680</v>
          </cell>
          <cell r="BP69">
            <v>22322.199991457768</v>
          </cell>
          <cell r="BQ69">
            <v>20275.023061164669</v>
          </cell>
          <cell r="BR69">
            <v>17680</v>
          </cell>
          <cell r="BS69">
            <v>17680</v>
          </cell>
          <cell r="BT69">
            <v>-194223.15407576266</v>
          </cell>
          <cell r="BU69">
            <v>3.9224062254462094E-2</v>
          </cell>
          <cell r="BV69">
            <v>-19524.116453252951</v>
          </cell>
          <cell r="BW69">
            <v>-194535.86717894004</v>
          </cell>
          <cell r="BX69">
            <v>-95994.996520439629</v>
          </cell>
          <cell r="BY69">
            <v>-40211.35347342863</v>
          </cell>
          <cell r="BZ69">
            <v>-173811.76878527104</v>
          </cell>
          <cell r="CA69">
            <v>0</v>
          </cell>
          <cell r="CB69">
            <v>-5.0164293090607048E-2</v>
          </cell>
          <cell r="CC69">
            <v>-167041.88358041737</v>
          </cell>
          <cell r="CD69">
            <v>-426204.38478022406</v>
          </cell>
          <cell r="CE69">
            <v>-592175.48191499163</v>
          </cell>
          <cell r="CF69">
            <v>-18092.124466100388</v>
          </cell>
          <cell r="CG69">
            <v>-202133.05620748765</v>
          </cell>
          <cell r="CH69">
            <v>-93888.866422877749</v>
          </cell>
          <cell r="CI69">
            <v>-898471.45258220169</v>
          </cell>
          <cell r="CJ69">
            <v>-194535.86717894004</v>
          </cell>
          <cell r="CK69">
            <v>-143809.07008855077</v>
          </cell>
          <cell r="CL69">
            <v>-40211.35347342863</v>
          </cell>
          <cell r="CM69">
            <v>-65521.629016254272</v>
          </cell>
          <cell r="CN69">
            <v>-173811.76878527104</v>
          </cell>
          <cell r="CO69">
            <v>-1358636.8778598411</v>
          </cell>
          <cell r="CP69">
            <v>0.37547339478605335</v>
          </cell>
          <cell r="CQ69">
            <v>-0.10393756019323813</v>
          </cell>
          <cell r="CR69">
            <v>-2.8874890700291964E-2</v>
          </cell>
          <cell r="CS69">
            <v>-3.7678320803372217E-2</v>
          </cell>
          <cell r="CT69">
            <v>-2.5772778991081248E-2</v>
          </cell>
          <cell r="CU69">
            <v>-3.2345743847847497E-4</v>
          </cell>
          <cell r="CV69">
            <v>-79.526942030054457</v>
          </cell>
          <cell r="CW69">
            <v>-7.6406036602279794</v>
          </cell>
          <cell r="CX69">
            <v>-18.285188285733192</v>
          </cell>
          <cell r="CY69">
            <v>-5.4438574934901895</v>
          </cell>
          <cell r="CZ69">
            <v>-7.6767440812364649</v>
          </cell>
          <cell r="DA69">
            <v>-22.20634650407974</v>
          </cell>
          <cell r="DB69">
            <v>-132.13870694560796</v>
          </cell>
        </row>
        <row r="70">
          <cell r="L70">
            <v>138.34594029064516</v>
          </cell>
          <cell r="M70">
            <v>1.6121217240410697</v>
          </cell>
          <cell r="N70">
            <v>5.367883702073212</v>
          </cell>
          <cell r="O70">
            <v>5.5443017926485414</v>
          </cell>
          <cell r="P70">
            <v>23.436665346994968</v>
          </cell>
          <cell r="Q70">
            <v>0.92053721849469439</v>
          </cell>
          <cell r="R70">
            <v>11.491251469582075</v>
          </cell>
          <cell r="S70">
            <v>8.3369720157031253</v>
          </cell>
          <cell r="T70">
            <v>0.46671774746888461</v>
          </cell>
          <cell r="U70">
            <v>3.9338161659253364E-2</v>
          </cell>
          <cell r="V70">
            <v>0.58271691190153574</v>
          </cell>
          <cell r="W70">
            <v>0</v>
          </cell>
          <cell r="X70">
            <v>0.413026454258828</v>
          </cell>
          <cell r="Y70">
            <v>0.38527440192993595</v>
          </cell>
          <cell r="Z70">
            <v>104265.75261250997</v>
          </cell>
          <cell r="AA70">
            <v>119850.46256141673</v>
          </cell>
          <cell r="AB70">
            <v>75365.537857882664</v>
          </cell>
          <cell r="AC70">
            <v>87713.345102379797</v>
          </cell>
          <cell r="AD70">
            <v>274645.34062789753</v>
          </cell>
          <cell r="AE70">
            <v>121952.79082577181</v>
          </cell>
          <cell r="AF70">
            <v>156188.25202112697</v>
          </cell>
          <cell r="AG70">
            <v>131035.67054489572</v>
          </cell>
          <cell r="AH70">
            <v>98487.179042254633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90054.432328579147</v>
          </cell>
          <cell r="AU70">
            <v>80904.917812941465</v>
          </cell>
          <cell r="AV70">
            <v>88445.472988569614</v>
          </cell>
          <cell r="AW70">
            <v>88962.667673004456</v>
          </cell>
          <cell r="AX70">
            <v>87006.455707487185</v>
          </cell>
          <cell r="AY70">
            <v>0</v>
          </cell>
          <cell r="AZ70">
            <v>92814.39611887827</v>
          </cell>
          <cell r="BA70">
            <v>88734.403501087392</v>
          </cell>
          <cell r="BB70">
            <v>44612.240694392625</v>
          </cell>
          <cell r="BC70">
            <v>64756.115162231254</v>
          </cell>
          <cell r="BD70">
            <v>106328.730294454</v>
          </cell>
          <cell r="BE70">
            <v>50740.864225570673</v>
          </cell>
          <cell r="BF70">
            <v>59950.457068107869</v>
          </cell>
          <cell r="BG70">
            <v>54804.33860692798</v>
          </cell>
          <cell r="BH70">
            <v>45936.617400235766</v>
          </cell>
          <cell r="BI70">
            <v>61613.675135025253</v>
          </cell>
          <cell r="BJ70">
            <v>0</v>
          </cell>
          <cell r="BK70">
            <v>0</v>
          </cell>
          <cell r="BL70">
            <v>72317.924874135264</v>
          </cell>
          <cell r="BM70">
            <v>45583.045099364717</v>
          </cell>
          <cell r="BN70">
            <v>101748.99035154989</v>
          </cell>
          <cell r="BO70">
            <v>229416.87476371037</v>
          </cell>
          <cell r="BP70">
            <v>78869.379225986195</v>
          </cell>
          <cell r="BQ70">
            <v>86360.302370659803</v>
          </cell>
          <cell r="BR70">
            <v>77156.710228375523</v>
          </cell>
          <cell r="BS70">
            <v>48318.756121997882</v>
          </cell>
          <cell r="BT70">
            <v>398136.88321278704</v>
          </cell>
          <cell r="BU70">
            <v>0.36724114202935465</v>
          </cell>
          <cell r="BV70">
            <v>39854.580999063852</v>
          </cell>
          <cell r="BW70">
            <v>394450.1606676082</v>
          </cell>
          <cell r="BX70">
            <v>222860.81281305797</v>
          </cell>
          <cell r="BY70">
            <v>72569.642572709854</v>
          </cell>
          <cell r="BZ70">
            <v>427779.81149033637</v>
          </cell>
          <cell r="CA70">
            <v>0</v>
          </cell>
          <cell r="CB70">
            <v>0.40671704877585924</v>
          </cell>
          <cell r="CC70">
            <v>323721.81080892892</v>
          </cell>
          <cell r="CD70">
            <v>717868.8556900773</v>
          </cell>
          <cell r="CE70">
            <v>1081621.3826737017</v>
          </cell>
          <cell r="CF70">
            <v>38284.146059391795</v>
          </cell>
          <cell r="CG70">
            <v>488082.61516012525</v>
          </cell>
          <cell r="CH70">
            <v>249415.03043732973</v>
          </cell>
          <cell r="CI70">
            <v>1833618.6346573296</v>
          </cell>
          <cell r="CJ70">
            <v>394450.1606676082</v>
          </cell>
          <cell r="CK70">
            <v>291256.65648656304</v>
          </cell>
          <cell r="CL70">
            <v>72569.642572709854</v>
          </cell>
          <cell r="CM70">
            <v>130870.89572562612</v>
          </cell>
          <cell r="CN70">
            <v>427779.81149033637</v>
          </cell>
          <cell r="CO70">
            <v>2949096.2663998213</v>
          </cell>
          <cell r="CP70">
            <v>0.80827066017194205</v>
          </cell>
          <cell r="CQ70">
            <v>0.36850490579106859</v>
          </cell>
          <cell r="CR70">
            <v>0.20498011936487076</v>
          </cell>
          <cell r="CS70">
            <v>8.3014594940582179E-2</v>
          </cell>
          <cell r="CT70">
            <v>0.10988940111723</v>
          </cell>
          <cell r="CU70">
            <v>0.32042762106426059</v>
          </cell>
          <cell r="CV70">
            <v>159.80339991905998</v>
          </cell>
          <cell r="CW70">
            <v>21.570061984351696</v>
          </cell>
          <cell r="CX70">
            <v>28.340504505659595</v>
          </cell>
          <cell r="CY70">
            <v>8.7270938744645665</v>
          </cell>
          <cell r="CZ70">
            <v>12.861931125800801</v>
          </cell>
          <cell r="DA70">
            <v>41.329439736192214</v>
          </cell>
          <cell r="DB70">
            <v>263.99145603631479</v>
          </cell>
        </row>
      </sheetData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F - Fall 2017"/>
      <sheetName val="Rates for Reg"/>
      <sheetName val="CAF Sp. 2016"/>
      <sheetName val="Fiscal Impact (11.15.17)"/>
      <sheetName val="Fiscal Impact (10.18)"/>
      <sheetName val="Fiscal Impact"/>
      <sheetName val="IFC &amp; Specialty and Fam Res"/>
      <sheetName val="AMSS &amp; Support Services"/>
      <sheetName val="Sub Proc Look Up Table "/>
      <sheetName val="Shared Living (2)"/>
      <sheetName val="DC Add On"/>
      <sheetName val="Stipends"/>
      <sheetName val="S.Living Model - Models"/>
      <sheetName val="S.Living Models Rate Review"/>
      <sheetName val="S.Living Original Models"/>
      <sheetName val="Shared Living original"/>
    </sheetNames>
    <sheetDataSet>
      <sheetData sheetId="0" refreshError="1">
        <row r="27">
          <cell r="BP27">
            <v>1.8700072621641205E-2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IMA"/>
      <sheetName val="Rates for Reg"/>
      <sheetName val="CAF Sp. 2016"/>
      <sheetName val="Fiscal Impact (9.19.17)"/>
      <sheetName val="Fiscal Impact"/>
      <sheetName val="IFC &amp; Specialty and Fam Res"/>
      <sheetName val="AMSS &amp; Support Services"/>
      <sheetName val="Sub Proc Look Up Table "/>
      <sheetName val="Shared Living (2)"/>
      <sheetName val="DC Add On"/>
      <sheetName val="Stipends"/>
      <sheetName val="S.Living Models Rate Review"/>
      <sheetName val="S.Living Original Models"/>
      <sheetName val="Shared Living original"/>
      <sheetName val="Sheet1"/>
    </sheetNames>
    <sheetDataSet>
      <sheetData sheetId="0"/>
      <sheetData sheetId="1"/>
      <sheetData sheetId="2">
        <row r="26">
          <cell r="BD26">
            <v>2.6438643292682744E-2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ll 2015 CAF"/>
      <sheetName val="Rates Effective April 1, 2014"/>
      <sheetName val="Support Model Budgets"/>
      <sheetName val="Model drafting"/>
      <sheetName val="UFR SchB (1)"/>
      <sheetName val="UFR SchB (2)"/>
      <sheetName val="UFR SchB (3)"/>
      <sheetName val="UFR SchB (4)"/>
      <sheetName val="UFR FY11 SchB of provider"/>
      <sheetName val="Source CAF 2.07% and 3.93%"/>
    </sheetNames>
    <sheetDataSet>
      <sheetData sheetId="0">
        <row r="24">
          <cell r="BE24">
            <v>3.1690812047274072E-2</v>
          </cell>
        </row>
      </sheetData>
      <sheetData sheetId="1"/>
      <sheetData sheetId="2">
        <row r="31">
          <cell r="AM31">
            <v>16572.397660149334</v>
          </cell>
        </row>
        <row r="33">
          <cell r="AG33">
            <v>47.595980860001433</v>
          </cell>
        </row>
        <row r="37">
          <cell r="O37">
            <v>61289.181468079216</v>
          </cell>
        </row>
        <row r="38">
          <cell r="U38">
            <v>133898.4283257552</v>
          </cell>
          <cell r="AA38">
            <v>142626.72724964569</v>
          </cell>
        </row>
        <row r="39">
          <cell r="AS39">
            <v>284.64072278252075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2">
          <cell r="J2">
            <v>52305.406251052875</v>
          </cell>
        </row>
        <row r="7">
          <cell r="J7">
            <v>42189.221412467887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FC model for current rates"/>
      <sheetName val="IFC Level 1 &amp; Enhanced"/>
      <sheetName val="Sheet3"/>
    </sheetNames>
    <sheetDataSet>
      <sheetData sheetId="0" refreshError="1">
        <row r="23">
          <cell r="A23" t="str">
            <v>Flex pool ( provider to maintain pool, amt is not child-specific)</v>
          </cell>
          <cell r="G23">
            <v>2.84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ll 2015 CAF"/>
      <sheetName val="Rates Effective April 1, 2014"/>
      <sheetName val="Support Model Budgets"/>
      <sheetName val="Model drafting"/>
      <sheetName val="UFR SchB (1)"/>
      <sheetName val="UFR SchB (2)"/>
      <sheetName val="UFR SchB (3)"/>
      <sheetName val="UFR SchB (4)"/>
      <sheetName val="UFR FY11 SchB of provider"/>
      <sheetName val="Source CAF 2.07% and 3.93%"/>
    </sheetNames>
    <sheetDataSet>
      <sheetData sheetId="0" refreshError="1"/>
      <sheetData sheetId="1" refreshError="1"/>
      <sheetData sheetId="2" refreshError="1"/>
      <sheetData sheetId="3">
        <row r="26">
          <cell r="K26">
            <v>884.23817863397562</v>
          </cell>
        </row>
        <row r="33">
          <cell r="K33">
            <v>1549.4575045207957</v>
          </cell>
        </row>
        <row r="37">
          <cell r="K37">
            <v>1417.0212765957447</v>
          </cell>
        </row>
      </sheetData>
      <sheetData sheetId="4">
        <row r="33">
          <cell r="AG33">
            <v>2589.0410958904108</v>
          </cell>
        </row>
      </sheetData>
      <sheetData sheetId="5">
        <row r="33">
          <cell r="AG33">
            <v>1950.4581901489116</v>
          </cell>
        </row>
      </sheetData>
      <sheetData sheetId="6">
        <row r="34">
          <cell r="AG34">
            <v>7763.5782747603826</v>
          </cell>
        </row>
      </sheetData>
      <sheetData sheetId="7">
        <row r="34">
          <cell r="AE34">
            <v>1255.6577736890524</v>
          </cell>
        </row>
      </sheetData>
      <sheetData sheetId="8">
        <row r="34">
          <cell r="AG34">
            <v>4033.4782608695655</v>
          </cell>
        </row>
      </sheetData>
      <sheetData sheetId="9">
        <row r="39">
          <cell r="AN39">
            <v>3.9329999999999997E-2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F Sp. 2016"/>
      <sheetName val="Fiscal Impact"/>
      <sheetName val="IFC &amp; Specialty and Fam Res"/>
      <sheetName val="AMSS &amp; Support Services"/>
      <sheetName val="Sub Proc Look Up Table "/>
      <sheetName val="Shared Living (2)"/>
      <sheetName val="DC Add On"/>
      <sheetName val="Stipends"/>
      <sheetName val="S.Living Models Rate Review"/>
      <sheetName val="S.Living Original Models"/>
      <sheetName val="Shared Living original"/>
    </sheetNames>
    <sheetDataSet>
      <sheetData sheetId="0">
        <row r="26">
          <cell r="BD26">
            <v>2.6438643292682744E-2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ok Up Table Year 1"/>
      <sheetName val="Look Up Table "/>
      <sheetName val="SL Base + $750 + $9 + CAF 2.05%"/>
      <sheetName val="Hourly Rates "/>
      <sheetName val=" Stipend RECALC"/>
      <sheetName val="CAF Dec 2013"/>
      <sheetName val="SL Base + $750"/>
      <sheetName val="SL Base + $750 + $9 Min Wage"/>
      <sheetName val="Total Other Program Expense"/>
      <sheetName val="CleanData Position Break out"/>
      <sheetName val="CleanData"/>
      <sheetName val="RawDataCalcs"/>
      <sheetName val="RawContractData"/>
      <sheetName val="Stipend Year 1"/>
      <sheetName val=" Stipend  "/>
      <sheetName val="CAF calculation source 3.93%"/>
    </sheetNames>
    <sheetDataSet>
      <sheetData sheetId="0" refreshError="1"/>
      <sheetData sheetId="1" refreshError="1"/>
      <sheetData sheetId="2" refreshError="1">
        <row r="17">
          <cell r="J17">
            <v>26705</v>
          </cell>
        </row>
        <row r="31">
          <cell r="I31">
            <v>0.24847479945378861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45">
          <cell r="F145">
            <v>595.25965985651339</v>
          </cell>
          <cell r="H145">
            <v>2050.6945263847924</v>
          </cell>
          <cell r="J145">
            <v>1282.1659565169891</v>
          </cell>
        </row>
      </sheetData>
      <sheetData sheetId="9" refreshError="1">
        <row r="146">
          <cell r="BB146">
            <v>1435.2505189555341</v>
          </cell>
        </row>
      </sheetData>
      <sheetData sheetId="10" refreshError="1">
        <row r="144">
          <cell r="AC144">
            <v>46666.96535244921</v>
          </cell>
          <cell r="BU144">
            <v>0.24847479945378861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FC &amp; Specialty and Fam Res"/>
      <sheetName val="AMSS &amp; Support Services"/>
      <sheetName val="Sub Proc Look Up Table "/>
      <sheetName val="Shared Living (2)"/>
      <sheetName val="DC Add On"/>
      <sheetName val="Stipends"/>
      <sheetName val="S.Living Models Rate Review"/>
      <sheetName val="CAF Sp. 2016"/>
      <sheetName val="S.Living Original Models"/>
      <sheetName val="Shared Living original"/>
    </sheetNames>
    <sheetDataSet>
      <sheetData sheetId="0" refreshError="1"/>
      <sheetData sheetId="1" refreshError="1">
        <row r="65">
          <cell r="J65">
            <v>2.6438643292682744E-2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30"/>
  <sheetViews>
    <sheetView tabSelected="1" topLeftCell="AY1" workbookViewId="0">
      <selection activeCell="BE16" sqref="BE16:BP29"/>
    </sheetView>
  </sheetViews>
  <sheetFormatPr defaultRowHeight="12.75" x14ac:dyDescent="0.2"/>
  <cols>
    <col min="1" max="1" width="38.42578125" style="6" customWidth="1"/>
    <col min="2" max="2" width="12.85546875" style="752" customWidth="1"/>
    <col min="3" max="74" width="10.28515625" style="6" customWidth="1"/>
    <col min="75" max="256" width="8.85546875" style="6"/>
    <col min="257" max="257" width="38.42578125" style="6" customWidth="1"/>
    <col min="258" max="258" width="12.85546875" style="6" customWidth="1"/>
    <col min="259" max="330" width="10.28515625" style="6" customWidth="1"/>
    <col min="331" max="512" width="8.85546875" style="6"/>
    <col min="513" max="513" width="38.42578125" style="6" customWidth="1"/>
    <col min="514" max="514" width="12.85546875" style="6" customWidth="1"/>
    <col min="515" max="586" width="10.28515625" style="6" customWidth="1"/>
    <col min="587" max="768" width="8.85546875" style="6"/>
    <col min="769" max="769" width="38.42578125" style="6" customWidth="1"/>
    <col min="770" max="770" width="12.85546875" style="6" customWidth="1"/>
    <col min="771" max="842" width="10.28515625" style="6" customWidth="1"/>
    <col min="843" max="1024" width="8.85546875" style="6"/>
    <col min="1025" max="1025" width="38.42578125" style="6" customWidth="1"/>
    <col min="1026" max="1026" width="12.85546875" style="6" customWidth="1"/>
    <col min="1027" max="1098" width="10.28515625" style="6" customWidth="1"/>
    <col min="1099" max="1280" width="8.85546875" style="6"/>
    <col min="1281" max="1281" width="38.42578125" style="6" customWidth="1"/>
    <col min="1282" max="1282" width="12.85546875" style="6" customWidth="1"/>
    <col min="1283" max="1354" width="10.28515625" style="6" customWidth="1"/>
    <col min="1355" max="1536" width="8.85546875" style="6"/>
    <col min="1537" max="1537" width="38.42578125" style="6" customWidth="1"/>
    <col min="1538" max="1538" width="12.85546875" style="6" customWidth="1"/>
    <col min="1539" max="1610" width="10.28515625" style="6" customWidth="1"/>
    <col min="1611" max="1792" width="8.85546875" style="6"/>
    <col min="1793" max="1793" width="38.42578125" style="6" customWidth="1"/>
    <col min="1794" max="1794" width="12.85546875" style="6" customWidth="1"/>
    <col min="1795" max="1866" width="10.28515625" style="6" customWidth="1"/>
    <col min="1867" max="2048" width="8.85546875" style="6"/>
    <col min="2049" max="2049" width="38.42578125" style="6" customWidth="1"/>
    <col min="2050" max="2050" width="12.85546875" style="6" customWidth="1"/>
    <col min="2051" max="2122" width="10.28515625" style="6" customWidth="1"/>
    <col min="2123" max="2304" width="8.85546875" style="6"/>
    <col min="2305" max="2305" width="38.42578125" style="6" customWidth="1"/>
    <col min="2306" max="2306" width="12.85546875" style="6" customWidth="1"/>
    <col min="2307" max="2378" width="10.28515625" style="6" customWidth="1"/>
    <col min="2379" max="2560" width="8.85546875" style="6"/>
    <col min="2561" max="2561" width="38.42578125" style="6" customWidth="1"/>
    <col min="2562" max="2562" width="12.85546875" style="6" customWidth="1"/>
    <col min="2563" max="2634" width="10.28515625" style="6" customWidth="1"/>
    <col min="2635" max="2816" width="8.85546875" style="6"/>
    <col min="2817" max="2817" width="38.42578125" style="6" customWidth="1"/>
    <col min="2818" max="2818" width="12.85546875" style="6" customWidth="1"/>
    <col min="2819" max="2890" width="10.28515625" style="6" customWidth="1"/>
    <col min="2891" max="3072" width="8.85546875" style="6"/>
    <col min="3073" max="3073" width="38.42578125" style="6" customWidth="1"/>
    <col min="3074" max="3074" width="12.85546875" style="6" customWidth="1"/>
    <col min="3075" max="3146" width="10.28515625" style="6" customWidth="1"/>
    <col min="3147" max="3328" width="8.85546875" style="6"/>
    <col min="3329" max="3329" width="38.42578125" style="6" customWidth="1"/>
    <col min="3330" max="3330" width="12.85546875" style="6" customWidth="1"/>
    <col min="3331" max="3402" width="10.28515625" style="6" customWidth="1"/>
    <col min="3403" max="3584" width="8.85546875" style="6"/>
    <col min="3585" max="3585" width="38.42578125" style="6" customWidth="1"/>
    <col min="3586" max="3586" width="12.85546875" style="6" customWidth="1"/>
    <col min="3587" max="3658" width="10.28515625" style="6" customWidth="1"/>
    <col min="3659" max="3840" width="8.85546875" style="6"/>
    <col min="3841" max="3841" width="38.42578125" style="6" customWidth="1"/>
    <col min="3842" max="3842" width="12.85546875" style="6" customWidth="1"/>
    <col min="3843" max="3914" width="10.28515625" style="6" customWidth="1"/>
    <col min="3915" max="4096" width="8.85546875" style="6"/>
    <col min="4097" max="4097" width="38.42578125" style="6" customWidth="1"/>
    <col min="4098" max="4098" width="12.85546875" style="6" customWidth="1"/>
    <col min="4099" max="4170" width="10.28515625" style="6" customWidth="1"/>
    <col min="4171" max="4352" width="8.85546875" style="6"/>
    <col min="4353" max="4353" width="38.42578125" style="6" customWidth="1"/>
    <col min="4354" max="4354" width="12.85546875" style="6" customWidth="1"/>
    <col min="4355" max="4426" width="10.28515625" style="6" customWidth="1"/>
    <col min="4427" max="4608" width="8.85546875" style="6"/>
    <col min="4609" max="4609" width="38.42578125" style="6" customWidth="1"/>
    <col min="4610" max="4610" width="12.85546875" style="6" customWidth="1"/>
    <col min="4611" max="4682" width="10.28515625" style="6" customWidth="1"/>
    <col min="4683" max="4864" width="8.85546875" style="6"/>
    <col min="4865" max="4865" width="38.42578125" style="6" customWidth="1"/>
    <col min="4866" max="4866" width="12.85546875" style="6" customWidth="1"/>
    <col min="4867" max="4938" width="10.28515625" style="6" customWidth="1"/>
    <col min="4939" max="5120" width="8.85546875" style="6"/>
    <col min="5121" max="5121" width="38.42578125" style="6" customWidth="1"/>
    <col min="5122" max="5122" width="12.85546875" style="6" customWidth="1"/>
    <col min="5123" max="5194" width="10.28515625" style="6" customWidth="1"/>
    <col min="5195" max="5376" width="8.85546875" style="6"/>
    <col min="5377" max="5377" width="38.42578125" style="6" customWidth="1"/>
    <col min="5378" max="5378" width="12.85546875" style="6" customWidth="1"/>
    <col min="5379" max="5450" width="10.28515625" style="6" customWidth="1"/>
    <col min="5451" max="5632" width="8.85546875" style="6"/>
    <col min="5633" max="5633" width="38.42578125" style="6" customWidth="1"/>
    <col min="5634" max="5634" width="12.85546875" style="6" customWidth="1"/>
    <col min="5635" max="5706" width="10.28515625" style="6" customWidth="1"/>
    <col min="5707" max="5888" width="8.85546875" style="6"/>
    <col min="5889" max="5889" width="38.42578125" style="6" customWidth="1"/>
    <col min="5890" max="5890" width="12.85546875" style="6" customWidth="1"/>
    <col min="5891" max="5962" width="10.28515625" style="6" customWidth="1"/>
    <col min="5963" max="6144" width="8.85546875" style="6"/>
    <col min="6145" max="6145" width="38.42578125" style="6" customWidth="1"/>
    <col min="6146" max="6146" width="12.85546875" style="6" customWidth="1"/>
    <col min="6147" max="6218" width="10.28515625" style="6" customWidth="1"/>
    <col min="6219" max="6400" width="8.85546875" style="6"/>
    <col min="6401" max="6401" width="38.42578125" style="6" customWidth="1"/>
    <col min="6402" max="6402" width="12.85546875" style="6" customWidth="1"/>
    <col min="6403" max="6474" width="10.28515625" style="6" customWidth="1"/>
    <col min="6475" max="6656" width="8.85546875" style="6"/>
    <col min="6657" max="6657" width="38.42578125" style="6" customWidth="1"/>
    <col min="6658" max="6658" width="12.85546875" style="6" customWidth="1"/>
    <col min="6659" max="6730" width="10.28515625" style="6" customWidth="1"/>
    <col min="6731" max="6912" width="8.85546875" style="6"/>
    <col min="6913" max="6913" width="38.42578125" style="6" customWidth="1"/>
    <col min="6914" max="6914" width="12.85546875" style="6" customWidth="1"/>
    <col min="6915" max="6986" width="10.28515625" style="6" customWidth="1"/>
    <col min="6987" max="7168" width="8.85546875" style="6"/>
    <col min="7169" max="7169" width="38.42578125" style="6" customWidth="1"/>
    <col min="7170" max="7170" width="12.85546875" style="6" customWidth="1"/>
    <col min="7171" max="7242" width="10.28515625" style="6" customWidth="1"/>
    <col min="7243" max="7424" width="8.85546875" style="6"/>
    <col min="7425" max="7425" width="38.42578125" style="6" customWidth="1"/>
    <col min="7426" max="7426" width="12.85546875" style="6" customWidth="1"/>
    <col min="7427" max="7498" width="10.28515625" style="6" customWidth="1"/>
    <col min="7499" max="7680" width="8.85546875" style="6"/>
    <col min="7681" max="7681" width="38.42578125" style="6" customWidth="1"/>
    <col min="7682" max="7682" width="12.85546875" style="6" customWidth="1"/>
    <col min="7683" max="7754" width="10.28515625" style="6" customWidth="1"/>
    <col min="7755" max="7936" width="8.85546875" style="6"/>
    <col min="7937" max="7937" width="38.42578125" style="6" customWidth="1"/>
    <col min="7938" max="7938" width="12.85546875" style="6" customWidth="1"/>
    <col min="7939" max="8010" width="10.28515625" style="6" customWidth="1"/>
    <col min="8011" max="8192" width="8.85546875" style="6"/>
    <col min="8193" max="8193" width="38.42578125" style="6" customWidth="1"/>
    <col min="8194" max="8194" width="12.85546875" style="6" customWidth="1"/>
    <col min="8195" max="8266" width="10.28515625" style="6" customWidth="1"/>
    <col min="8267" max="8448" width="8.85546875" style="6"/>
    <col min="8449" max="8449" width="38.42578125" style="6" customWidth="1"/>
    <col min="8450" max="8450" width="12.85546875" style="6" customWidth="1"/>
    <col min="8451" max="8522" width="10.28515625" style="6" customWidth="1"/>
    <col min="8523" max="8704" width="8.85546875" style="6"/>
    <col min="8705" max="8705" width="38.42578125" style="6" customWidth="1"/>
    <col min="8706" max="8706" width="12.85546875" style="6" customWidth="1"/>
    <col min="8707" max="8778" width="10.28515625" style="6" customWidth="1"/>
    <col min="8779" max="8960" width="8.85546875" style="6"/>
    <col min="8961" max="8961" width="38.42578125" style="6" customWidth="1"/>
    <col min="8962" max="8962" width="12.85546875" style="6" customWidth="1"/>
    <col min="8963" max="9034" width="10.28515625" style="6" customWidth="1"/>
    <col min="9035" max="9216" width="8.85546875" style="6"/>
    <col min="9217" max="9217" width="38.42578125" style="6" customWidth="1"/>
    <col min="9218" max="9218" width="12.85546875" style="6" customWidth="1"/>
    <col min="9219" max="9290" width="10.28515625" style="6" customWidth="1"/>
    <col min="9291" max="9472" width="8.85546875" style="6"/>
    <col min="9473" max="9473" width="38.42578125" style="6" customWidth="1"/>
    <col min="9474" max="9474" width="12.85546875" style="6" customWidth="1"/>
    <col min="9475" max="9546" width="10.28515625" style="6" customWidth="1"/>
    <col min="9547" max="9728" width="8.85546875" style="6"/>
    <col min="9729" max="9729" width="38.42578125" style="6" customWidth="1"/>
    <col min="9730" max="9730" width="12.85546875" style="6" customWidth="1"/>
    <col min="9731" max="9802" width="10.28515625" style="6" customWidth="1"/>
    <col min="9803" max="9984" width="8.85546875" style="6"/>
    <col min="9985" max="9985" width="38.42578125" style="6" customWidth="1"/>
    <col min="9986" max="9986" width="12.85546875" style="6" customWidth="1"/>
    <col min="9987" max="10058" width="10.28515625" style="6" customWidth="1"/>
    <col min="10059" max="10240" width="8.85546875" style="6"/>
    <col min="10241" max="10241" width="38.42578125" style="6" customWidth="1"/>
    <col min="10242" max="10242" width="12.85546875" style="6" customWidth="1"/>
    <col min="10243" max="10314" width="10.28515625" style="6" customWidth="1"/>
    <col min="10315" max="10496" width="8.85546875" style="6"/>
    <col min="10497" max="10497" width="38.42578125" style="6" customWidth="1"/>
    <col min="10498" max="10498" width="12.85546875" style="6" customWidth="1"/>
    <col min="10499" max="10570" width="10.28515625" style="6" customWidth="1"/>
    <col min="10571" max="10752" width="8.85546875" style="6"/>
    <col min="10753" max="10753" width="38.42578125" style="6" customWidth="1"/>
    <col min="10754" max="10754" width="12.85546875" style="6" customWidth="1"/>
    <col min="10755" max="10826" width="10.28515625" style="6" customWidth="1"/>
    <col min="10827" max="11008" width="8.85546875" style="6"/>
    <col min="11009" max="11009" width="38.42578125" style="6" customWidth="1"/>
    <col min="11010" max="11010" width="12.85546875" style="6" customWidth="1"/>
    <col min="11011" max="11082" width="10.28515625" style="6" customWidth="1"/>
    <col min="11083" max="11264" width="8.85546875" style="6"/>
    <col min="11265" max="11265" width="38.42578125" style="6" customWidth="1"/>
    <col min="11266" max="11266" width="12.85546875" style="6" customWidth="1"/>
    <col min="11267" max="11338" width="10.28515625" style="6" customWidth="1"/>
    <col min="11339" max="11520" width="8.85546875" style="6"/>
    <col min="11521" max="11521" width="38.42578125" style="6" customWidth="1"/>
    <col min="11522" max="11522" width="12.85546875" style="6" customWidth="1"/>
    <col min="11523" max="11594" width="10.28515625" style="6" customWidth="1"/>
    <col min="11595" max="11776" width="8.85546875" style="6"/>
    <col min="11777" max="11777" width="38.42578125" style="6" customWidth="1"/>
    <col min="11778" max="11778" width="12.85546875" style="6" customWidth="1"/>
    <col min="11779" max="11850" width="10.28515625" style="6" customWidth="1"/>
    <col min="11851" max="12032" width="8.85546875" style="6"/>
    <col min="12033" max="12033" width="38.42578125" style="6" customWidth="1"/>
    <col min="12034" max="12034" width="12.85546875" style="6" customWidth="1"/>
    <col min="12035" max="12106" width="10.28515625" style="6" customWidth="1"/>
    <col min="12107" max="12288" width="8.85546875" style="6"/>
    <col min="12289" max="12289" width="38.42578125" style="6" customWidth="1"/>
    <col min="12290" max="12290" width="12.85546875" style="6" customWidth="1"/>
    <col min="12291" max="12362" width="10.28515625" style="6" customWidth="1"/>
    <col min="12363" max="12544" width="8.85546875" style="6"/>
    <col min="12545" max="12545" width="38.42578125" style="6" customWidth="1"/>
    <col min="12546" max="12546" width="12.85546875" style="6" customWidth="1"/>
    <col min="12547" max="12618" width="10.28515625" style="6" customWidth="1"/>
    <col min="12619" max="12800" width="8.85546875" style="6"/>
    <col min="12801" max="12801" width="38.42578125" style="6" customWidth="1"/>
    <col min="12802" max="12802" width="12.85546875" style="6" customWidth="1"/>
    <col min="12803" max="12874" width="10.28515625" style="6" customWidth="1"/>
    <col min="12875" max="13056" width="8.85546875" style="6"/>
    <col min="13057" max="13057" width="38.42578125" style="6" customWidth="1"/>
    <col min="13058" max="13058" width="12.85546875" style="6" customWidth="1"/>
    <col min="13059" max="13130" width="10.28515625" style="6" customWidth="1"/>
    <col min="13131" max="13312" width="8.85546875" style="6"/>
    <col min="13313" max="13313" width="38.42578125" style="6" customWidth="1"/>
    <col min="13314" max="13314" width="12.85546875" style="6" customWidth="1"/>
    <col min="13315" max="13386" width="10.28515625" style="6" customWidth="1"/>
    <col min="13387" max="13568" width="8.85546875" style="6"/>
    <col min="13569" max="13569" width="38.42578125" style="6" customWidth="1"/>
    <col min="13570" max="13570" width="12.85546875" style="6" customWidth="1"/>
    <col min="13571" max="13642" width="10.28515625" style="6" customWidth="1"/>
    <col min="13643" max="13824" width="8.85546875" style="6"/>
    <col min="13825" max="13825" width="38.42578125" style="6" customWidth="1"/>
    <col min="13826" max="13826" width="12.85546875" style="6" customWidth="1"/>
    <col min="13827" max="13898" width="10.28515625" style="6" customWidth="1"/>
    <col min="13899" max="14080" width="8.85546875" style="6"/>
    <col min="14081" max="14081" width="38.42578125" style="6" customWidth="1"/>
    <col min="14082" max="14082" width="12.85546875" style="6" customWidth="1"/>
    <col min="14083" max="14154" width="10.28515625" style="6" customWidth="1"/>
    <col min="14155" max="14336" width="8.85546875" style="6"/>
    <col min="14337" max="14337" width="38.42578125" style="6" customWidth="1"/>
    <col min="14338" max="14338" width="12.85546875" style="6" customWidth="1"/>
    <col min="14339" max="14410" width="10.28515625" style="6" customWidth="1"/>
    <col min="14411" max="14592" width="8.85546875" style="6"/>
    <col min="14593" max="14593" width="38.42578125" style="6" customWidth="1"/>
    <col min="14594" max="14594" width="12.85546875" style="6" customWidth="1"/>
    <col min="14595" max="14666" width="10.28515625" style="6" customWidth="1"/>
    <col min="14667" max="14848" width="8.85546875" style="6"/>
    <col min="14849" max="14849" width="38.42578125" style="6" customWidth="1"/>
    <col min="14850" max="14850" width="12.85546875" style="6" customWidth="1"/>
    <col min="14851" max="14922" width="10.28515625" style="6" customWidth="1"/>
    <col min="14923" max="15104" width="8.85546875" style="6"/>
    <col min="15105" max="15105" width="38.42578125" style="6" customWidth="1"/>
    <col min="15106" max="15106" width="12.85546875" style="6" customWidth="1"/>
    <col min="15107" max="15178" width="10.28515625" style="6" customWidth="1"/>
    <col min="15179" max="15360" width="8.85546875" style="6"/>
    <col min="15361" max="15361" width="38.42578125" style="6" customWidth="1"/>
    <col min="15362" max="15362" width="12.85546875" style="6" customWidth="1"/>
    <col min="15363" max="15434" width="10.28515625" style="6" customWidth="1"/>
    <col min="15435" max="15616" width="8.85546875" style="6"/>
    <col min="15617" max="15617" width="38.42578125" style="6" customWidth="1"/>
    <col min="15618" max="15618" width="12.85546875" style="6" customWidth="1"/>
    <col min="15619" max="15690" width="10.28515625" style="6" customWidth="1"/>
    <col min="15691" max="15872" width="8.85546875" style="6"/>
    <col min="15873" max="15873" width="38.42578125" style="6" customWidth="1"/>
    <col min="15874" max="15874" width="12.85546875" style="6" customWidth="1"/>
    <col min="15875" max="15946" width="10.28515625" style="6" customWidth="1"/>
    <col min="15947" max="16128" width="8.85546875" style="6"/>
    <col min="16129" max="16129" width="38.42578125" style="6" customWidth="1"/>
    <col min="16130" max="16130" width="12.85546875" style="6" customWidth="1"/>
    <col min="16131" max="16202" width="10.28515625" style="6" customWidth="1"/>
    <col min="16203" max="16384" width="8.85546875" style="6"/>
  </cols>
  <sheetData>
    <row r="1" spans="1:75" ht="17.45" x14ac:dyDescent="0.3">
      <c r="A1" s="1244" t="s">
        <v>317</v>
      </c>
      <c r="B1" s="1245"/>
    </row>
    <row r="2" spans="1:75" ht="15.6" x14ac:dyDescent="0.3">
      <c r="A2" s="1246" t="s">
        <v>318</v>
      </c>
      <c r="B2" s="1247"/>
    </row>
    <row r="3" spans="1:75" ht="14.45" thickBot="1" x14ac:dyDescent="0.3">
      <c r="A3" s="1248" t="s">
        <v>319</v>
      </c>
      <c r="B3" s="1249"/>
    </row>
    <row r="6" spans="1:75" ht="13.15" x14ac:dyDescent="0.25">
      <c r="AW6" s="753" t="s">
        <v>320</v>
      </c>
      <c r="AX6" s="754" t="s">
        <v>320</v>
      </c>
      <c r="AY6" s="754" t="s">
        <v>320</v>
      </c>
      <c r="AZ6" s="754" t="s">
        <v>320</v>
      </c>
      <c r="BA6" s="755" t="s">
        <v>316</v>
      </c>
      <c r="BB6" s="755" t="s">
        <v>316</v>
      </c>
      <c r="BC6" s="755" t="s">
        <v>316</v>
      </c>
      <c r="BD6" s="755" t="s">
        <v>316</v>
      </c>
      <c r="BE6" s="756" t="s">
        <v>321</v>
      </c>
      <c r="BF6" s="756" t="s">
        <v>321</v>
      </c>
      <c r="BG6" s="756" t="s">
        <v>321</v>
      </c>
      <c r="BH6" s="756" t="s">
        <v>321</v>
      </c>
      <c r="BI6" s="757" t="s">
        <v>322</v>
      </c>
      <c r="BJ6" s="757" t="s">
        <v>322</v>
      </c>
      <c r="BK6" s="757" t="s">
        <v>322</v>
      </c>
      <c r="BL6" s="757" t="s">
        <v>322</v>
      </c>
      <c r="BM6" s="758" t="s">
        <v>323</v>
      </c>
      <c r="BN6" s="758" t="s">
        <v>323</v>
      </c>
      <c r="BO6" s="758" t="s">
        <v>323</v>
      </c>
      <c r="BP6" s="758" t="s">
        <v>323</v>
      </c>
      <c r="BQ6" s="759" t="s">
        <v>324</v>
      </c>
      <c r="BR6" s="759" t="s">
        <v>324</v>
      </c>
      <c r="BS6" s="759" t="s">
        <v>324</v>
      </c>
      <c r="BT6" s="759" t="s">
        <v>324</v>
      </c>
    </row>
    <row r="7" spans="1:75" s="752" customFormat="1" ht="13.15" x14ac:dyDescent="0.25">
      <c r="B7" s="752" t="s">
        <v>325</v>
      </c>
      <c r="C7" s="760" t="s">
        <v>326</v>
      </c>
      <c r="D7" s="760" t="s">
        <v>327</v>
      </c>
      <c r="E7" s="760" t="s">
        <v>328</v>
      </c>
      <c r="F7" s="760" t="s">
        <v>329</v>
      </c>
      <c r="G7" s="760" t="s">
        <v>330</v>
      </c>
      <c r="H7" s="760" t="s">
        <v>331</v>
      </c>
      <c r="I7" s="760" t="s">
        <v>332</v>
      </c>
      <c r="J7" s="760" t="s">
        <v>333</v>
      </c>
      <c r="K7" s="760" t="s">
        <v>334</v>
      </c>
      <c r="L7" s="760" t="s">
        <v>335</v>
      </c>
      <c r="M7" s="760" t="s">
        <v>336</v>
      </c>
      <c r="N7" s="760" t="s">
        <v>337</v>
      </c>
      <c r="O7" s="760" t="s">
        <v>338</v>
      </c>
      <c r="P7" s="760" t="s">
        <v>339</v>
      </c>
      <c r="Q7" s="760" t="s">
        <v>340</v>
      </c>
      <c r="R7" s="760" t="s">
        <v>341</v>
      </c>
      <c r="S7" s="760" t="s">
        <v>342</v>
      </c>
      <c r="T7" s="760" t="s">
        <v>343</v>
      </c>
      <c r="U7" s="760" t="s">
        <v>344</v>
      </c>
      <c r="V7" s="760" t="s">
        <v>345</v>
      </c>
      <c r="W7" s="760" t="s">
        <v>346</v>
      </c>
      <c r="X7" s="760" t="s">
        <v>347</v>
      </c>
      <c r="Y7" s="760" t="s">
        <v>348</v>
      </c>
      <c r="Z7" s="760" t="s">
        <v>349</v>
      </c>
      <c r="AA7" s="760" t="s">
        <v>350</v>
      </c>
      <c r="AB7" s="760" t="s">
        <v>351</v>
      </c>
      <c r="AC7" s="760" t="s">
        <v>352</v>
      </c>
      <c r="AD7" s="760" t="s">
        <v>353</v>
      </c>
      <c r="AE7" s="760" t="s">
        <v>354</v>
      </c>
      <c r="AF7" s="760" t="s">
        <v>355</v>
      </c>
      <c r="AG7" s="760" t="s">
        <v>356</v>
      </c>
      <c r="AH7" s="760" t="s">
        <v>357</v>
      </c>
      <c r="AI7" s="760" t="s">
        <v>358</v>
      </c>
      <c r="AJ7" s="760" t="s">
        <v>359</v>
      </c>
      <c r="AK7" s="760" t="s">
        <v>360</v>
      </c>
      <c r="AL7" s="760" t="s">
        <v>361</v>
      </c>
      <c r="AM7" s="760" t="s">
        <v>362</v>
      </c>
      <c r="AN7" s="760" t="s">
        <v>363</v>
      </c>
      <c r="AO7" s="760" t="s">
        <v>364</v>
      </c>
      <c r="AP7" s="760" t="s">
        <v>365</v>
      </c>
      <c r="AQ7" s="760" t="s">
        <v>366</v>
      </c>
      <c r="AR7" s="760" t="s">
        <v>367</v>
      </c>
      <c r="AS7" s="760" t="s">
        <v>368</v>
      </c>
      <c r="AT7" s="760" t="s">
        <v>369</v>
      </c>
      <c r="AU7" s="752" t="s">
        <v>370</v>
      </c>
      <c r="AV7" s="752" t="s">
        <v>371</v>
      </c>
      <c r="AW7" s="752" t="s">
        <v>372</v>
      </c>
      <c r="AX7" s="752" t="s">
        <v>373</v>
      </c>
      <c r="AY7" s="752" t="s">
        <v>374</v>
      </c>
      <c r="AZ7" s="752" t="s">
        <v>375</v>
      </c>
      <c r="BA7" s="752" t="s">
        <v>376</v>
      </c>
      <c r="BB7" s="752" t="s">
        <v>377</v>
      </c>
      <c r="BC7" s="752" t="s">
        <v>378</v>
      </c>
      <c r="BD7" s="752" t="s">
        <v>379</v>
      </c>
      <c r="BE7" s="752" t="s">
        <v>380</v>
      </c>
      <c r="BF7" s="752" t="s">
        <v>381</v>
      </c>
      <c r="BG7" s="752" t="s">
        <v>382</v>
      </c>
      <c r="BH7" s="752" t="s">
        <v>383</v>
      </c>
      <c r="BI7" s="752" t="s">
        <v>384</v>
      </c>
      <c r="BJ7" s="752" t="s">
        <v>385</v>
      </c>
      <c r="BK7" s="752" t="s">
        <v>386</v>
      </c>
      <c r="BL7" s="752" t="s">
        <v>387</v>
      </c>
      <c r="BM7" s="752" t="s">
        <v>388</v>
      </c>
      <c r="BN7" s="752" t="s">
        <v>389</v>
      </c>
      <c r="BO7" s="752" t="s">
        <v>390</v>
      </c>
      <c r="BP7" s="752" t="s">
        <v>391</v>
      </c>
      <c r="BQ7" s="752" t="s">
        <v>392</v>
      </c>
      <c r="BR7" s="752" t="s">
        <v>393</v>
      </c>
      <c r="BS7" s="752" t="s">
        <v>394</v>
      </c>
      <c r="BT7" s="752" t="s">
        <v>395</v>
      </c>
      <c r="BU7" s="752" t="s">
        <v>396</v>
      </c>
      <c r="BV7" s="752" t="s">
        <v>397</v>
      </c>
      <c r="BW7" s="752" t="s">
        <v>398</v>
      </c>
    </row>
    <row r="8" spans="1:75" ht="13.15" x14ac:dyDescent="0.25">
      <c r="A8" s="752" t="s">
        <v>399</v>
      </c>
      <c r="B8" s="752" t="s">
        <v>400</v>
      </c>
      <c r="C8" s="761">
        <v>2.0350000000000001</v>
      </c>
      <c r="D8" s="761">
        <v>2.06</v>
      </c>
      <c r="E8" s="761">
        <v>2.0640000000000001</v>
      </c>
      <c r="F8" s="761">
        <v>2.0870000000000002</v>
      </c>
      <c r="G8" s="761">
        <v>2.1040000000000001</v>
      </c>
      <c r="H8" s="761">
        <v>2.1150000000000002</v>
      </c>
      <c r="I8" s="761">
        <v>2.1480000000000001</v>
      </c>
      <c r="J8" s="761">
        <v>2.169</v>
      </c>
      <c r="K8" s="761">
        <v>2.1869999999999998</v>
      </c>
      <c r="L8" s="761">
        <v>2.214</v>
      </c>
      <c r="M8" s="761">
        <v>2.2330000000000001</v>
      </c>
      <c r="N8" s="761">
        <v>2.2210000000000001</v>
      </c>
      <c r="O8" s="761">
        <v>2.234</v>
      </c>
      <c r="P8" s="761">
        <v>2.2599999999999998</v>
      </c>
      <c r="Q8" s="761">
        <v>2.274</v>
      </c>
      <c r="R8" s="761">
        <v>2.3010000000000002</v>
      </c>
      <c r="S8" s="761">
        <v>2.3210000000000002</v>
      </c>
      <c r="T8" s="761">
        <v>2.3620000000000001</v>
      </c>
      <c r="U8" s="761">
        <v>2.4020000000000001</v>
      </c>
      <c r="V8" s="761">
        <v>2.351</v>
      </c>
      <c r="W8" s="761">
        <v>2.3439999999999999</v>
      </c>
      <c r="X8" s="761">
        <v>2.3479999999999999</v>
      </c>
      <c r="Y8" s="761">
        <v>2.3690000000000002</v>
      </c>
      <c r="Z8" s="761">
        <v>2.383</v>
      </c>
      <c r="AA8" s="761">
        <v>2.383</v>
      </c>
      <c r="AB8" s="761">
        <v>2.3839999999999999</v>
      </c>
      <c r="AC8" s="761">
        <v>2.399</v>
      </c>
      <c r="AD8" s="761">
        <v>2.4220000000000002</v>
      </c>
      <c r="AE8" s="761">
        <v>2.4350000000000001</v>
      </c>
      <c r="AF8" s="761">
        <v>2.4780000000000002</v>
      </c>
      <c r="AG8" s="761">
        <v>2.4889999999999999</v>
      </c>
      <c r="AH8" s="761">
        <v>2.4969999999999999</v>
      </c>
      <c r="AI8" s="761">
        <v>2.5169999999999999</v>
      </c>
      <c r="AJ8" s="761">
        <v>2.52</v>
      </c>
      <c r="AK8" s="761">
        <v>2.5299999999999998</v>
      </c>
      <c r="AL8" s="761">
        <v>2.5489999999999999</v>
      </c>
      <c r="AM8" s="761">
        <v>2.5579999999999998</v>
      </c>
      <c r="AN8" s="761">
        <v>2.5539999999999998</v>
      </c>
      <c r="AO8" s="761">
        <v>2.5739999999999998</v>
      </c>
      <c r="AP8" s="761">
        <v>2.589</v>
      </c>
      <c r="AQ8" s="761">
        <v>2.601</v>
      </c>
      <c r="AR8" s="761">
        <v>2.6070000000000002</v>
      </c>
      <c r="AS8" s="761">
        <v>2.6139999999999999</v>
      </c>
      <c r="AT8" s="761">
        <v>2.617</v>
      </c>
      <c r="AU8" s="761">
        <v>2.6190000000000002</v>
      </c>
      <c r="AV8" s="761">
        <v>2.6230000000000002</v>
      </c>
      <c r="AW8" s="761">
        <v>2.621</v>
      </c>
      <c r="AX8" s="761">
        <v>2.629</v>
      </c>
      <c r="AY8" s="761">
        <v>2.6320000000000001</v>
      </c>
      <c r="AZ8" s="761">
        <v>2.6459999999999999</v>
      </c>
      <c r="BA8" s="761">
        <v>2.6659999999999999</v>
      </c>
      <c r="BB8" s="761">
        <v>2.6779999999999999</v>
      </c>
      <c r="BC8" s="761">
        <v>2.6960000000000002</v>
      </c>
      <c r="BD8" s="761">
        <v>2.694</v>
      </c>
      <c r="BE8" s="761">
        <v>2.7090000000000001</v>
      </c>
      <c r="BF8" s="761">
        <v>2.7240000000000002</v>
      </c>
      <c r="BG8" s="761">
        <v>2.7349999999999999</v>
      </c>
      <c r="BH8" s="761">
        <v>2.7440000000000002</v>
      </c>
      <c r="BI8" s="761">
        <v>2.76</v>
      </c>
      <c r="BJ8" s="761">
        <v>2.7759999999999998</v>
      </c>
      <c r="BK8" s="761">
        <v>2.7909999999999999</v>
      </c>
      <c r="BL8" s="761">
        <v>2.8090000000000002</v>
      </c>
      <c r="BM8" s="761">
        <v>2.8239999999999998</v>
      </c>
      <c r="BN8" s="761">
        <v>2.8460000000000001</v>
      </c>
      <c r="BO8" s="761">
        <v>2.8660000000000001</v>
      </c>
      <c r="BP8" s="761">
        <v>2.8849999999999998</v>
      </c>
      <c r="BQ8" s="761">
        <v>2.9049999999999998</v>
      </c>
      <c r="BR8" s="761">
        <v>2.9239999999999999</v>
      </c>
      <c r="BS8" s="761">
        <v>2.9420000000000002</v>
      </c>
      <c r="BT8" s="761">
        <v>2.96</v>
      </c>
      <c r="BU8" s="761">
        <v>2.9790000000000001</v>
      </c>
      <c r="BV8" s="761">
        <v>2.9980000000000002</v>
      </c>
    </row>
    <row r="9" spans="1:75" ht="13.15" x14ac:dyDescent="0.25">
      <c r="A9" s="752" t="s">
        <v>401</v>
      </c>
      <c r="B9" s="752" t="s">
        <v>402</v>
      </c>
      <c r="C9" s="761">
        <v>2.0350000000000001</v>
      </c>
      <c r="D9" s="761">
        <v>2.06</v>
      </c>
      <c r="E9" s="761">
        <v>2.0640000000000001</v>
      </c>
      <c r="F9" s="761">
        <v>2.0870000000000002</v>
      </c>
      <c r="G9" s="761">
        <v>2.1040000000000001</v>
      </c>
      <c r="H9" s="761">
        <v>2.1150000000000002</v>
      </c>
      <c r="I9" s="761">
        <v>2.1480000000000001</v>
      </c>
      <c r="J9" s="761">
        <v>2.169</v>
      </c>
      <c r="K9" s="761">
        <v>2.1869999999999998</v>
      </c>
      <c r="L9" s="761">
        <v>2.214</v>
      </c>
      <c r="M9" s="761">
        <v>2.2330000000000001</v>
      </c>
      <c r="N9" s="761">
        <v>2.2210000000000001</v>
      </c>
      <c r="O9" s="761">
        <v>2.234</v>
      </c>
      <c r="P9" s="761">
        <v>2.2599999999999998</v>
      </c>
      <c r="Q9" s="761">
        <v>2.274</v>
      </c>
      <c r="R9" s="761">
        <v>2.3010000000000002</v>
      </c>
      <c r="S9" s="761">
        <v>2.3210000000000002</v>
      </c>
      <c r="T9" s="761">
        <v>2.3620000000000001</v>
      </c>
      <c r="U9" s="761">
        <v>2.4020000000000001</v>
      </c>
      <c r="V9" s="761">
        <v>2.351</v>
      </c>
      <c r="W9" s="761">
        <v>2.3439999999999999</v>
      </c>
      <c r="X9" s="761">
        <v>2.3479999999999999</v>
      </c>
      <c r="Y9" s="761">
        <v>2.3690000000000002</v>
      </c>
      <c r="Z9" s="761">
        <v>2.383</v>
      </c>
      <c r="AA9" s="761">
        <v>2.383</v>
      </c>
      <c r="AB9" s="761">
        <v>2.3839999999999999</v>
      </c>
      <c r="AC9" s="761">
        <v>2.399</v>
      </c>
      <c r="AD9" s="761">
        <v>2.4220000000000002</v>
      </c>
      <c r="AE9" s="761">
        <v>2.4350000000000001</v>
      </c>
      <c r="AF9" s="761">
        <v>2.4780000000000002</v>
      </c>
      <c r="AG9" s="761">
        <v>2.4889999999999999</v>
      </c>
      <c r="AH9" s="761">
        <v>2.4969999999999999</v>
      </c>
      <c r="AI9" s="761">
        <v>2.5169999999999999</v>
      </c>
      <c r="AJ9" s="761">
        <v>2.52</v>
      </c>
      <c r="AK9" s="761">
        <v>2.5299999999999998</v>
      </c>
      <c r="AL9" s="761">
        <v>2.5489999999999999</v>
      </c>
      <c r="AM9" s="761">
        <v>2.5579999999999998</v>
      </c>
      <c r="AN9" s="761">
        <v>2.5539999999999998</v>
      </c>
      <c r="AO9" s="761">
        <v>2.5739999999999998</v>
      </c>
      <c r="AP9" s="761">
        <v>2.589</v>
      </c>
      <c r="AQ9" s="761">
        <v>2.601</v>
      </c>
      <c r="AR9" s="761">
        <v>2.6070000000000002</v>
      </c>
      <c r="AS9" s="761">
        <v>2.6139999999999999</v>
      </c>
      <c r="AT9" s="761">
        <v>2.617</v>
      </c>
      <c r="AU9" s="761">
        <v>2.6190000000000002</v>
      </c>
      <c r="AV9" s="761">
        <v>2.6230000000000002</v>
      </c>
      <c r="AW9" s="761">
        <v>2.621</v>
      </c>
      <c r="AX9" s="761">
        <v>2.629</v>
      </c>
      <c r="AY9" s="761">
        <v>2.6320000000000001</v>
      </c>
      <c r="AZ9" s="761">
        <v>2.6459999999999999</v>
      </c>
      <c r="BA9" s="761">
        <v>2.6659999999999999</v>
      </c>
      <c r="BB9" s="761">
        <v>2.6779999999999999</v>
      </c>
      <c r="BC9" s="761">
        <v>2.6960000000000002</v>
      </c>
      <c r="BD9" s="761">
        <v>2.694</v>
      </c>
      <c r="BE9" s="761">
        <v>2.7090000000000001</v>
      </c>
      <c r="BF9" s="761">
        <v>2.7229999999999999</v>
      </c>
      <c r="BG9" s="761">
        <v>2.7330000000000001</v>
      </c>
      <c r="BH9" s="761">
        <v>2.74</v>
      </c>
      <c r="BI9" s="761">
        <v>2.754</v>
      </c>
      <c r="BJ9" s="761">
        <v>2.7679999999999998</v>
      </c>
      <c r="BK9" s="761">
        <v>2.7810000000000001</v>
      </c>
      <c r="BL9" s="761">
        <v>2.7959999999999998</v>
      </c>
      <c r="BM9" s="761">
        <v>2.8079999999999998</v>
      </c>
      <c r="BN9" s="761">
        <v>2.8279999999999998</v>
      </c>
      <c r="BO9" s="761">
        <v>2.8460000000000001</v>
      </c>
      <c r="BP9" s="761">
        <v>2.863</v>
      </c>
      <c r="BQ9" s="761">
        <v>2.88</v>
      </c>
      <c r="BR9" s="761">
        <v>2.8969999999999998</v>
      </c>
      <c r="BS9" s="761">
        <v>2.9129999999999998</v>
      </c>
      <c r="BT9" s="761">
        <v>2.9279999999999999</v>
      </c>
      <c r="BU9" s="761">
        <v>2.9449999999999998</v>
      </c>
      <c r="BV9" s="761">
        <v>2.9590000000000001</v>
      </c>
    </row>
    <row r="10" spans="1:75" ht="13.15" x14ac:dyDescent="0.25">
      <c r="A10" s="752" t="s">
        <v>403</v>
      </c>
      <c r="B10" s="752" t="s">
        <v>404</v>
      </c>
      <c r="C10" s="761">
        <v>2.0350000000000001</v>
      </c>
      <c r="D10" s="761">
        <v>2.06</v>
      </c>
      <c r="E10" s="761">
        <v>2.0640000000000001</v>
      </c>
      <c r="F10" s="761">
        <v>2.0870000000000002</v>
      </c>
      <c r="G10" s="761">
        <v>2.1040000000000001</v>
      </c>
      <c r="H10" s="761">
        <v>2.1150000000000002</v>
      </c>
      <c r="I10" s="761">
        <v>2.1480000000000001</v>
      </c>
      <c r="J10" s="761">
        <v>2.169</v>
      </c>
      <c r="K10" s="761">
        <v>2.1869999999999998</v>
      </c>
      <c r="L10" s="761">
        <v>2.214</v>
      </c>
      <c r="M10" s="761">
        <v>2.2330000000000001</v>
      </c>
      <c r="N10" s="761">
        <v>2.2210000000000001</v>
      </c>
      <c r="O10" s="761">
        <v>2.234</v>
      </c>
      <c r="P10" s="761">
        <v>2.2599999999999998</v>
      </c>
      <c r="Q10" s="761">
        <v>2.274</v>
      </c>
      <c r="R10" s="761">
        <v>2.3010000000000002</v>
      </c>
      <c r="S10" s="761">
        <v>2.3210000000000002</v>
      </c>
      <c r="T10" s="761">
        <v>2.3620000000000001</v>
      </c>
      <c r="U10" s="761">
        <v>2.4020000000000001</v>
      </c>
      <c r="V10" s="761">
        <v>2.351</v>
      </c>
      <c r="W10" s="761">
        <v>2.3439999999999999</v>
      </c>
      <c r="X10" s="761">
        <v>2.3479999999999999</v>
      </c>
      <c r="Y10" s="761">
        <v>2.3690000000000002</v>
      </c>
      <c r="Z10" s="761">
        <v>2.383</v>
      </c>
      <c r="AA10" s="761">
        <v>2.383</v>
      </c>
      <c r="AB10" s="761">
        <v>2.3839999999999999</v>
      </c>
      <c r="AC10" s="761">
        <v>2.399</v>
      </c>
      <c r="AD10" s="761">
        <v>2.4220000000000002</v>
      </c>
      <c r="AE10" s="761">
        <v>2.4350000000000001</v>
      </c>
      <c r="AF10" s="761">
        <v>2.4780000000000002</v>
      </c>
      <c r="AG10" s="761">
        <v>2.4889999999999999</v>
      </c>
      <c r="AH10" s="761">
        <v>2.4969999999999999</v>
      </c>
      <c r="AI10" s="761">
        <v>2.5169999999999999</v>
      </c>
      <c r="AJ10" s="761">
        <v>2.52</v>
      </c>
      <c r="AK10" s="761">
        <v>2.5299999999999998</v>
      </c>
      <c r="AL10" s="761">
        <v>2.5489999999999999</v>
      </c>
      <c r="AM10" s="761">
        <v>2.5579999999999998</v>
      </c>
      <c r="AN10" s="761">
        <v>2.5539999999999998</v>
      </c>
      <c r="AO10" s="761">
        <v>2.5739999999999998</v>
      </c>
      <c r="AP10" s="761">
        <v>2.589</v>
      </c>
      <c r="AQ10" s="761">
        <v>2.601</v>
      </c>
      <c r="AR10" s="761">
        <v>2.6070000000000002</v>
      </c>
      <c r="AS10" s="761">
        <v>2.6139999999999999</v>
      </c>
      <c r="AT10" s="761">
        <v>2.617</v>
      </c>
      <c r="AU10" s="761">
        <v>2.6190000000000002</v>
      </c>
      <c r="AV10" s="761">
        <v>2.6230000000000002</v>
      </c>
      <c r="AW10" s="761">
        <v>2.621</v>
      </c>
      <c r="AX10" s="761">
        <v>2.629</v>
      </c>
      <c r="AY10" s="761">
        <v>2.6320000000000001</v>
      </c>
      <c r="AZ10" s="761">
        <v>2.6459999999999999</v>
      </c>
      <c r="BA10" s="761">
        <v>2.6659999999999999</v>
      </c>
      <c r="BB10" s="761">
        <v>2.6779999999999999</v>
      </c>
      <c r="BC10" s="761">
        <v>2.6960000000000002</v>
      </c>
      <c r="BD10" s="761">
        <v>2.694</v>
      </c>
      <c r="BE10" s="761">
        <v>2.7090000000000001</v>
      </c>
      <c r="BF10" s="761">
        <v>2.7280000000000002</v>
      </c>
      <c r="BG10" s="761">
        <v>2.7429999999999999</v>
      </c>
      <c r="BH10" s="761">
        <v>2.7549999999999999</v>
      </c>
      <c r="BI10" s="761">
        <v>2.7749999999999999</v>
      </c>
      <c r="BJ10" s="761">
        <v>2.7959999999999998</v>
      </c>
      <c r="BK10" s="761">
        <v>2.8149999999999999</v>
      </c>
      <c r="BL10" s="761">
        <v>2.8380000000000001</v>
      </c>
      <c r="BM10" s="761">
        <v>2.8580000000000001</v>
      </c>
      <c r="BN10" s="761">
        <v>2.887</v>
      </c>
      <c r="BO10" s="761">
        <v>2.9129999999999998</v>
      </c>
      <c r="BP10" s="761">
        <v>2.9390000000000001</v>
      </c>
      <c r="BQ10" s="761">
        <v>2.9649999999999999</v>
      </c>
      <c r="BR10" s="761">
        <v>2.99</v>
      </c>
      <c r="BS10" s="761">
        <v>3.016</v>
      </c>
      <c r="BT10" s="761">
        <v>3.0419999999999998</v>
      </c>
      <c r="BU10" s="761">
        <v>3.069</v>
      </c>
      <c r="BV10" s="761">
        <v>3.097</v>
      </c>
    </row>
    <row r="12" spans="1:75" ht="13.15" x14ac:dyDescent="0.25">
      <c r="C12" s="540"/>
      <c r="D12" s="540"/>
      <c r="E12" s="540"/>
      <c r="F12" s="540"/>
      <c r="G12" s="540"/>
      <c r="H12" s="540"/>
      <c r="I12" s="540"/>
      <c r="J12" s="540"/>
      <c r="K12" s="540"/>
      <c r="L12" s="540"/>
      <c r="M12" s="540"/>
      <c r="N12" s="540"/>
      <c r="O12" s="540"/>
      <c r="P12" s="540"/>
      <c r="Q12" s="540"/>
      <c r="R12" s="540"/>
      <c r="S12" s="540"/>
      <c r="T12" s="540"/>
      <c r="U12" s="540"/>
      <c r="V12" s="540"/>
      <c r="W12" s="540"/>
      <c r="X12" s="540"/>
      <c r="Y12" s="540"/>
      <c r="Z12" s="540"/>
      <c r="AA12" s="540"/>
      <c r="AB12" s="540"/>
      <c r="AC12" s="540"/>
      <c r="AD12" s="540"/>
      <c r="AE12" s="540"/>
      <c r="AF12" s="540"/>
      <c r="AG12" s="540"/>
      <c r="AH12" s="540"/>
      <c r="AI12" s="540"/>
      <c r="AJ12" s="540"/>
      <c r="AK12" s="540"/>
      <c r="AL12" s="540"/>
      <c r="AM12" s="540"/>
      <c r="AN12" s="540"/>
      <c r="AO12" s="540"/>
      <c r="AP12" s="540"/>
      <c r="AQ12" s="540"/>
      <c r="AR12" s="540"/>
      <c r="AS12" s="540"/>
      <c r="AT12" s="540"/>
    </row>
    <row r="13" spans="1:75" ht="13.15" x14ac:dyDescent="0.25">
      <c r="C13" s="761"/>
      <c r="D13" s="761"/>
      <c r="E13" s="761"/>
      <c r="F13" s="761"/>
      <c r="G13" s="761"/>
      <c r="H13" s="761"/>
      <c r="I13" s="761"/>
      <c r="J13" s="761"/>
      <c r="K13" s="761"/>
      <c r="L13" s="761"/>
      <c r="M13" s="761"/>
      <c r="N13" s="761"/>
      <c r="O13" s="761"/>
      <c r="P13" s="761"/>
      <c r="Q13" s="761"/>
      <c r="R13" s="761"/>
      <c r="S13" s="761"/>
      <c r="T13" s="761"/>
      <c r="U13" s="761"/>
      <c r="V13" s="761"/>
      <c r="W13" s="761"/>
      <c r="X13" s="761"/>
      <c r="Y13" s="761"/>
      <c r="Z13" s="761"/>
      <c r="AA13" s="761"/>
      <c r="AB13" s="761"/>
      <c r="AC13" s="761"/>
      <c r="AD13" s="761"/>
      <c r="AE13" s="761"/>
      <c r="AF13" s="761"/>
      <c r="AG13" s="761"/>
      <c r="AH13" s="761"/>
      <c r="AI13" s="761"/>
      <c r="AJ13" s="761"/>
      <c r="AK13" s="761"/>
      <c r="AL13" s="761"/>
      <c r="AM13" s="761"/>
      <c r="AN13" s="761"/>
      <c r="AO13" s="761"/>
      <c r="AP13" s="761"/>
      <c r="AQ13" s="761"/>
      <c r="AR13" s="761"/>
      <c r="AS13" s="761"/>
      <c r="AT13" s="761"/>
    </row>
    <row r="14" spans="1:75" ht="13.15" x14ac:dyDescent="0.25">
      <c r="C14" s="761"/>
      <c r="D14" s="761"/>
      <c r="E14" s="761"/>
      <c r="F14" s="761"/>
      <c r="G14" s="761"/>
      <c r="H14" s="761"/>
      <c r="I14" s="761"/>
      <c r="J14" s="761"/>
      <c r="K14" s="761"/>
      <c r="L14" s="761"/>
      <c r="M14" s="761"/>
      <c r="N14" s="761"/>
      <c r="O14" s="761"/>
      <c r="P14" s="761"/>
      <c r="Q14" s="761"/>
      <c r="R14" s="761"/>
      <c r="S14" s="761"/>
      <c r="T14" s="761"/>
      <c r="U14" s="761"/>
      <c r="V14" s="761"/>
      <c r="W14" s="761"/>
      <c r="X14" s="761"/>
      <c r="Y14" s="761"/>
      <c r="Z14" s="761"/>
      <c r="AA14" s="761"/>
      <c r="AB14" s="761"/>
      <c r="AC14" s="761"/>
      <c r="AD14" s="761"/>
      <c r="AE14" s="761"/>
      <c r="AF14" s="761"/>
      <c r="AG14" s="761"/>
      <c r="AH14" s="761"/>
      <c r="AI14" s="761"/>
      <c r="AJ14" s="761"/>
      <c r="AK14" s="761"/>
      <c r="AL14" s="761"/>
      <c r="AM14" s="761"/>
      <c r="AN14" s="761"/>
      <c r="AO14" s="761"/>
      <c r="AP14" s="761"/>
      <c r="AQ14" s="761"/>
      <c r="AR14" s="761"/>
      <c r="AS14" s="761"/>
      <c r="AT14" s="761"/>
    </row>
    <row r="15" spans="1:75" ht="13.15" x14ac:dyDescent="0.25">
      <c r="C15" s="761"/>
      <c r="D15" s="761"/>
      <c r="E15" s="761"/>
      <c r="F15" s="761"/>
      <c r="G15" s="761"/>
      <c r="H15" s="761"/>
      <c r="I15" s="761"/>
      <c r="J15" s="761"/>
      <c r="K15" s="761"/>
      <c r="L15" s="761"/>
      <c r="M15" s="761"/>
      <c r="N15" s="761"/>
      <c r="O15" s="761"/>
      <c r="P15" s="761"/>
      <c r="Q15" s="761"/>
      <c r="R15" s="761"/>
      <c r="S15" s="761"/>
      <c r="T15" s="761"/>
      <c r="U15" s="761"/>
      <c r="V15" s="761"/>
      <c r="W15" s="761"/>
      <c r="X15" s="761"/>
      <c r="Y15" s="761"/>
      <c r="Z15" s="761"/>
      <c r="AA15" s="761"/>
      <c r="AB15" s="761"/>
      <c r="AC15" s="761"/>
      <c r="AD15" s="761"/>
      <c r="AE15" s="761"/>
      <c r="AF15" s="761"/>
      <c r="AG15" s="761"/>
      <c r="AH15" s="761"/>
      <c r="AI15" s="761"/>
      <c r="AJ15" s="761"/>
      <c r="AK15" s="761"/>
      <c r="AL15" s="761"/>
      <c r="AM15" s="761"/>
      <c r="AN15" s="761"/>
      <c r="AO15" s="761"/>
      <c r="AP15" s="761"/>
      <c r="AQ15" s="761"/>
      <c r="AR15" s="761"/>
      <c r="AS15" s="761"/>
      <c r="AT15" s="761"/>
    </row>
    <row r="16" spans="1:75" ht="13.15" x14ac:dyDescent="0.25">
      <c r="C16" s="761"/>
      <c r="D16" s="761"/>
      <c r="E16" s="761"/>
      <c r="F16" s="761"/>
      <c r="G16" s="761"/>
      <c r="H16" s="761"/>
      <c r="I16" s="761"/>
      <c r="J16" s="761"/>
      <c r="K16" s="761"/>
      <c r="L16" s="761"/>
      <c r="M16" s="761"/>
      <c r="N16" s="761"/>
      <c r="O16" s="761"/>
      <c r="P16" s="761"/>
      <c r="Q16" s="761"/>
      <c r="R16" s="761"/>
      <c r="S16" s="761"/>
      <c r="T16" s="761"/>
      <c r="U16" s="761"/>
      <c r="V16" s="761"/>
      <c r="W16" s="761"/>
      <c r="X16" s="761"/>
      <c r="Y16" s="761"/>
      <c r="Z16" s="761"/>
      <c r="AA16" s="761"/>
      <c r="AB16" s="761"/>
      <c r="AC16" s="761"/>
      <c r="AD16" s="761"/>
      <c r="AE16" s="761"/>
      <c r="AF16" s="761"/>
      <c r="AG16" s="761"/>
      <c r="AH16" s="761"/>
      <c r="AI16" s="761"/>
      <c r="AJ16" s="761"/>
      <c r="AK16" s="761"/>
      <c r="AL16" s="761"/>
      <c r="AM16" s="761"/>
      <c r="AN16" s="761"/>
      <c r="AO16" s="761"/>
      <c r="AP16" s="761"/>
      <c r="AQ16" s="761"/>
      <c r="AR16" s="761"/>
      <c r="AS16" s="761"/>
      <c r="AT16" s="761"/>
    </row>
    <row r="17" spans="3:68" ht="13.15" x14ac:dyDescent="0.25">
      <c r="C17" s="762"/>
      <c r="D17" s="762"/>
      <c r="E17" s="762"/>
      <c r="F17" s="762"/>
      <c r="G17" s="762"/>
      <c r="H17" s="762"/>
      <c r="I17" s="762"/>
      <c r="J17" s="762"/>
      <c r="K17" s="762"/>
      <c r="L17" s="762"/>
      <c r="M17" s="762"/>
      <c r="N17" s="762"/>
      <c r="O17" s="762"/>
      <c r="P17" s="762"/>
      <c r="Q17" s="762"/>
      <c r="R17" s="762"/>
      <c r="S17" s="762"/>
      <c r="T17" s="762"/>
      <c r="U17" s="762"/>
      <c r="V17" s="762"/>
      <c r="W17" s="762"/>
      <c r="X17" s="762"/>
      <c r="Y17" s="762"/>
      <c r="Z17" s="762"/>
      <c r="AA17" s="762"/>
      <c r="AB17" s="762"/>
      <c r="AC17" s="762"/>
      <c r="AD17" s="762"/>
      <c r="AE17" s="762"/>
      <c r="AF17" s="762"/>
      <c r="AG17" s="762"/>
      <c r="AH17" s="762"/>
      <c r="AI17" s="762"/>
      <c r="AJ17" s="762"/>
      <c r="AK17" s="762"/>
      <c r="AL17" s="762"/>
      <c r="AM17" s="762"/>
      <c r="AN17" s="762"/>
      <c r="AO17" s="762"/>
      <c r="AP17" s="762"/>
      <c r="BE17" s="763" t="s">
        <v>405</v>
      </c>
      <c r="BF17" s="764"/>
      <c r="BG17" s="764"/>
      <c r="BH17" s="765" t="s">
        <v>406</v>
      </c>
      <c r="BI17" s="766"/>
      <c r="BJ17" s="766"/>
      <c r="BK17" s="766"/>
      <c r="BL17" s="766"/>
      <c r="BM17" s="766"/>
      <c r="BN17" s="764"/>
      <c r="BO17" s="764"/>
      <c r="BP17" s="764"/>
    </row>
    <row r="18" spans="3:68" ht="13.15" x14ac:dyDescent="0.25">
      <c r="BE18" s="767"/>
      <c r="BF18" s="768"/>
      <c r="BG18" s="768"/>
      <c r="BH18" s="768"/>
      <c r="BI18" s="768"/>
      <c r="BJ18" s="768"/>
      <c r="BK18" s="768"/>
      <c r="BL18" s="768"/>
      <c r="BM18" s="768"/>
      <c r="BN18" s="768"/>
      <c r="BO18" s="768"/>
      <c r="BP18" s="769"/>
    </row>
    <row r="19" spans="3:68" ht="13.15" x14ac:dyDescent="0.25">
      <c r="BE19" s="770"/>
      <c r="BF19" s="771" t="s">
        <v>407</v>
      </c>
      <c r="BG19" s="772" t="s">
        <v>408</v>
      </c>
      <c r="BH19" s="772"/>
      <c r="BI19" s="772"/>
      <c r="BJ19" s="772"/>
      <c r="BK19" s="772"/>
      <c r="BL19" s="772"/>
      <c r="BM19" s="772"/>
      <c r="BN19" s="772"/>
      <c r="BO19" s="772"/>
      <c r="BP19" s="773"/>
    </row>
    <row r="20" spans="3:68" ht="13.15" x14ac:dyDescent="0.25">
      <c r="BE20" s="770"/>
      <c r="BF20" s="772"/>
      <c r="BG20" s="774" t="str">
        <f>BI7</f>
        <v>2018Q3</v>
      </c>
      <c r="BH20" s="772"/>
      <c r="BI20" s="772"/>
      <c r="BJ20" s="772"/>
      <c r="BK20" s="772"/>
      <c r="BL20" s="772"/>
      <c r="BM20" s="772"/>
      <c r="BN20" s="772"/>
      <c r="BO20" s="772"/>
      <c r="BP20" s="775" t="s">
        <v>409</v>
      </c>
    </row>
    <row r="21" spans="3:68" ht="13.15" x14ac:dyDescent="0.25">
      <c r="BE21" s="770"/>
      <c r="BF21" s="772"/>
      <c r="BG21" s="761">
        <f>BI9</f>
        <v>2.754</v>
      </c>
      <c r="BH21" s="772"/>
      <c r="BI21" s="772"/>
      <c r="BJ21" s="772"/>
      <c r="BK21" s="772"/>
      <c r="BL21" s="772"/>
      <c r="BM21" s="772"/>
      <c r="BN21" s="772"/>
      <c r="BO21" s="772"/>
      <c r="BP21" s="776">
        <f>BG21</f>
        <v>2.754</v>
      </c>
    </row>
    <row r="22" spans="3:68" ht="13.15" x14ac:dyDescent="0.25">
      <c r="BE22" s="770"/>
      <c r="BF22" s="772"/>
      <c r="BG22" s="772"/>
      <c r="BH22" s="772"/>
      <c r="BI22" s="772"/>
      <c r="BJ22" s="772"/>
      <c r="BK22" s="772"/>
      <c r="BL22" s="772"/>
      <c r="BM22" s="772"/>
      <c r="BN22" s="772"/>
      <c r="BO22" s="772"/>
      <c r="BP22" s="777"/>
    </row>
    <row r="23" spans="3:68" ht="13.15" x14ac:dyDescent="0.25">
      <c r="BE23" s="770"/>
      <c r="BF23" s="771" t="s">
        <v>410</v>
      </c>
      <c r="BG23" s="772" t="s">
        <v>411</v>
      </c>
      <c r="BH23" s="772"/>
      <c r="BI23" s="772"/>
      <c r="BJ23" s="772"/>
      <c r="BK23" s="772"/>
      <c r="BL23" s="772"/>
      <c r="BM23" s="772"/>
      <c r="BN23" s="772"/>
      <c r="BO23" s="772"/>
      <c r="BP23" s="777"/>
    </row>
    <row r="24" spans="3:68" ht="13.15" x14ac:dyDescent="0.25">
      <c r="BE24" s="770"/>
      <c r="BF24" s="772"/>
      <c r="BG24" s="752" t="str">
        <f>BI7</f>
        <v>2018Q3</v>
      </c>
      <c r="BH24" s="752" t="str">
        <f t="shared" ref="BH24:BN24" si="0">BJ7</f>
        <v>2018Q4</v>
      </c>
      <c r="BI24" s="752" t="str">
        <f t="shared" si="0"/>
        <v>2019Q1</v>
      </c>
      <c r="BJ24" s="752" t="str">
        <f t="shared" si="0"/>
        <v>2019Q2</v>
      </c>
      <c r="BK24" s="752" t="str">
        <f t="shared" si="0"/>
        <v>2019Q3</v>
      </c>
      <c r="BL24" s="752" t="str">
        <f t="shared" si="0"/>
        <v>2019Q4</v>
      </c>
      <c r="BM24" s="752" t="str">
        <f t="shared" si="0"/>
        <v>2020Q1</v>
      </c>
      <c r="BN24" s="752" t="str">
        <f t="shared" si="0"/>
        <v>2020Q2</v>
      </c>
      <c r="BO24" s="772"/>
      <c r="BP24" s="777"/>
    </row>
    <row r="25" spans="3:68" ht="13.15" x14ac:dyDescent="0.25">
      <c r="BE25" s="770"/>
      <c r="BF25" s="772"/>
      <c r="BG25" s="761">
        <f>BI9</f>
        <v>2.754</v>
      </c>
      <c r="BH25" s="761">
        <f t="shared" ref="BH25:BN25" si="1">BJ9</f>
        <v>2.7679999999999998</v>
      </c>
      <c r="BI25" s="761">
        <f t="shared" si="1"/>
        <v>2.7810000000000001</v>
      </c>
      <c r="BJ25" s="761">
        <f t="shared" si="1"/>
        <v>2.7959999999999998</v>
      </c>
      <c r="BK25" s="761">
        <f t="shared" si="1"/>
        <v>2.8079999999999998</v>
      </c>
      <c r="BL25" s="761">
        <f t="shared" si="1"/>
        <v>2.8279999999999998</v>
      </c>
      <c r="BM25" s="761">
        <f t="shared" si="1"/>
        <v>2.8460000000000001</v>
      </c>
      <c r="BN25" s="761">
        <f t="shared" si="1"/>
        <v>2.863</v>
      </c>
      <c r="BO25" s="772"/>
      <c r="BP25" s="776">
        <f>AVERAGE(BG25:BN25)</f>
        <v>2.8054999999999999</v>
      </c>
    </row>
    <row r="26" spans="3:68" ht="13.15" x14ac:dyDescent="0.25">
      <c r="BE26" s="770"/>
      <c r="BF26" s="772"/>
      <c r="BG26" s="772"/>
      <c r="BH26" s="772"/>
      <c r="BI26" s="772"/>
      <c r="BJ26" s="772"/>
      <c r="BK26" s="772"/>
      <c r="BL26" s="772"/>
      <c r="BM26" s="772"/>
      <c r="BN26" s="772"/>
      <c r="BO26" s="772"/>
      <c r="BP26" s="777"/>
    </row>
    <row r="27" spans="3:68" ht="13.15" x14ac:dyDescent="0.25">
      <c r="BE27" s="770"/>
      <c r="BF27" s="772"/>
      <c r="BG27" s="772"/>
      <c r="BH27" s="772"/>
      <c r="BI27" s="772"/>
      <c r="BJ27" s="772"/>
      <c r="BK27" s="772"/>
      <c r="BL27" s="772"/>
      <c r="BM27" s="772"/>
      <c r="BN27" s="772"/>
      <c r="BO27" s="778" t="s">
        <v>78</v>
      </c>
      <c r="BP27" s="779">
        <f>(BP25-BP21)/BP21</f>
        <v>1.8700072621641205E-2</v>
      </c>
    </row>
    <row r="28" spans="3:68" ht="13.15" x14ac:dyDescent="0.25">
      <c r="BE28" s="780"/>
      <c r="BF28" s="781"/>
      <c r="BG28" s="781"/>
      <c r="BH28" s="781"/>
      <c r="BI28" s="781"/>
      <c r="BJ28" s="781"/>
      <c r="BK28" s="781"/>
      <c r="BL28" s="781"/>
      <c r="BM28" s="781"/>
      <c r="BN28" s="781"/>
      <c r="BO28" s="781"/>
      <c r="BP28" s="782"/>
    </row>
    <row r="29" spans="3:68" ht="13.15" x14ac:dyDescent="0.25">
      <c r="BE29" s="764"/>
      <c r="BF29" s="764"/>
      <c r="BG29" s="764"/>
      <c r="BH29" s="764"/>
      <c r="BI29" s="764"/>
      <c r="BJ29" s="764"/>
      <c r="BK29" s="764"/>
      <c r="BL29" s="764"/>
      <c r="BM29" s="764"/>
      <c r="BN29" s="764"/>
      <c r="BO29" s="764"/>
      <c r="BP29" s="764"/>
    </row>
    <row r="30" spans="3:68" ht="13.15" x14ac:dyDescent="0.25">
      <c r="BE30" s="764"/>
      <c r="BF30" s="764"/>
      <c r="BG30" s="764"/>
      <c r="BH30" s="764"/>
      <c r="BI30" s="764"/>
      <c r="BJ30" s="764"/>
      <c r="BK30" s="764"/>
      <c r="BL30" s="764"/>
      <c r="BM30" s="764"/>
      <c r="BN30" s="764"/>
      <c r="BO30" s="764"/>
      <c r="BP30" s="764"/>
    </row>
  </sheetData>
  <mergeCells count="3">
    <mergeCell ref="A1:B1"/>
    <mergeCell ref="A2:B2"/>
    <mergeCell ref="A3:B3"/>
  </mergeCells>
  <pageMargins left="0.25" right="0.25" top="1" bottom="1" header="0.5" footer="0.5"/>
  <pageSetup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91"/>
  <sheetViews>
    <sheetView zoomScaleNormal="100" workbookViewId="0">
      <selection activeCell="O64" sqref="O64"/>
    </sheetView>
  </sheetViews>
  <sheetFormatPr defaultRowHeight="15" x14ac:dyDescent="0.25"/>
  <cols>
    <col min="2" max="2" width="9" customWidth="1"/>
    <col min="3" max="3" width="13.28515625" customWidth="1"/>
    <col min="4" max="4" width="10.140625" customWidth="1"/>
    <col min="5" max="5" width="75.28515625" customWidth="1"/>
    <col min="6" max="6" width="13.140625" hidden="1" customWidth="1"/>
    <col min="7" max="7" width="14.7109375" hidden="1" customWidth="1"/>
    <col min="8" max="8" width="21.7109375" hidden="1" customWidth="1"/>
    <col min="9" max="9" width="22" hidden="1" customWidth="1"/>
    <col min="10" max="10" width="13.7109375" hidden="1" customWidth="1"/>
    <col min="11" max="11" width="21.5703125" style="666" hidden="1" customWidth="1"/>
    <col min="12" max="12" width="22.42578125" style="650" customWidth="1"/>
    <col min="13" max="13" width="6.28515625" style="748" customWidth="1"/>
    <col min="15" max="15" width="21.7109375" customWidth="1"/>
    <col min="16" max="16" width="10" bestFit="1" customWidth="1"/>
  </cols>
  <sheetData>
    <row r="1" spans="2:13" ht="25.9" x14ac:dyDescent="0.5">
      <c r="E1" s="1251" t="s">
        <v>240</v>
      </c>
      <c r="F1" s="1252"/>
      <c r="G1" s="1252"/>
      <c r="H1" s="1252"/>
      <c r="I1" s="1253"/>
      <c r="L1" s="1239" t="s">
        <v>241</v>
      </c>
      <c r="M1" s="1240">
        <v>1.8700000000000001E-2</v>
      </c>
    </row>
    <row r="2" spans="2:13" ht="14.45" x14ac:dyDescent="0.3">
      <c r="E2" s="667" t="s">
        <v>242</v>
      </c>
      <c r="F2" s="1254" t="s">
        <v>243</v>
      </c>
      <c r="G2" s="1255"/>
      <c r="H2" s="668" t="s">
        <v>244</v>
      </c>
      <c r="I2" s="667" t="s">
        <v>245</v>
      </c>
      <c r="J2" s="667" t="s">
        <v>210</v>
      </c>
      <c r="K2" s="669" t="s">
        <v>246</v>
      </c>
      <c r="L2" s="745" t="s">
        <v>492</v>
      </c>
      <c r="M2" s="749"/>
    </row>
    <row r="3" spans="2:13" ht="19.5" customHeight="1" x14ac:dyDescent="0.3">
      <c r="E3" s="670"/>
      <c r="F3" s="1256"/>
      <c r="G3" s="1256"/>
      <c r="H3" s="671"/>
      <c r="I3" s="672"/>
      <c r="J3" s="672"/>
      <c r="K3" s="673"/>
      <c r="L3" s="815"/>
      <c r="M3" s="749"/>
    </row>
    <row r="4" spans="2:13" ht="14.45" x14ac:dyDescent="0.3">
      <c r="E4" s="674" t="s">
        <v>248</v>
      </c>
      <c r="F4" s="1257">
        <v>1641</v>
      </c>
      <c r="G4" s="1257"/>
      <c r="H4" s="675">
        <f>F4*(1.0972)</f>
        <v>1800.5051999999998</v>
      </c>
      <c r="I4" s="676" t="s">
        <v>249</v>
      </c>
      <c r="J4" s="677">
        <f>'[2]CAF Sp. 2016'!BD26</f>
        <v>2.6438643292682744E-2</v>
      </c>
      <c r="K4" s="678">
        <f>H4*(J4+1)</f>
        <v>1848.1081147294201</v>
      </c>
      <c r="L4" s="813">
        <f>K4*($M$1+1)</f>
        <v>1882.6677364748602</v>
      </c>
    </row>
    <row r="5" spans="2:13" x14ac:dyDescent="0.25">
      <c r="B5" s="1258"/>
      <c r="C5" s="1258"/>
      <c r="E5" s="1259" t="s">
        <v>250</v>
      </c>
      <c r="F5" s="1257">
        <v>1641</v>
      </c>
      <c r="G5" s="1257"/>
      <c r="H5" s="1260">
        <f>F5*(1.0972)</f>
        <v>1800.5051999999998</v>
      </c>
      <c r="I5" s="1261" t="s">
        <v>249</v>
      </c>
      <c r="J5" s="1262">
        <f>'[2]CAF Sp. 2016'!BD26</f>
        <v>2.6438643292682744E-2</v>
      </c>
      <c r="K5" s="1263">
        <f>H5*(J5+1)</f>
        <v>1848.1081147294201</v>
      </c>
      <c r="L5" s="1264">
        <f t="shared" ref="L5:L60" si="0">K5*($M$1+1)</f>
        <v>1882.6677364748602</v>
      </c>
      <c r="M5" s="1250"/>
    </row>
    <row r="6" spans="2:13" ht="7.5" customHeight="1" x14ac:dyDescent="0.25">
      <c r="B6" s="1258"/>
      <c r="C6" s="1258"/>
      <c r="E6" s="1259"/>
      <c r="F6" s="1257"/>
      <c r="G6" s="1257"/>
      <c r="H6" s="1260"/>
      <c r="I6" s="1261"/>
      <c r="J6" s="1262"/>
      <c r="K6" s="1263"/>
      <c r="L6" s="1265"/>
      <c r="M6" s="1250"/>
    </row>
    <row r="7" spans="2:13" x14ac:dyDescent="0.25">
      <c r="B7" s="1258"/>
      <c r="C7" s="1258"/>
      <c r="E7" s="1259" t="s">
        <v>251</v>
      </c>
      <c r="F7" s="1257">
        <v>2064</v>
      </c>
      <c r="G7" s="1257"/>
      <c r="H7" s="1260">
        <f>F7*(1.0972)</f>
        <v>2264.6207999999997</v>
      </c>
      <c r="I7" s="1261" t="s">
        <v>249</v>
      </c>
      <c r="J7" s="1262">
        <f>'[2]CAF Sp. 2016'!BD26</f>
        <v>2.6438643292682744E-2</v>
      </c>
      <c r="K7" s="1263">
        <f t="shared" ref="K7:K32" si="1">H7*(J7+1)</f>
        <v>2324.4943015243894</v>
      </c>
      <c r="L7" s="1264">
        <f t="shared" si="0"/>
        <v>2367.9623449628953</v>
      </c>
      <c r="M7" s="1250"/>
    </row>
    <row r="8" spans="2:13" ht="6" customHeight="1" x14ac:dyDescent="0.25">
      <c r="B8" s="1258"/>
      <c r="C8" s="1258"/>
      <c r="E8" s="1259"/>
      <c r="F8" s="1257"/>
      <c r="G8" s="1257"/>
      <c r="H8" s="1260"/>
      <c r="I8" s="1261"/>
      <c r="J8" s="1262"/>
      <c r="K8" s="1263"/>
      <c r="L8" s="1265"/>
      <c r="M8" s="1250"/>
    </row>
    <row r="9" spans="2:13" x14ac:dyDescent="0.25">
      <c r="B9" s="1258"/>
      <c r="C9" s="1258"/>
      <c r="E9" s="1259" t="s">
        <v>252</v>
      </c>
      <c r="F9" s="1257">
        <v>2064</v>
      </c>
      <c r="G9" s="1257"/>
      <c r="H9" s="1260">
        <f>F9*(1.0972)</f>
        <v>2264.6207999999997</v>
      </c>
      <c r="I9" s="1261" t="s">
        <v>249</v>
      </c>
      <c r="J9" s="1262">
        <f>'[2]CAF Sp. 2016'!BD26</f>
        <v>2.6438643292682744E-2</v>
      </c>
      <c r="K9" s="1263">
        <f t="shared" si="1"/>
        <v>2324.4943015243894</v>
      </c>
      <c r="L9" s="1264">
        <f t="shared" si="0"/>
        <v>2367.9623449628953</v>
      </c>
      <c r="M9" s="1250"/>
    </row>
    <row r="10" spans="2:13" ht="5.25" customHeight="1" x14ac:dyDescent="0.25">
      <c r="B10" s="1258"/>
      <c r="C10" s="1258"/>
      <c r="E10" s="1259"/>
      <c r="F10" s="1257"/>
      <c r="G10" s="1257"/>
      <c r="H10" s="1260"/>
      <c r="I10" s="1261"/>
      <c r="J10" s="1262"/>
      <c r="K10" s="1263"/>
      <c r="L10" s="1265"/>
      <c r="M10" s="1250"/>
    </row>
    <row r="11" spans="2:13" ht="14.45" x14ac:dyDescent="0.3">
      <c r="E11" s="680" t="s">
        <v>253</v>
      </c>
      <c r="F11" s="1257">
        <v>248</v>
      </c>
      <c r="G11" s="1257"/>
      <c r="H11" s="681">
        <f>F11*1.0972</f>
        <v>272.10559999999998</v>
      </c>
      <c r="I11" s="663" t="s">
        <v>249</v>
      </c>
      <c r="J11" s="677">
        <f>'[2]CAF Sp. 2016'!BD26</f>
        <v>2.6438643292682744E-2</v>
      </c>
      <c r="K11" s="678">
        <f t="shared" si="1"/>
        <v>279.29970289634139</v>
      </c>
      <c r="L11" s="679">
        <f t="shared" si="0"/>
        <v>284.52260734050293</v>
      </c>
    </row>
    <row r="12" spans="2:13" ht="14.45" x14ac:dyDescent="0.3">
      <c r="E12" s="680" t="s">
        <v>254</v>
      </c>
      <c r="F12" s="1257">
        <v>428</v>
      </c>
      <c r="G12" s="1257"/>
      <c r="H12" s="681">
        <f>F12*(1.0972)</f>
        <v>469.60159999999996</v>
      </c>
      <c r="I12" s="663" t="s">
        <v>249</v>
      </c>
      <c r="J12" s="677">
        <f>'[2]CAF Sp. 2016'!BD26</f>
        <v>2.6438643292682744E-2</v>
      </c>
      <c r="K12" s="678">
        <f t="shared" si="1"/>
        <v>482.01722919207299</v>
      </c>
      <c r="L12" s="679">
        <f t="shared" si="0"/>
        <v>491.0309513779647</v>
      </c>
    </row>
    <row r="13" spans="2:13" ht="25.5" customHeight="1" x14ac:dyDescent="0.3">
      <c r="E13" s="682" t="s">
        <v>255</v>
      </c>
      <c r="F13" s="1256"/>
      <c r="G13" s="1256"/>
      <c r="H13" s="671"/>
      <c r="I13" s="683"/>
      <c r="J13" s="683"/>
      <c r="K13" s="684"/>
      <c r="L13" s="679"/>
    </row>
    <row r="14" spans="2:13" ht="14.45" x14ac:dyDescent="0.3">
      <c r="E14" s="592" t="s">
        <v>256</v>
      </c>
      <c r="F14" s="1257">
        <v>428</v>
      </c>
      <c r="G14" s="1257"/>
      <c r="H14" s="681">
        <f>F14*(1.0972)</f>
        <v>469.60159999999996</v>
      </c>
      <c r="I14" s="663" t="s">
        <v>249</v>
      </c>
      <c r="J14" s="677">
        <f>'[2]CAF Sp. 2016'!BD26</f>
        <v>2.6438643292682744E-2</v>
      </c>
      <c r="K14" s="678">
        <f t="shared" si="1"/>
        <v>482.01722919207299</v>
      </c>
      <c r="L14" s="679">
        <f t="shared" si="0"/>
        <v>491.0309513779647</v>
      </c>
    </row>
    <row r="15" spans="2:13" ht="14.45" x14ac:dyDescent="0.3">
      <c r="E15" s="592" t="s">
        <v>257</v>
      </c>
      <c r="F15" s="1257">
        <v>1641</v>
      </c>
      <c r="G15" s="1257"/>
      <c r="H15" s="681">
        <f>F15*(1.0972)</f>
        <v>1800.5051999999998</v>
      </c>
      <c r="I15" s="663" t="s">
        <v>249</v>
      </c>
      <c r="J15" s="677">
        <f>'[2]CAF Sp. 2016'!BD26</f>
        <v>2.6438643292682744E-2</v>
      </c>
      <c r="K15" s="678">
        <f t="shared" si="1"/>
        <v>1848.1081147294201</v>
      </c>
      <c r="L15" s="679">
        <f t="shared" si="0"/>
        <v>1882.6677364748602</v>
      </c>
    </row>
    <row r="16" spans="2:13" ht="22.5" customHeight="1" x14ac:dyDescent="0.3">
      <c r="E16" s="685" t="s">
        <v>258</v>
      </c>
      <c r="F16" s="1257">
        <v>1641</v>
      </c>
      <c r="G16" s="1257"/>
      <c r="H16" s="681">
        <f>F16*(1.0972)</f>
        <v>1800.5051999999998</v>
      </c>
      <c r="I16" s="663" t="s">
        <v>249</v>
      </c>
      <c r="J16" s="677">
        <f>'[2]CAF Sp. 2016'!BD26</f>
        <v>2.6438643292682744E-2</v>
      </c>
      <c r="K16" s="678">
        <f t="shared" si="1"/>
        <v>1848.1081147294201</v>
      </c>
      <c r="L16" s="679">
        <f t="shared" si="0"/>
        <v>1882.6677364748602</v>
      </c>
    </row>
    <row r="17" spans="5:12" ht="14.45" x14ac:dyDescent="0.3">
      <c r="E17" s="686" t="s">
        <v>259</v>
      </c>
      <c r="F17" s="1256"/>
      <c r="G17" s="1256"/>
      <c r="H17" s="671"/>
      <c r="I17" s="687"/>
      <c r="J17" s="687"/>
      <c r="K17" s="684"/>
      <c r="L17" s="679"/>
    </row>
    <row r="18" spans="5:12" ht="14.45" x14ac:dyDescent="0.3">
      <c r="E18" s="680" t="s">
        <v>260</v>
      </c>
      <c r="F18" s="1257">
        <v>3406</v>
      </c>
      <c r="G18" s="1257"/>
      <c r="H18" s="681">
        <f>F18*(1.0972)</f>
        <v>3737.0632000000001</v>
      </c>
      <c r="I18" s="663" t="s">
        <v>249</v>
      </c>
      <c r="J18" s="677">
        <f>'[2]CAF Sp. 2016'!BD26</f>
        <v>2.6438643292682744E-2</v>
      </c>
      <c r="K18" s="678">
        <f t="shared" si="1"/>
        <v>3835.8660809070111</v>
      </c>
      <c r="L18" s="679">
        <f t="shared" si="0"/>
        <v>3907.5967766199719</v>
      </c>
    </row>
    <row r="19" spans="5:12" ht="14.45" x14ac:dyDescent="0.3">
      <c r="E19" s="680" t="s">
        <v>261</v>
      </c>
      <c r="F19" s="1257">
        <v>5480</v>
      </c>
      <c r="G19" s="1257"/>
      <c r="H19" s="681">
        <f>F19*(1.0972)</f>
        <v>6012.6559999999999</v>
      </c>
      <c r="I19" s="663" t="s">
        <v>249</v>
      </c>
      <c r="J19" s="677">
        <f>'[2]CAF Sp. 2016'!BD26</f>
        <v>2.6438643292682744E-2</v>
      </c>
      <c r="K19" s="678">
        <f t="shared" si="1"/>
        <v>6171.6224672256076</v>
      </c>
      <c r="L19" s="679">
        <f t="shared" si="0"/>
        <v>6287.0318073627259</v>
      </c>
    </row>
    <row r="20" spans="5:12" ht="14.45" x14ac:dyDescent="0.3">
      <c r="E20" s="680" t="s">
        <v>262</v>
      </c>
      <c r="F20" s="1257">
        <v>8282</v>
      </c>
      <c r="G20" s="1257"/>
      <c r="H20" s="681">
        <f>F20*(1.0972)</f>
        <v>9087.0103999999992</v>
      </c>
      <c r="I20" s="663" t="s">
        <v>249</v>
      </c>
      <c r="J20" s="677">
        <f>'[2]CAF Sp. 2016'!BD26</f>
        <v>2.6438643292682744E-2</v>
      </c>
      <c r="K20" s="678">
        <f t="shared" si="1"/>
        <v>9327.2586265624959</v>
      </c>
      <c r="L20" s="679">
        <f t="shared" si="0"/>
        <v>9501.6783628792145</v>
      </c>
    </row>
    <row r="21" spans="5:12" ht="14.45" x14ac:dyDescent="0.3">
      <c r="E21" s="686" t="s">
        <v>263</v>
      </c>
      <c r="F21" s="1256"/>
      <c r="G21" s="1256"/>
      <c r="H21" s="671"/>
      <c r="I21" s="687"/>
      <c r="J21" s="687"/>
      <c r="K21" s="684"/>
      <c r="L21" s="679"/>
    </row>
    <row r="22" spans="5:12" ht="14.45" x14ac:dyDescent="0.3">
      <c r="E22" s="688" t="s">
        <v>260</v>
      </c>
      <c r="F22" s="1257">
        <v>2735</v>
      </c>
      <c r="G22" s="1257"/>
      <c r="H22" s="681">
        <f>F22*(1.0972)</f>
        <v>3000.8420000000001</v>
      </c>
      <c r="I22" s="663" t="s">
        <v>249</v>
      </c>
      <c r="J22" s="677">
        <f>'[2]CAF Sp. 2016'!BD26</f>
        <v>2.6438643292682744E-2</v>
      </c>
      <c r="K22" s="678">
        <f t="shared" si="1"/>
        <v>3080.1801912157002</v>
      </c>
      <c r="L22" s="679">
        <f t="shared" si="0"/>
        <v>3137.7795607914336</v>
      </c>
    </row>
    <row r="23" spans="5:12" ht="14.45" x14ac:dyDescent="0.3">
      <c r="E23" s="680" t="s">
        <v>261</v>
      </c>
      <c r="F23" s="1257">
        <v>4386</v>
      </c>
      <c r="G23" s="1257"/>
      <c r="H23" s="681">
        <f>F23*(1.0972)</f>
        <v>4812.3191999999999</v>
      </c>
      <c r="I23" s="663" t="s">
        <v>249</v>
      </c>
      <c r="J23" s="677">
        <f>'[2]CAF Sp. 2016'!BD26</f>
        <v>2.6438643292682744E-2</v>
      </c>
      <c r="K23" s="678">
        <f t="shared" si="1"/>
        <v>4939.5503907393277</v>
      </c>
      <c r="L23" s="679">
        <f t="shared" si="0"/>
        <v>5031.919983046153</v>
      </c>
    </row>
    <row r="24" spans="5:12" ht="14.45" x14ac:dyDescent="0.3">
      <c r="E24" s="680" t="s">
        <v>262</v>
      </c>
      <c r="F24" s="1257">
        <v>6579</v>
      </c>
      <c r="G24" s="1257"/>
      <c r="H24" s="681">
        <f>F24*(1.0972)</f>
        <v>7218.4787999999999</v>
      </c>
      <c r="I24" s="663" t="s">
        <v>249</v>
      </c>
      <c r="J24" s="677">
        <f>'[2]CAF Sp. 2016'!BD26</f>
        <v>2.6438643292682744E-2</v>
      </c>
      <c r="K24" s="678">
        <f t="shared" si="1"/>
        <v>7409.325586108992</v>
      </c>
      <c r="L24" s="679">
        <f t="shared" si="0"/>
        <v>7547.8799745692295</v>
      </c>
    </row>
    <row r="25" spans="5:12" ht="14.45" x14ac:dyDescent="0.3">
      <c r="E25" s="686" t="s">
        <v>264</v>
      </c>
      <c r="F25" s="1256"/>
      <c r="G25" s="1256"/>
      <c r="H25" s="671"/>
      <c r="I25" s="687"/>
      <c r="J25" s="687"/>
      <c r="K25" s="684"/>
      <c r="L25" s="679"/>
    </row>
    <row r="26" spans="5:12" ht="14.45" x14ac:dyDescent="0.3">
      <c r="E26" s="680" t="s">
        <v>260</v>
      </c>
      <c r="F26" s="1257">
        <v>671</v>
      </c>
      <c r="G26" s="1257"/>
      <c r="H26" s="681">
        <f>F26*(1.0972)</f>
        <v>736.22119999999995</v>
      </c>
      <c r="I26" s="663" t="s">
        <v>249</v>
      </c>
      <c r="J26" s="677">
        <f>'[2]CAF Sp. 2016'!BD26</f>
        <v>2.6438643292682744E-2</v>
      </c>
      <c r="K26" s="678">
        <f t="shared" si="1"/>
        <v>755.68588969131076</v>
      </c>
      <c r="L26" s="679">
        <f t="shared" si="0"/>
        <v>769.81721582853822</v>
      </c>
    </row>
    <row r="27" spans="5:12" ht="14.45" x14ac:dyDescent="0.3">
      <c r="E27" s="680" t="s">
        <v>261</v>
      </c>
      <c r="F27" s="1257">
        <v>1094</v>
      </c>
      <c r="G27" s="1257"/>
      <c r="H27" s="681">
        <f>F27*(1.0972)</f>
        <v>1200.3368</v>
      </c>
      <c r="I27" s="663" t="s">
        <v>249</v>
      </c>
      <c r="J27" s="677">
        <f>'[2]CAF Sp. 2016'!BD26</f>
        <v>2.6438643292682744E-2</v>
      </c>
      <c r="K27" s="678">
        <f t="shared" si="1"/>
        <v>1232.0720764862801</v>
      </c>
      <c r="L27" s="679">
        <f t="shared" si="0"/>
        <v>1255.1118243165736</v>
      </c>
    </row>
    <row r="28" spans="5:12" x14ac:dyDescent="0.25">
      <c r="E28" s="680" t="s">
        <v>262</v>
      </c>
      <c r="F28" s="1257">
        <v>1641</v>
      </c>
      <c r="G28" s="1257"/>
      <c r="H28" s="681">
        <f>F28*(1.0972)</f>
        <v>1800.5051999999998</v>
      </c>
      <c r="I28" s="663" t="s">
        <v>249</v>
      </c>
      <c r="J28" s="677">
        <f>'[2]CAF Sp. 2016'!BD26</f>
        <v>2.6438643292682744E-2</v>
      </c>
      <c r="K28" s="678">
        <f t="shared" si="1"/>
        <v>1848.1081147294201</v>
      </c>
      <c r="L28" s="679">
        <f t="shared" si="0"/>
        <v>1882.6677364748602</v>
      </c>
    </row>
    <row r="29" spans="5:12" x14ac:dyDescent="0.25">
      <c r="E29" s="686" t="s">
        <v>265</v>
      </c>
      <c r="F29" s="1256"/>
      <c r="G29" s="1256"/>
      <c r="H29" s="671"/>
      <c r="I29" s="687"/>
      <c r="J29" s="687"/>
      <c r="K29" s="684"/>
      <c r="L29" s="679"/>
    </row>
    <row r="30" spans="5:12" x14ac:dyDescent="0.25">
      <c r="E30" s="680" t="s">
        <v>260</v>
      </c>
      <c r="F30" s="1257">
        <v>3406</v>
      </c>
      <c r="G30" s="1257"/>
      <c r="H30" s="681">
        <f>F30*(1.0972)</f>
        <v>3737.0632000000001</v>
      </c>
      <c r="I30" s="663" t="s">
        <v>249</v>
      </c>
      <c r="J30" s="677">
        <f>'[2]CAF Sp. 2016'!BD26</f>
        <v>2.6438643292682744E-2</v>
      </c>
      <c r="K30" s="678">
        <f t="shared" si="1"/>
        <v>3835.8660809070111</v>
      </c>
      <c r="L30" s="679">
        <f t="shared" si="0"/>
        <v>3907.5967766199719</v>
      </c>
    </row>
    <row r="31" spans="5:12" x14ac:dyDescent="0.25">
      <c r="E31" s="680" t="s">
        <v>261</v>
      </c>
      <c r="F31" s="1257">
        <v>5480</v>
      </c>
      <c r="G31" s="1257"/>
      <c r="H31" s="681">
        <f>F31*(1.0972)</f>
        <v>6012.6559999999999</v>
      </c>
      <c r="I31" s="663" t="s">
        <v>249</v>
      </c>
      <c r="J31" s="677">
        <f>'[2]CAF Sp. 2016'!BD26</f>
        <v>2.6438643292682744E-2</v>
      </c>
      <c r="K31" s="678">
        <f t="shared" si="1"/>
        <v>6171.6224672256076</v>
      </c>
      <c r="L31" s="679">
        <f t="shared" si="0"/>
        <v>6287.0318073627259</v>
      </c>
    </row>
    <row r="32" spans="5:12" x14ac:dyDescent="0.25">
      <c r="E32" s="680" t="s">
        <v>262</v>
      </c>
      <c r="F32" s="1257">
        <v>8282</v>
      </c>
      <c r="G32" s="1257"/>
      <c r="H32" s="681">
        <f>F32*(1.0972)</f>
        <v>9087.0103999999992</v>
      </c>
      <c r="I32" s="663" t="s">
        <v>249</v>
      </c>
      <c r="J32" s="677">
        <f>'[2]CAF Sp. 2016'!BD26</f>
        <v>2.6438643292682744E-2</v>
      </c>
      <c r="K32" s="678">
        <f t="shared" si="1"/>
        <v>9327.2586265624959</v>
      </c>
      <c r="L32" s="679">
        <f t="shared" si="0"/>
        <v>9501.6783628792145</v>
      </c>
    </row>
    <row r="33" spans="2:13" x14ac:dyDescent="0.25">
      <c r="B33" s="1258"/>
      <c r="C33" s="1258"/>
      <c r="E33" s="1266" t="s">
        <v>266</v>
      </c>
      <c r="F33" s="1257">
        <v>516</v>
      </c>
      <c r="G33" s="1257"/>
      <c r="H33" s="1260">
        <f>F33*(1.0972)</f>
        <v>566.15519999999992</v>
      </c>
      <c r="I33" s="1272" t="s">
        <v>249</v>
      </c>
      <c r="J33" s="1262">
        <f>'[2]CAF Sp. 2016'!BD26</f>
        <v>2.6438643292682744E-2</v>
      </c>
      <c r="K33" s="1263">
        <f>H33*(J33+1)</f>
        <v>581.12357538109734</v>
      </c>
      <c r="L33" s="1264">
        <f t="shared" si="0"/>
        <v>591.99058624072381</v>
      </c>
      <c r="M33" s="1250"/>
    </row>
    <row r="34" spans="2:13" ht="7.5" customHeight="1" x14ac:dyDescent="0.25">
      <c r="B34" s="1258"/>
      <c r="C34" s="1258"/>
      <c r="E34" s="1266"/>
      <c r="F34" s="1257"/>
      <c r="G34" s="1257"/>
      <c r="H34" s="1260"/>
      <c r="I34" s="1272"/>
      <c r="J34" s="1262"/>
      <c r="K34" s="1263"/>
      <c r="L34" s="1265"/>
      <c r="M34" s="1250"/>
    </row>
    <row r="35" spans="2:13" ht="22.5" customHeight="1" x14ac:dyDescent="0.25">
      <c r="E35" s="689" t="s">
        <v>267</v>
      </c>
      <c r="F35" s="1256"/>
      <c r="G35" s="1256"/>
      <c r="H35" s="671"/>
      <c r="I35" s="683"/>
      <c r="J35" s="683"/>
      <c r="K35" s="684"/>
      <c r="L35" s="679"/>
    </row>
    <row r="36" spans="2:13" x14ac:dyDescent="0.25">
      <c r="E36" s="680" t="s">
        <v>268</v>
      </c>
      <c r="F36" s="1257">
        <v>970</v>
      </c>
      <c r="G36" s="1257"/>
      <c r="H36" s="681">
        <f>F36*(1.0972)</f>
        <v>1064.2839999999999</v>
      </c>
      <c r="I36" s="663" t="s">
        <v>249</v>
      </c>
      <c r="J36" s="677">
        <f>'[2]CAF Sp. 2016'!BD26</f>
        <v>2.6438643292682744E-2</v>
      </c>
      <c r="K36" s="678">
        <f>H36*(J36+1)</f>
        <v>1092.4222250381092</v>
      </c>
      <c r="L36" s="679">
        <f t="shared" si="0"/>
        <v>1112.8505206463217</v>
      </c>
    </row>
    <row r="37" spans="2:13" x14ac:dyDescent="0.25">
      <c r="E37" s="680" t="s">
        <v>269</v>
      </c>
      <c r="F37" s="1257">
        <v>2064</v>
      </c>
      <c r="G37" s="1257"/>
      <c r="H37" s="681">
        <f>F37*(1.0972)</f>
        <v>2264.6207999999997</v>
      </c>
      <c r="I37" s="663" t="s">
        <v>249</v>
      </c>
      <c r="J37" s="677">
        <f>'[2]CAF Sp. 2016'!BD26</f>
        <v>2.6438643292682744E-2</v>
      </c>
      <c r="K37" s="678">
        <f t="shared" ref="K37:K52" si="2">H37*(J37+1)</f>
        <v>2324.4943015243894</v>
      </c>
      <c r="L37" s="679">
        <f t="shared" si="0"/>
        <v>2367.9623449628953</v>
      </c>
    </row>
    <row r="38" spans="2:13" x14ac:dyDescent="0.25">
      <c r="E38" s="680" t="s">
        <v>270</v>
      </c>
      <c r="F38" s="1257">
        <v>3818</v>
      </c>
      <c r="G38" s="1257"/>
      <c r="H38" s="681">
        <f>F38*(1.0972)</f>
        <v>4189.1095999999998</v>
      </c>
      <c r="I38" s="663" t="s">
        <v>249</v>
      </c>
      <c r="J38" s="677">
        <f>'[2]CAF Sp. 2016'!BD26</f>
        <v>2.6438643292682744E-2</v>
      </c>
      <c r="K38" s="678">
        <f t="shared" si="2"/>
        <v>4299.8639744283519</v>
      </c>
      <c r="L38" s="679">
        <f t="shared" si="0"/>
        <v>4380.2714307501619</v>
      </c>
    </row>
    <row r="39" spans="2:13" x14ac:dyDescent="0.25">
      <c r="E39" s="680" t="s">
        <v>271</v>
      </c>
      <c r="F39" s="1257">
        <v>1218</v>
      </c>
      <c r="G39" s="1257"/>
      <c r="H39" s="681">
        <f>F39*(1.0972)</f>
        <v>1336.3896</v>
      </c>
      <c r="I39" s="663" t="s">
        <v>249</v>
      </c>
      <c r="J39" s="677">
        <f>'[2]CAF Sp. 2016'!BD26</f>
        <v>2.6438643292682744E-2</v>
      </c>
      <c r="K39" s="678">
        <f t="shared" si="2"/>
        <v>1371.7219279344508</v>
      </c>
      <c r="L39" s="679">
        <f t="shared" si="0"/>
        <v>1397.373127986825</v>
      </c>
    </row>
    <row r="40" spans="2:13" x14ac:dyDescent="0.25">
      <c r="E40" s="690"/>
      <c r="F40" s="1256"/>
      <c r="G40" s="1256"/>
      <c r="H40" s="671"/>
      <c r="I40" s="683"/>
      <c r="J40" s="683"/>
      <c r="K40" s="684"/>
      <c r="L40" s="679"/>
    </row>
    <row r="41" spans="2:13" x14ac:dyDescent="0.25">
      <c r="B41" s="1258"/>
      <c r="C41" s="1258"/>
      <c r="E41" s="1267" t="s">
        <v>272</v>
      </c>
      <c r="F41" s="1268">
        <v>428</v>
      </c>
      <c r="G41" s="1269"/>
      <c r="H41" s="1273">
        <f>F41*(1.0972)</f>
        <v>469.60159999999996</v>
      </c>
      <c r="I41" s="1275" t="s">
        <v>249</v>
      </c>
      <c r="J41" s="1277">
        <f>'[2]CAF Sp. 2016'!BD26</f>
        <v>2.6438643292682744E-2</v>
      </c>
      <c r="K41" s="1279">
        <f>H41*(J41+1)</f>
        <v>482.01722919207299</v>
      </c>
      <c r="L41" s="743">
        <f>K41*($M$1+1)</f>
        <v>491.0309513779647</v>
      </c>
    </row>
    <row r="42" spans="2:13" x14ac:dyDescent="0.25">
      <c r="B42" s="1258"/>
      <c r="C42" s="1258"/>
      <c r="E42" s="1259"/>
      <c r="F42" s="1270"/>
      <c r="G42" s="1271"/>
      <c r="H42" s="1274"/>
      <c r="I42" s="1276"/>
      <c r="J42" s="1278"/>
      <c r="K42" s="1280"/>
      <c r="L42" s="744"/>
    </row>
    <row r="43" spans="2:13" x14ac:dyDescent="0.25">
      <c r="E43" s="680" t="s">
        <v>273</v>
      </c>
      <c r="F43" s="1257">
        <v>1094</v>
      </c>
      <c r="G43" s="1257"/>
      <c r="H43" s="681">
        <f>F43*(1.0972)</f>
        <v>1200.3368</v>
      </c>
      <c r="I43" s="663" t="s">
        <v>249</v>
      </c>
      <c r="J43" s="677">
        <f>'[2]CAF Sp. 2016'!BD26</f>
        <v>2.6438643292682744E-2</v>
      </c>
      <c r="K43" s="678">
        <f t="shared" si="2"/>
        <v>1232.0720764862801</v>
      </c>
      <c r="L43" s="679">
        <f t="shared" si="0"/>
        <v>1255.1118243165736</v>
      </c>
    </row>
    <row r="44" spans="2:13" x14ac:dyDescent="0.25">
      <c r="E44" s="680" t="s">
        <v>274</v>
      </c>
      <c r="F44" s="691"/>
      <c r="G44" s="691"/>
      <c r="H44" s="692"/>
      <c r="I44" s="693"/>
      <c r="J44" s="694"/>
      <c r="K44" s="678">
        <v>337.85</v>
      </c>
      <c r="L44" s="679">
        <f t="shared" si="0"/>
        <v>344.16779500000001</v>
      </c>
    </row>
    <row r="45" spans="2:13" x14ac:dyDescent="0.25">
      <c r="E45" s="592" t="s">
        <v>275</v>
      </c>
      <c r="F45" s="1257">
        <v>372</v>
      </c>
      <c r="G45" s="1257"/>
      <c r="H45" s="681">
        <f>F45*(1.0972)</f>
        <v>408.15839999999997</v>
      </c>
      <c r="I45" s="663" t="s">
        <v>249</v>
      </c>
      <c r="J45" s="677">
        <f>'[2]CAF Sp. 2016'!BD26</f>
        <v>2.6438643292682744E-2</v>
      </c>
      <c r="K45" s="678">
        <f t="shared" si="2"/>
        <v>418.94955434451202</v>
      </c>
      <c r="L45" s="679">
        <f t="shared" si="0"/>
        <v>426.78391101075437</v>
      </c>
    </row>
    <row r="46" spans="2:13" x14ac:dyDescent="0.25">
      <c r="E46" s="592" t="s">
        <v>276</v>
      </c>
      <c r="F46" s="691"/>
      <c r="G46" s="691"/>
      <c r="H46" s="692"/>
      <c r="I46" s="693"/>
      <c r="J46" s="694"/>
      <c r="K46" s="678">
        <v>231.99</v>
      </c>
      <c r="L46" s="679">
        <f t="shared" si="0"/>
        <v>236.32821300000001</v>
      </c>
    </row>
    <row r="47" spans="2:13" x14ac:dyDescent="0.25">
      <c r="E47" s="592" t="s">
        <v>277</v>
      </c>
      <c r="F47" s="1257">
        <v>970</v>
      </c>
      <c r="G47" s="1257"/>
      <c r="H47" s="681">
        <f>F47*(1.0972)</f>
        <v>1064.2839999999999</v>
      </c>
      <c r="I47" s="663" t="s">
        <v>249</v>
      </c>
      <c r="J47" s="677">
        <f>'[2]CAF Sp. 2016'!BD26</f>
        <v>2.6438643292682744E-2</v>
      </c>
      <c r="K47" s="678">
        <f t="shared" si="2"/>
        <v>1092.4222250381092</v>
      </c>
      <c r="L47" s="679">
        <f t="shared" si="0"/>
        <v>1112.8505206463217</v>
      </c>
    </row>
    <row r="48" spans="2:13" ht="17.25" customHeight="1" x14ac:dyDescent="0.25">
      <c r="E48" s="682" t="s">
        <v>278</v>
      </c>
      <c r="F48" s="1256"/>
      <c r="G48" s="1256"/>
      <c r="H48" s="671"/>
      <c r="I48" s="687"/>
      <c r="J48" s="687"/>
      <c r="K48" s="684"/>
      <c r="L48" s="679"/>
    </row>
    <row r="49" spans="5:16" x14ac:dyDescent="0.25">
      <c r="E49" s="592" t="s">
        <v>279</v>
      </c>
      <c r="F49" s="1257">
        <v>4128</v>
      </c>
      <c r="G49" s="1257"/>
      <c r="H49" s="681">
        <f>F49*(1.0972)</f>
        <v>4529.2415999999994</v>
      </c>
      <c r="I49" s="663" t="s">
        <v>249</v>
      </c>
      <c r="J49" s="677">
        <f>'[2]CAF Sp. 2016'!BD26</f>
        <v>2.6438643292682744E-2</v>
      </c>
      <c r="K49" s="678">
        <f t="shared" si="2"/>
        <v>4648.9886030487787</v>
      </c>
      <c r="L49" s="679">
        <f t="shared" si="0"/>
        <v>4735.9246899257905</v>
      </c>
    </row>
    <row r="50" spans="5:16" x14ac:dyDescent="0.25">
      <c r="E50" s="592" t="s">
        <v>280</v>
      </c>
      <c r="F50" s="1257">
        <v>1460</v>
      </c>
      <c r="G50" s="1257"/>
      <c r="H50" s="681">
        <f>F50*(1.0972)</f>
        <v>1601.912</v>
      </c>
      <c r="I50" s="663" t="s">
        <v>249</v>
      </c>
      <c r="J50" s="677">
        <f>'[2]CAF Sp. 2016'!BD26</f>
        <v>2.6438643292682744E-2</v>
      </c>
      <c r="K50" s="678">
        <f t="shared" si="2"/>
        <v>1644.264379954268</v>
      </c>
      <c r="L50" s="679">
        <f t="shared" si="0"/>
        <v>1675.0121238594127</v>
      </c>
    </row>
    <row r="51" spans="5:16" x14ac:dyDescent="0.25">
      <c r="E51" s="695" t="s">
        <v>281</v>
      </c>
      <c r="F51" s="1256"/>
      <c r="G51" s="1256"/>
      <c r="H51" s="671"/>
      <c r="I51" s="696"/>
      <c r="J51" s="696"/>
      <c r="K51" s="684"/>
      <c r="L51" s="679"/>
    </row>
    <row r="52" spans="5:16" x14ac:dyDescent="0.25">
      <c r="E52" s="592" t="s">
        <v>282</v>
      </c>
      <c r="F52" s="1257">
        <v>1460</v>
      </c>
      <c r="G52" s="1257"/>
      <c r="H52" s="681">
        <f>F52*(1.0972)</f>
        <v>1601.912</v>
      </c>
      <c r="I52" s="663" t="s">
        <v>249</v>
      </c>
      <c r="J52" s="677">
        <f>'[2]CAF Sp. 2016'!BD26</f>
        <v>2.6438643292682744E-2</v>
      </c>
      <c r="K52" s="678">
        <f t="shared" si="2"/>
        <v>1644.264379954268</v>
      </c>
      <c r="L52" s="679">
        <f t="shared" si="0"/>
        <v>1675.0121238594127</v>
      </c>
    </row>
    <row r="53" spans="5:16" x14ac:dyDescent="0.25">
      <c r="E53" s="592" t="s">
        <v>283</v>
      </c>
      <c r="F53" s="1257">
        <v>1460</v>
      </c>
      <c r="G53" s="1257"/>
      <c r="H53" s="681">
        <f>F53*(1.0972)</f>
        <v>1601.912</v>
      </c>
      <c r="I53" s="663" t="s">
        <v>249</v>
      </c>
      <c r="J53" s="677">
        <f>'[2]CAF Sp. 2016'!BD26</f>
        <v>2.6438643292682744E-2</v>
      </c>
      <c r="K53" s="678">
        <f>H53*(J53+1)</f>
        <v>1644.264379954268</v>
      </c>
      <c r="L53" s="679">
        <f t="shared" si="0"/>
        <v>1675.0121238594127</v>
      </c>
    </row>
    <row r="54" spans="5:16" x14ac:dyDescent="0.25">
      <c r="E54" s="695" t="s">
        <v>284</v>
      </c>
      <c r="F54" s="1256"/>
      <c r="G54" s="1256"/>
      <c r="H54" s="696"/>
      <c r="I54" s="696"/>
      <c r="J54" s="696"/>
      <c r="K54" s="684"/>
      <c r="L54" s="679"/>
    </row>
    <row r="55" spans="5:16" ht="24" customHeight="1" x14ac:dyDescent="0.25">
      <c r="E55" s="592"/>
      <c r="F55" s="1281" t="s">
        <v>285</v>
      </c>
      <c r="G55" s="1281"/>
      <c r="H55" s="697" t="s">
        <v>286</v>
      </c>
      <c r="I55" s="698" t="s">
        <v>287</v>
      </c>
      <c r="J55" s="699">
        <f>'[2]CAF Sp. 2016'!BD26</f>
        <v>2.6438643292682744E-2</v>
      </c>
      <c r="K55" s="700">
        <f>44.8*(J55+1)</f>
        <v>45.984451219512181</v>
      </c>
      <c r="L55" s="679">
        <f t="shared" si="0"/>
        <v>46.844360457317059</v>
      </c>
    </row>
    <row r="56" spans="5:16" x14ac:dyDescent="0.25">
      <c r="E56" s="695" t="s">
        <v>288</v>
      </c>
      <c r="F56" s="1256"/>
      <c r="G56" s="1256"/>
      <c r="H56" s="670"/>
      <c r="I56" s="670"/>
      <c r="J56" s="670"/>
      <c r="K56" s="678"/>
      <c r="L56" s="679"/>
    </row>
    <row r="57" spans="5:16" ht="45" x14ac:dyDescent="0.25">
      <c r="E57" s="592" t="s">
        <v>289</v>
      </c>
      <c r="F57" s="1257">
        <v>1641</v>
      </c>
      <c r="G57" s="1257"/>
      <c r="H57" s="701">
        <f>(F47/2+F57)</f>
        <v>2126</v>
      </c>
      <c r="I57" s="702" t="s">
        <v>290</v>
      </c>
      <c r="J57" s="677">
        <f>'[2]CAF Sp. 2016'!BD26</f>
        <v>2.6438643292682744E-2</v>
      </c>
      <c r="K57" s="678">
        <f>H57*(J57+1)</f>
        <v>2182.2085556402435</v>
      </c>
      <c r="L57" s="679">
        <f t="shared" si="0"/>
        <v>2223.015855630716</v>
      </c>
    </row>
    <row r="58" spans="5:16" x14ac:dyDescent="0.25">
      <c r="E58" s="680" t="s">
        <v>291</v>
      </c>
      <c r="F58" s="1257">
        <v>428</v>
      </c>
      <c r="G58" s="1257"/>
      <c r="H58" s="703">
        <f>F58*(1.0972)</f>
        <v>469.60159999999996</v>
      </c>
      <c r="I58" s="1282" t="s">
        <v>249</v>
      </c>
      <c r="J58" s="677">
        <f>'[2]CAF Sp. 2016'!BD26</f>
        <v>2.6438643292682744E-2</v>
      </c>
      <c r="K58" s="678">
        <f>H58*(J58+1)</f>
        <v>482.01722919207299</v>
      </c>
      <c r="L58" s="679">
        <f t="shared" si="0"/>
        <v>491.0309513779647</v>
      </c>
    </row>
    <row r="59" spans="5:16" x14ac:dyDescent="0.25">
      <c r="E59" s="592" t="s">
        <v>292</v>
      </c>
      <c r="F59" s="1257">
        <v>3406</v>
      </c>
      <c r="G59" s="1257"/>
      <c r="H59" s="703">
        <f>F59*(1.0972)</f>
        <v>3737.0632000000001</v>
      </c>
      <c r="I59" s="1282"/>
      <c r="J59" s="677">
        <f>'[2]CAF Sp. 2016'!BD26</f>
        <v>2.6438643292682744E-2</v>
      </c>
      <c r="K59" s="678">
        <f>H59*(J59+1)</f>
        <v>3835.8660809070111</v>
      </c>
      <c r="L59" s="679">
        <f t="shared" si="0"/>
        <v>3907.5967766199719</v>
      </c>
    </row>
    <row r="60" spans="5:16" ht="14.45" hidden="1" x14ac:dyDescent="0.3">
      <c r="E60" s="704" t="s">
        <v>293</v>
      </c>
      <c r="F60" s="705"/>
      <c r="G60" s="705"/>
      <c r="H60" s="703"/>
      <c r="I60" s="706"/>
      <c r="J60" s="677"/>
      <c r="K60" s="707">
        <f>K59/12</f>
        <v>319.65550674225091</v>
      </c>
      <c r="L60" s="679">
        <f t="shared" si="0"/>
        <v>325.63306471833096</v>
      </c>
    </row>
    <row r="61" spans="5:16" x14ac:dyDescent="0.25">
      <c r="E61" s="1241" t="s">
        <v>641</v>
      </c>
      <c r="F61" s="1256"/>
      <c r="G61" s="1256"/>
      <c r="H61" s="708"/>
      <c r="I61" s="672"/>
      <c r="J61" s="672"/>
      <c r="K61" s="673"/>
      <c r="L61" s="679"/>
    </row>
    <row r="62" spans="5:16" s="714" customFormat="1" ht="30.6" customHeight="1" x14ac:dyDescent="0.25">
      <c r="E62" s="1242" t="s">
        <v>294</v>
      </c>
      <c r="F62" s="1283">
        <v>1000</v>
      </c>
      <c r="G62" s="1283"/>
      <c r="H62" s="709">
        <v>1475</v>
      </c>
      <c r="I62" s="710" t="s">
        <v>295</v>
      </c>
      <c r="J62" s="711">
        <f>'[2]CAF Sp. 2016'!BD26</f>
        <v>2.6438643292682744E-2</v>
      </c>
      <c r="K62" s="712">
        <f>H62*(J62+1)+61.56</f>
        <v>1575.5569988567067</v>
      </c>
      <c r="L62" s="679">
        <f>K62*($M$1+1)</f>
        <v>1605.0199147353271</v>
      </c>
      <c r="M62" s="748"/>
      <c r="P62" s="713"/>
    </row>
    <row r="63" spans="5:16" s="714" customFormat="1" ht="20.45" customHeight="1" x14ac:dyDescent="0.25">
      <c r="E63" s="1243" t="s">
        <v>296</v>
      </c>
      <c r="F63" s="715"/>
      <c r="G63" s="715"/>
      <c r="H63" s="716"/>
      <c r="I63" s="717"/>
      <c r="J63" s="718"/>
      <c r="K63" s="747">
        <v>25.23</v>
      </c>
      <c r="L63" s="679">
        <f>(K63+1.35)*($M$1+1)</f>
        <v>27.077045999999999</v>
      </c>
      <c r="M63" s="748"/>
    </row>
    <row r="64" spans="5:16" ht="25.15" customHeight="1" x14ac:dyDescent="0.25">
      <c r="E64" s="635"/>
      <c r="F64" s="541"/>
      <c r="G64" s="541"/>
      <c r="H64" s="719"/>
      <c r="I64" s="635"/>
      <c r="L64" s="713"/>
    </row>
    <row r="65" spans="5:17" ht="24.75" customHeight="1" x14ac:dyDescent="0.25">
      <c r="E65" s="1284" t="s">
        <v>297</v>
      </c>
      <c r="F65" s="1284"/>
      <c r="G65" s="1284"/>
      <c r="H65" s="1284"/>
      <c r="L65" s="713"/>
    </row>
    <row r="66" spans="5:17" ht="27.75" customHeight="1" x14ac:dyDescent="0.25">
      <c r="E66" s="667" t="s">
        <v>242</v>
      </c>
      <c r="F66" s="668" t="s">
        <v>298</v>
      </c>
      <c r="G66" s="1285" t="s">
        <v>299</v>
      </c>
      <c r="H66" s="1285"/>
      <c r="J66" s="667" t="s">
        <v>210</v>
      </c>
      <c r="K66" s="669" t="s">
        <v>300</v>
      </c>
      <c r="L66" s="745" t="s">
        <v>247</v>
      </c>
    </row>
    <row r="67" spans="5:17" ht="78.75" customHeight="1" x14ac:dyDescent="0.25">
      <c r="E67" s="720" t="s">
        <v>301</v>
      </c>
      <c r="F67" s="721">
        <f>+'[3]Support Model Budgets'!O37</f>
        <v>61289.181468079216</v>
      </c>
      <c r="G67" s="1281" t="s">
        <v>302</v>
      </c>
      <c r="H67" s="1281"/>
      <c r="J67" s="699">
        <f>'[2]CAF Sp. 2016'!BD26</f>
        <v>2.6438643292682744E-2</v>
      </c>
      <c r="K67" s="722">
        <f t="shared" ref="K67:K72" si="3">F67*(J67+1)</f>
        <v>62909.584274614259</v>
      </c>
      <c r="L67" s="727">
        <f>K67*($M$1+1)</f>
        <v>64085.993500549543</v>
      </c>
      <c r="P67" s="1258"/>
      <c r="Q67" s="1258"/>
    </row>
    <row r="68" spans="5:17" ht="49.5" customHeight="1" x14ac:dyDescent="0.25">
      <c r="E68" s="720" t="s">
        <v>303</v>
      </c>
      <c r="F68" s="724">
        <f>+'[3]Support Model Budgets'!AG33</f>
        <v>47.595980860001433</v>
      </c>
      <c r="G68" s="1281" t="s">
        <v>304</v>
      </c>
      <c r="H68" s="1281"/>
      <c r="J68" s="699">
        <f>'[2]CAF Sp. 2016'!BD26</f>
        <v>2.6438643292682744E-2</v>
      </c>
      <c r="K68" s="725">
        <f t="shared" si="3"/>
        <v>48.854354020124362</v>
      </c>
      <c r="L68" s="746">
        <f t="shared" ref="L68:L70" si="4">K68*($M$1+1)</f>
        <v>49.767930440300681</v>
      </c>
    </row>
    <row r="69" spans="5:17" ht="50.25" customHeight="1" x14ac:dyDescent="0.25">
      <c r="E69" s="720" t="s">
        <v>305</v>
      </c>
      <c r="F69" s="721">
        <f>+'[3]Support Model Budgets'!U38</f>
        <v>133898.4283257552</v>
      </c>
      <c r="G69" s="1281" t="s">
        <v>306</v>
      </c>
      <c r="H69" s="1281"/>
      <c r="J69" s="699">
        <f>'[2]CAF Sp. 2016'!BD26</f>
        <v>2.6438643292682744E-2</v>
      </c>
      <c r="K69" s="722">
        <f>F69*(J69+1)</f>
        <v>137438.52110971068</v>
      </c>
      <c r="L69" s="727">
        <f t="shared" si="4"/>
        <v>140008.62145446226</v>
      </c>
    </row>
    <row r="70" spans="5:17" ht="48.75" customHeight="1" x14ac:dyDescent="0.25">
      <c r="E70" s="726" t="s">
        <v>307</v>
      </c>
      <c r="F70" s="724">
        <f>+'[3]Support Model Budgets'!AS39</f>
        <v>284.64072278252075</v>
      </c>
      <c r="G70" s="1281" t="s">
        <v>308</v>
      </c>
      <c r="H70" s="1281"/>
      <c r="J70" s="699">
        <f>'[2]CAF Sp. 2016'!BD26</f>
        <v>2.6438643292682744E-2</v>
      </c>
      <c r="K70" s="725">
        <f t="shared" si="3"/>
        <v>292.16623731873921</v>
      </c>
      <c r="L70" s="746">
        <f t="shared" si="4"/>
        <v>297.62974595659961</v>
      </c>
    </row>
    <row r="71" spans="5:17" ht="45.75" customHeight="1" x14ac:dyDescent="0.25">
      <c r="E71" s="726" t="s">
        <v>309</v>
      </c>
      <c r="F71" s="721">
        <f>+'[3]Support Model Budgets'!AA38</f>
        <v>142626.72724964569</v>
      </c>
      <c r="G71" s="1281" t="s">
        <v>306</v>
      </c>
      <c r="H71" s="1281"/>
      <c r="J71" s="699">
        <f>'[2]CAF Sp. 2016'!BD26</f>
        <v>2.6438643292682744E-2</v>
      </c>
      <c r="K71" s="722">
        <v>152004</v>
      </c>
      <c r="L71" s="727">
        <f>'AMSS &amp; Support Model Budgets'!AA46</f>
        <v>154371.34945195619</v>
      </c>
    </row>
    <row r="72" spans="5:17" ht="28.5" customHeight="1" x14ac:dyDescent="0.25">
      <c r="E72" s="726" t="s">
        <v>310</v>
      </c>
      <c r="F72" s="728">
        <f>+'[3]Support Model Budgets'!AM31</f>
        <v>16572.397660149334</v>
      </c>
      <c r="G72" s="1281" t="s">
        <v>306</v>
      </c>
      <c r="H72" s="1281"/>
      <c r="J72" s="699">
        <f>'[2]CAF Sp. 2016'!BD26</f>
        <v>2.6438643292682744E-2</v>
      </c>
      <c r="K72" s="722">
        <f t="shared" si="3"/>
        <v>17010.549370390512</v>
      </c>
      <c r="L72" s="723">
        <f>K72*(M1+1)</f>
        <v>17328.646643616812</v>
      </c>
    </row>
    <row r="76" spans="5:17" x14ac:dyDescent="0.25">
      <c r="K76" s="713"/>
      <c r="L76" s="665"/>
    </row>
    <row r="77" spans="5:17" x14ac:dyDescent="0.25">
      <c r="F77" s="510"/>
      <c r="G77" s="510"/>
      <c r="H77" s="510"/>
      <c r="I77" s="510"/>
      <c r="J77" s="729"/>
      <c r="K77" s="729"/>
      <c r="L77" s="729"/>
      <c r="M77" s="750"/>
    </row>
    <row r="78" spans="5:17" x14ac:dyDescent="0.25">
      <c r="F78" s="510"/>
      <c r="G78" s="730"/>
      <c r="H78" s="511"/>
      <c r="I78" s="731"/>
      <c r="J78" s="510"/>
      <c r="K78" s="729"/>
      <c r="L78" s="732"/>
      <c r="M78" s="750"/>
    </row>
    <row r="79" spans="5:17" x14ac:dyDescent="0.25">
      <c r="F79" s="510"/>
      <c r="G79" s="733"/>
      <c r="H79" s="733"/>
      <c r="I79" s="510"/>
      <c r="J79" s="510"/>
      <c r="K79" s="734"/>
      <c r="L79" s="735"/>
      <c r="M79" s="750"/>
    </row>
    <row r="80" spans="5:17" x14ac:dyDescent="0.25">
      <c r="F80" s="510"/>
      <c r="G80" s="510"/>
      <c r="H80" s="510"/>
      <c r="I80" s="510"/>
      <c r="J80" s="510"/>
      <c r="K80" s="736"/>
      <c r="L80" s="735"/>
      <c r="M80" s="750"/>
    </row>
    <row r="81" spans="5:13" x14ac:dyDescent="0.25">
      <c r="F81" s="510"/>
      <c r="G81" s="510"/>
      <c r="H81" s="510"/>
      <c r="I81" s="510"/>
      <c r="J81" s="510"/>
      <c r="K81" s="736"/>
      <c r="L81" s="735"/>
      <c r="M81" s="750"/>
    </row>
    <row r="82" spans="5:13" x14ac:dyDescent="0.25">
      <c r="F82" s="510"/>
      <c r="G82" s="510"/>
      <c r="H82" s="510"/>
      <c r="I82" s="510"/>
      <c r="J82" s="737"/>
      <c r="K82" s="736"/>
      <c r="L82" s="729"/>
      <c r="M82" s="750"/>
    </row>
    <row r="83" spans="5:13" x14ac:dyDescent="0.25">
      <c r="E83" s="634"/>
      <c r="F83" s="510"/>
      <c r="G83" s="510"/>
      <c r="H83" s="510"/>
      <c r="I83" s="510"/>
      <c r="J83" s="510"/>
      <c r="K83" s="736"/>
      <c r="L83" s="729"/>
      <c r="M83" s="750"/>
    </row>
    <row r="84" spans="5:13" x14ac:dyDescent="0.25">
      <c r="F84" s="510"/>
      <c r="G84" s="510"/>
      <c r="H84" s="510"/>
      <c r="I84" s="510"/>
      <c r="J84" s="510"/>
      <c r="K84" s="736"/>
      <c r="L84" s="729"/>
      <c r="M84" s="750"/>
    </row>
    <row r="85" spans="5:13" x14ac:dyDescent="0.25">
      <c r="F85" s="738"/>
      <c r="G85" s="738"/>
      <c r="H85" s="507"/>
      <c r="I85" s="510"/>
      <c r="J85" s="510"/>
      <c r="K85" s="739"/>
      <c r="L85" s="729"/>
      <c r="M85" s="750"/>
    </row>
    <row r="86" spans="5:13" x14ac:dyDescent="0.25">
      <c r="F86" s="740"/>
      <c r="G86" s="741"/>
      <c r="H86" s="511"/>
      <c r="I86" s="510"/>
      <c r="J86" s="742"/>
      <c r="K86" s="734"/>
      <c r="L86" s="729"/>
      <c r="M86" s="750"/>
    </row>
    <row r="87" spans="5:13" x14ac:dyDescent="0.25">
      <c r="F87" s="740"/>
      <c r="G87" s="741"/>
      <c r="H87" s="511"/>
      <c r="I87" s="510"/>
      <c r="J87" s="742"/>
      <c r="K87" s="734"/>
      <c r="L87" s="729"/>
      <c r="M87" s="750"/>
    </row>
    <row r="88" spans="5:13" x14ac:dyDescent="0.25">
      <c r="F88" s="507"/>
      <c r="G88" s="511"/>
      <c r="H88" s="510"/>
      <c r="I88" s="510"/>
      <c r="J88" s="510"/>
      <c r="K88" s="734"/>
      <c r="L88" s="729"/>
      <c r="M88" s="750"/>
    </row>
    <row r="89" spans="5:13" x14ac:dyDescent="0.25">
      <c r="F89" s="510"/>
      <c r="G89" s="510"/>
      <c r="H89" s="510"/>
      <c r="I89" s="510"/>
      <c r="J89" s="510"/>
      <c r="K89" s="736"/>
      <c r="L89" s="729"/>
      <c r="M89" s="750"/>
    </row>
    <row r="90" spans="5:13" x14ac:dyDescent="0.25">
      <c r="F90" s="510"/>
      <c r="G90" s="510"/>
      <c r="H90" s="510"/>
      <c r="I90" s="510"/>
      <c r="J90" s="510"/>
      <c r="K90" s="736"/>
      <c r="L90" s="729"/>
      <c r="M90" s="750"/>
    </row>
    <row r="91" spans="5:13" x14ac:dyDescent="0.25">
      <c r="F91" s="510"/>
      <c r="G91" s="510"/>
      <c r="H91" s="510"/>
      <c r="I91" s="510"/>
      <c r="J91" s="510"/>
      <c r="K91" s="736"/>
      <c r="L91" s="729"/>
      <c r="M91" s="750"/>
    </row>
  </sheetData>
  <mergeCells count="107">
    <mergeCell ref="G72:H72"/>
    <mergeCell ref="G67:H67"/>
    <mergeCell ref="P67:Q67"/>
    <mergeCell ref="G68:H68"/>
    <mergeCell ref="G69:H69"/>
    <mergeCell ref="G70:H70"/>
    <mergeCell ref="G71:H71"/>
    <mergeCell ref="I58:I59"/>
    <mergeCell ref="F59:G59"/>
    <mergeCell ref="F61:G61"/>
    <mergeCell ref="F62:G62"/>
    <mergeCell ref="E65:H65"/>
    <mergeCell ref="G66:H66"/>
    <mergeCell ref="F55:G55"/>
    <mergeCell ref="F56:G56"/>
    <mergeCell ref="F57:G57"/>
    <mergeCell ref="F58:G58"/>
    <mergeCell ref="F47:G47"/>
    <mergeCell ref="F48:G48"/>
    <mergeCell ref="F49:G49"/>
    <mergeCell ref="F50:G50"/>
    <mergeCell ref="F51:G51"/>
    <mergeCell ref="F52:G52"/>
    <mergeCell ref="F43:G43"/>
    <mergeCell ref="F45:G45"/>
    <mergeCell ref="F36:G36"/>
    <mergeCell ref="F37:G37"/>
    <mergeCell ref="F38:G38"/>
    <mergeCell ref="F39:G39"/>
    <mergeCell ref="F40:G40"/>
    <mergeCell ref="F53:G53"/>
    <mergeCell ref="F54:G54"/>
    <mergeCell ref="B41:B42"/>
    <mergeCell ref="C41:C42"/>
    <mergeCell ref="E41:E42"/>
    <mergeCell ref="F41:G42"/>
    <mergeCell ref="H33:H34"/>
    <mergeCell ref="I33:I34"/>
    <mergeCell ref="J33:J34"/>
    <mergeCell ref="K33:K34"/>
    <mergeCell ref="L33:L34"/>
    <mergeCell ref="F35:G35"/>
    <mergeCell ref="H41:H42"/>
    <mergeCell ref="I41:I42"/>
    <mergeCell ref="J41:J42"/>
    <mergeCell ref="K41:K42"/>
    <mergeCell ref="F28:G28"/>
    <mergeCell ref="F29:G29"/>
    <mergeCell ref="F30:G30"/>
    <mergeCell ref="F31:G31"/>
    <mergeCell ref="F32:G32"/>
    <mergeCell ref="B33:B34"/>
    <mergeCell ref="C33:C34"/>
    <mergeCell ref="E33:E34"/>
    <mergeCell ref="F33:G34"/>
    <mergeCell ref="F22:G22"/>
    <mergeCell ref="F23:G23"/>
    <mergeCell ref="F24:G24"/>
    <mergeCell ref="F25:G25"/>
    <mergeCell ref="F26:G26"/>
    <mergeCell ref="F27:G27"/>
    <mergeCell ref="F16:G16"/>
    <mergeCell ref="F17:G17"/>
    <mergeCell ref="F18:G18"/>
    <mergeCell ref="F19:G19"/>
    <mergeCell ref="F20:G20"/>
    <mergeCell ref="F21:G21"/>
    <mergeCell ref="L9:L10"/>
    <mergeCell ref="F11:G11"/>
    <mergeCell ref="F12:G12"/>
    <mergeCell ref="F13:G13"/>
    <mergeCell ref="F14:G14"/>
    <mergeCell ref="F15:G15"/>
    <mergeCell ref="K7:K8"/>
    <mergeCell ref="L7:L8"/>
    <mergeCell ref="B9:B10"/>
    <mergeCell ref="C9:C10"/>
    <mergeCell ref="E9:E10"/>
    <mergeCell ref="F9:G10"/>
    <mergeCell ref="H9:H10"/>
    <mergeCell ref="I9:I10"/>
    <mergeCell ref="J9:J10"/>
    <mergeCell ref="K9:K10"/>
    <mergeCell ref="M33:M34"/>
    <mergeCell ref="M5:M6"/>
    <mergeCell ref="M7:M8"/>
    <mergeCell ref="M9:M10"/>
    <mergeCell ref="E1:I1"/>
    <mergeCell ref="F2:G2"/>
    <mergeCell ref="F3:G3"/>
    <mergeCell ref="F4:G4"/>
    <mergeCell ref="B5:B6"/>
    <mergeCell ref="C5:C6"/>
    <mergeCell ref="E5:E6"/>
    <mergeCell ref="F5:G6"/>
    <mergeCell ref="H5:H6"/>
    <mergeCell ref="I5:I6"/>
    <mergeCell ref="J5:J6"/>
    <mergeCell ref="K5:K6"/>
    <mergeCell ref="L5:L6"/>
    <mergeCell ref="B7:B8"/>
    <mergeCell ref="C7:C8"/>
    <mergeCell ref="E7:E8"/>
    <mergeCell ref="F7:G8"/>
    <mergeCell ref="H7:H8"/>
    <mergeCell ref="I7:I8"/>
    <mergeCell ref="J7:J8"/>
  </mergeCells>
  <pageMargins left="0.25" right="0.25" top="0.5" bottom="0.5" header="0.3" footer="0.3"/>
  <pageSetup scale="70" orientation="portrait" r:id="rId1"/>
  <rowBreaks count="1" manualBreakCount="1">
    <brk id="64" min="4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C124"/>
  <sheetViews>
    <sheetView zoomScale="70" zoomScaleNormal="70" zoomScaleSheetLayoutView="50" workbookViewId="0">
      <selection activeCell="G1" sqref="G1:H1048576"/>
    </sheetView>
  </sheetViews>
  <sheetFormatPr defaultColWidth="9.140625" defaultRowHeight="12.75" x14ac:dyDescent="0.2"/>
  <cols>
    <col min="1" max="1" width="0.85546875" style="6" customWidth="1"/>
    <col min="2" max="2" width="26.140625" style="6" customWidth="1"/>
    <col min="3" max="3" width="9.5703125" style="6" customWidth="1"/>
    <col min="4" max="4" width="11" style="6" customWidth="1"/>
    <col min="5" max="5" width="9.85546875" style="6" customWidth="1"/>
    <col min="6" max="6" width="48.7109375" style="6" customWidth="1"/>
    <col min="7" max="8" width="1.5703125" style="6" customWidth="1"/>
    <col min="9" max="9" width="3.85546875" style="6" customWidth="1"/>
    <col min="10" max="10" width="34.85546875" style="6" customWidth="1"/>
    <col min="11" max="11" width="14.140625" style="6" customWidth="1"/>
    <col min="12" max="12" width="15.140625" style="6" customWidth="1"/>
    <col min="13" max="13" width="10.85546875" style="6" customWidth="1"/>
    <col min="14" max="14" width="14.140625" style="6" customWidth="1"/>
    <col min="15" max="15" width="5" style="6" customWidth="1"/>
    <col min="16" max="16" width="35" style="6" bestFit="1" customWidth="1"/>
    <col min="17" max="17" width="18.28515625" style="6" customWidth="1"/>
    <col min="18" max="18" width="13.85546875" style="6" customWidth="1"/>
    <col min="19" max="19" width="10.7109375" style="6" customWidth="1"/>
    <col min="20" max="20" width="18.7109375" style="6" customWidth="1"/>
    <col min="21" max="21" width="11" style="6" customWidth="1"/>
    <col min="22" max="22" width="15.28515625" style="6" customWidth="1"/>
    <col min="23" max="23" width="15.5703125" style="6" customWidth="1"/>
    <col min="24" max="24" width="17.42578125" style="6" customWidth="1"/>
    <col min="25" max="25" width="10.28515625" style="6" customWidth="1"/>
    <col min="26" max="26" width="11.7109375" style="6" customWidth="1"/>
    <col min="27" max="27" width="17.5703125" style="6" customWidth="1"/>
    <col min="28" max="28" width="30.140625" style="6" customWidth="1"/>
    <col min="29" max="29" width="3.140625" style="6" customWidth="1"/>
    <col min="30" max="30" width="26.140625" style="6" customWidth="1"/>
    <col min="31" max="31" width="16" style="6" customWidth="1"/>
    <col min="32" max="32" width="14.7109375" style="6" customWidth="1"/>
    <col min="33" max="33" width="13.42578125" style="6" customWidth="1"/>
    <col min="34" max="34" width="17" style="6" customWidth="1"/>
    <col min="35" max="35" width="5.5703125" style="6" customWidth="1"/>
    <col min="36" max="36" width="9.140625" style="6" customWidth="1"/>
    <col min="37" max="37" width="20.85546875" style="6" customWidth="1"/>
    <col min="38" max="38" width="10.42578125" style="6" customWidth="1"/>
    <col min="39" max="39" width="7.140625" style="6" customWidth="1"/>
    <col min="40" max="40" width="12.5703125" style="6" customWidth="1"/>
    <col min="41" max="41" width="9.140625" style="6" customWidth="1"/>
    <col min="42" max="42" width="32.28515625" style="6" customWidth="1"/>
    <col min="43" max="43" width="4.7109375" style="6" customWidth="1"/>
    <col min="44" max="44" width="24.140625" style="6" customWidth="1"/>
    <col min="45" max="45" width="13.85546875" style="6" customWidth="1"/>
    <col min="46" max="46" width="22.5703125" style="6" customWidth="1"/>
    <col min="47" max="47" width="14.5703125" style="6" customWidth="1"/>
    <col min="48" max="48" width="14.42578125" style="6" customWidth="1"/>
    <col min="49" max="49" width="8" style="6" customWidth="1"/>
    <col min="50" max="50" width="24.28515625" style="6" customWidth="1"/>
    <col min="51" max="51" width="16.42578125" style="6" customWidth="1"/>
    <col min="52" max="54" width="16.140625" style="6" customWidth="1"/>
    <col min="55" max="55" width="10.42578125" style="6" customWidth="1"/>
    <col min="56" max="56" width="11.140625" style="6" customWidth="1"/>
    <col min="57" max="57" width="1.5703125" style="6" customWidth="1"/>
    <col min="58" max="58" width="15.28515625" style="6" customWidth="1"/>
    <col min="59" max="59" width="18.7109375" style="6" customWidth="1"/>
    <col min="60" max="60" width="23" style="6" customWidth="1"/>
    <col min="61" max="61" width="9.140625" style="6" customWidth="1"/>
    <col min="62" max="62" width="19.140625" style="6" customWidth="1"/>
    <col min="63" max="63" width="25.140625" style="6" customWidth="1"/>
    <col min="64" max="64" width="6.5703125" style="6" customWidth="1"/>
    <col min="65" max="65" width="27.140625" style="6" customWidth="1"/>
    <col min="66" max="66" width="16.5703125" style="6" bestFit="1" customWidth="1"/>
    <col min="67" max="67" width="14.140625" style="6" customWidth="1"/>
    <col min="68" max="68" width="13.85546875" style="6" customWidth="1"/>
    <col min="69" max="69" width="16.28515625" style="6" customWidth="1"/>
    <col min="70" max="70" width="4.85546875" style="6" customWidth="1"/>
    <col min="71" max="71" width="22.85546875" style="6" customWidth="1"/>
    <col min="72" max="72" width="16.5703125" style="6" bestFit="1" customWidth="1"/>
    <col min="73" max="73" width="18.85546875" style="6" customWidth="1"/>
    <col min="74" max="74" width="17.140625" style="6" customWidth="1"/>
    <col min="75" max="75" width="15.5703125" style="6" customWidth="1"/>
    <col min="76" max="76" width="6.28515625" style="6" customWidth="1"/>
    <col min="77" max="77" width="31.28515625" style="6" customWidth="1"/>
    <col min="78" max="78" width="10" style="6" customWidth="1"/>
    <col min="79" max="79" width="15.42578125" style="6" customWidth="1"/>
    <col min="80" max="80" width="8.28515625" style="6" customWidth="1"/>
    <col min="81" max="81" width="11.28515625" style="6" customWidth="1"/>
    <col min="82" max="82" width="8.140625" style="6" customWidth="1"/>
    <col min="83" max="83" width="14.28515625" style="6" customWidth="1"/>
    <col min="84" max="84" width="27.85546875" style="6" customWidth="1"/>
    <col min="85" max="85" width="16.140625" style="6" customWidth="1"/>
    <col min="86" max="86" width="12.28515625" style="6" customWidth="1"/>
    <col min="87" max="87" width="19.85546875" style="6" customWidth="1"/>
    <col min="88" max="88" width="19.7109375" style="6" customWidth="1"/>
    <col min="89" max="89" width="9.85546875" style="6" customWidth="1"/>
    <col min="90" max="90" width="9.140625" style="6" customWidth="1"/>
    <col min="91" max="91" width="33" style="6" customWidth="1"/>
    <col min="92" max="92" width="16.28515625" style="6" customWidth="1"/>
    <col min="93" max="93" width="16.85546875" style="6" customWidth="1"/>
    <col min="94" max="94" width="17.42578125" style="6" customWidth="1"/>
    <col min="95" max="95" width="17.5703125" style="6" customWidth="1"/>
    <col min="96" max="96" width="15.28515625" style="6" customWidth="1"/>
    <col min="97" max="97" width="9.140625" style="6" customWidth="1"/>
    <col min="98" max="98" width="13.85546875" style="6" customWidth="1"/>
    <col min="99" max="101" width="9.140625" style="6" customWidth="1"/>
    <col min="102" max="102" width="20.7109375" style="6" customWidth="1"/>
    <col min="103" max="103" width="9.140625" style="6" customWidth="1"/>
    <col min="104" max="104" width="10.7109375" style="6" customWidth="1"/>
    <col min="105" max="105" width="9.140625" style="6" customWidth="1"/>
    <col min="106" max="106" width="21" style="6" customWidth="1"/>
    <col min="107" max="107" width="14.7109375" style="6" customWidth="1"/>
    <col min="108" max="108" width="14.85546875" style="6" customWidth="1"/>
    <col min="109" max="109" width="13.85546875" style="6" customWidth="1"/>
    <col min="110" max="110" width="15.7109375" style="6" customWidth="1"/>
    <col min="111" max="113" width="9.140625" style="6" customWidth="1"/>
    <col min="114" max="114" width="14.7109375" style="6" customWidth="1"/>
    <col min="115" max="115" width="9.140625" style="6" customWidth="1"/>
    <col min="116" max="116" width="13.7109375" style="6" customWidth="1"/>
    <col min="117" max="117" width="21.42578125" style="6" customWidth="1"/>
    <col min="118" max="118" width="9.140625" style="6" customWidth="1"/>
    <col min="119" max="119" width="18.7109375" style="6" customWidth="1"/>
    <col min="120" max="120" width="9.140625" style="6" customWidth="1"/>
    <col min="121" max="121" width="23" style="6" customWidth="1"/>
    <col min="122" max="122" width="17.42578125" style="6" customWidth="1"/>
    <col min="123" max="123" width="15.42578125" style="6" customWidth="1"/>
    <col min="124" max="124" width="15" style="6" customWidth="1"/>
    <col min="125" max="125" width="16.42578125" style="6" customWidth="1"/>
    <col min="126" max="126" width="9.140625" style="6" customWidth="1"/>
    <col min="127" max="127" width="25.42578125" style="6" customWidth="1"/>
    <col min="128" max="128" width="15.85546875" style="6" customWidth="1"/>
    <col min="129" max="129" width="17.5703125" style="6" customWidth="1"/>
    <col min="130" max="131" width="15.7109375" style="6" customWidth="1"/>
    <col min="132" max="16384" width="9.140625" style="6"/>
  </cols>
  <sheetData>
    <row r="1" spans="1:133" ht="13.5" thickBot="1" x14ac:dyDescent="0.25">
      <c r="A1" s="1"/>
      <c r="B1" s="1518" t="s">
        <v>0</v>
      </c>
      <c r="C1" s="1519"/>
      <c r="D1" s="1519"/>
      <c r="E1" s="1519"/>
      <c r="F1" s="1519"/>
      <c r="G1" s="2"/>
      <c r="H1" s="2"/>
      <c r="I1" s="3"/>
      <c r="J1" s="392"/>
      <c r="K1" s="393"/>
      <c r="L1" s="393"/>
      <c r="M1" s="393"/>
      <c r="N1" s="394"/>
      <c r="O1" s="5"/>
      <c r="P1" s="359"/>
      <c r="Q1" s="360"/>
      <c r="R1" s="360"/>
      <c r="S1" s="360"/>
      <c r="T1" s="361"/>
      <c r="BF1" s="1506" t="s">
        <v>1</v>
      </c>
      <c r="BG1" s="1507"/>
      <c r="BH1" s="1507"/>
      <c r="BI1" s="1507"/>
      <c r="BJ1" s="1507"/>
      <c r="BK1" s="1508"/>
      <c r="BY1" s="63"/>
      <c r="CE1" s="1525" t="s">
        <v>0</v>
      </c>
      <c r="CF1" s="1526"/>
      <c r="CG1" s="1526"/>
      <c r="CH1" s="1526"/>
      <c r="CI1" s="1526"/>
      <c r="CJ1" s="1526"/>
      <c r="CK1" s="1526"/>
      <c r="CL1" s="3"/>
    </row>
    <row r="2" spans="1:133" ht="22.5" customHeight="1" thickBot="1" x14ac:dyDescent="0.3">
      <c r="A2" s="1"/>
      <c r="B2" s="1520"/>
      <c r="C2" s="1521"/>
      <c r="D2" s="1521"/>
      <c r="E2" s="1521"/>
      <c r="F2" s="1521"/>
      <c r="G2" s="7"/>
      <c r="H2" s="7"/>
      <c r="I2" s="3"/>
      <c r="J2" s="1529" t="s">
        <v>489</v>
      </c>
      <c r="K2" s="1530"/>
      <c r="L2" s="1530"/>
      <c r="M2" s="1530"/>
      <c r="N2" s="1531"/>
      <c r="O2" s="4"/>
      <c r="P2" s="1496" t="s">
        <v>2</v>
      </c>
      <c r="Q2" s="1497"/>
      <c r="R2" s="1497"/>
      <c r="S2" s="1497"/>
      <c r="T2" s="1498"/>
      <c r="U2" s="4"/>
      <c r="W2" s="1525" t="s">
        <v>1</v>
      </c>
      <c r="X2" s="1526"/>
      <c r="Y2" s="1526"/>
      <c r="Z2" s="1526"/>
      <c r="AA2" s="1526"/>
      <c r="AB2" s="1532"/>
      <c r="AC2" s="8"/>
      <c r="AD2" s="426"/>
      <c r="AE2" s="427"/>
      <c r="AF2" s="427"/>
      <c r="AG2" s="427"/>
      <c r="AH2" s="428"/>
      <c r="AI2"/>
      <c r="AJ2" s="1506" t="s">
        <v>1</v>
      </c>
      <c r="AK2" s="1507"/>
      <c r="AL2" s="1507"/>
      <c r="AM2" s="1507"/>
      <c r="AN2" s="1507"/>
      <c r="AO2" s="1507"/>
      <c r="AP2" s="1508"/>
      <c r="AQ2" s="10"/>
      <c r="AR2" s="426"/>
      <c r="AS2" s="427"/>
      <c r="AT2" s="427"/>
      <c r="AU2" s="427"/>
      <c r="AV2" s="428"/>
      <c r="AW2" s="9"/>
      <c r="AX2" s="1533" t="s">
        <v>24</v>
      </c>
      <c r="AY2" s="1534"/>
      <c r="AZ2" s="1534"/>
      <c r="BA2" s="1534"/>
      <c r="BB2" s="1535"/>
      <c r="BC2" s="9"/>
      <c r="BD2" s="9"/>
      <c r="BF2" s="1522"/>
      <c r="BG2" s="1523"/>
      <c r="BH2" s="1523"/>
      <c r="BI2" s="1523"/>
      <c r="BJ2" s="1523"/>
      <c r="BK2" s="1524"/>
      <c r="BL2" s="10"/>
      <c r="BM2" s="426"/>
      <c r="BN2" s="427"/>
      <c r="BO2" s="427"/>
      <c r="BP2" s="427"/>
      <c r="BQ2" s="428"/>
      <c r="BR2"/>
      <c r="BS2" s="426"/>
      <c r="BT2" s="427"/>
      <c r="BU2" s="427"/>
      <c r="BV2" s="427"/>
      <c r="BW2" s="428"/>
      <c r="BY2" s="359"/>
      <c r="BZ2" s="360"/>
      <c r="CA2" s="360"/>
      <c r="CB2" s="360"/>
      <c r="CC2" s="361"/>
      <c r="CE2" s="1527"/>
      <c r="CF2" s="1523"/>
      <c r="CG2" s="1523"/>
      <c r="CH2" s="1523"/>
      <c r="CI2" s="1523"/>
      <c r="CJ2" s="1523"/>
      <c r="CK2" s="1523"/>
      <c r="CL2" s="11"/>
      <c r="CM2" s="426"/>
      <c r="CN2" s="427"/>
      <c r="CO2" s="427"/>
      <c r="CP2" s="427"/>
      <c r="CQ2" s="428"/>
      <c r="CR2"/>
    </row>
    <row r="3" spans="1:133" ht="15.75" thickBot="1" x14ac:dyDescent="0.3">
      <c r="A3" s="1"/>
      <c r="B3" s="12"/>
      <c r="C3" s="13"/>
      <c r="D3" s="14" t="s">
        <v>3</v>
      </c>
      <c r="E3" s="14"/>
      <c r="F3" s="14"/>
      <c r="G3" s="15"/>
      <c r="H3" s="15"/>
      <c r="I3" s="16"/>
      <c r="J3" s="362" t="s">
        <v>4</v>
      </c>
      <c r="K3" s="17">
        <v>8</v>
      </c>
      <c r="L3" s="18"/>
      <c r="M3" s="18" t="s">
        <v>5</v>
      </c>
      <c r="N3" s="363">
        <f>K3*365</f>
        <v>2920</v>
      </c>
      <c r="O3" s="19"/>
      <c r="P3" s="362" t="s">
        <v>4</v>
      </c>
      <c r="Q3" s="17">
        <v>5</v>
      </c>
      <c r="R3" s="18"/>
      <c r="S3" s="18" t="s">
        <v>5</v>
      </c>
      <c r="T3" s="363">
        <f>Q3*365</f>
        <v>1825</v>
      </c>
      <c r="U3" s="19"/>
      <c r="W3" s="1528"/>
      <c r="X3" s="1510"/>
      <c r="Y3" s="1510"/>
      <c r="Z3" s="1510"/>
      <c r="AA3" s="1510"/>
      <c r="AB3" s="1511"/>
      <c r="AC3" s="8"/>
      <c r="AD3" s="1496" t="s">
        <v>6</v>
      </c>
      <c r="AE3" s="1497"/>
      <c r="AF3" s="1497"/>
      <c r="AG3" s="1497"/>
      <c r="AH3" s="1498"/>
      <c r="AI3"/>
      <c r="AJ3" s="1509"/>
      <c r="AK3" s="1510"/>
      <c r="AL3" s="1510"/>
      <c r="AM3" s="1510"/>
      <c r="AN3" s="1510"/>
      <c r="AO3" s="1510"/>
      <c r="AP3" s="1511"/>
      <c r="AQ3" s="20"/>
      <c r="AR3" s="1496" t="s">
        <v>7</v>
      </c>
      <c r="AS3" s="1497"/>
      <c r="AT3" s="1497"/>
      <c r="AU3" s="1497"/>
      <c r="AV3" s="1498"/>
      <c r="AW3"/>
      <c r="AX3" s="429" t="s">
        <v>4</v>
      </c>
      <c r="AY3" s="17">
        <v>5</v>
      </c>
      <c r="AZ3" s="30"/>
      <c r="BA3" s="30" t="s">
        <v>5</v>
      </c>
      <c r="BB3" s="430">
        <f>AY3*365</f>
        <v>1825</v>
      </c>
      <c r="BF3" s="1509"/>
      <c r="BG3" s="1510"/>
      <c r="BH3" s="1510"/>
      <c r="BI3" s="1510"/>
      <c r="BJ3" s="1510"/>
      <c r="BK3" s="1511"/>
      <c r="BL3" s="20"/>
      <c r="BM3" s="1496" t="s">
        <v>8</v>
      </c>
      <c r="BN3" s="1497"/>
      <c r="BO3" s="1497"/>
      <c r="BP3" s="1497"/>
      <c r="BQ3" s="1498"/>
      <c r="BR3"/>
      <c r="BS3" s="1496" t="s">
        <v>9</v>
      </c>
      <c r="BT3" s="1497"/>
      <c r="BU3" s="1497"/>
      <c r="BV3" s="1497"/>
      <c r="BW3" s="1498"/>
      <c r="BX3" s="10"/>
      <c r="BY3" s="431"/>
      <c r="BZ3" s="43"/>
      <c r="CA3" s="43"/>
      <c r="CB3" s="43"/>
      <c r="CC3" s="432"/>
      <c r="CE3" s="1528"/>
      <c r="CF3" s="1510"/>
      <c r="CG3" s="1510"/>
      <c r="CH3" s="1510"/>
      <c r="CI3" s="1510"/>
      <c r="CJ3" s="1510"/>
      <c r="CK3" s="1510"/>
      <c r="CL3" s="22"/>
      <c r="CM3" s="1496" t="s">
        <v>10</v>
      </c>
      <c r="CN3" s="1497"/>
      <c r="CO3" s="1497"/>
      <c r="CP3" s="1497"/>
      <c r="CQ3" s="1498"/>
      <c r="CR3"/>
      <c r="CS3" s="1506" t="s">
        <v>11</v>
      </c>
      <c r="CT3" s="1507"/>
      <c r="CU3" s="1507"/>
      <c r="CV3" s="1507"/>
      <c r="CW3" s="1507"/>
      <c r="CX3" s="1507"/>
      <c r="CY3" s="1507"/>
      <c r="CZ3" s="1508"/>
      <c r="DA3" s="10"/>
      <c r="DB3" s="426"/>
      <c r="DC3" s="427"/>
      <c r="DD3" s="427"/>
      <c r="DE3" s="427"/>
      <c r="DF3" s="428"/>
      <c r="DG3" s="21"/>
      <c r="DH3"/>
      <c r="DI3"/>
      <c r="DJ3"/>
      <c r="DK3"/>
      <c r="DL3"/>
      <c r="DM3"/>
      <c r="DN3"/>
      <c r="DO3"/>
      <c r="DP3"/>
      <c r="DQ3" s="525"/>
      <c r="DR3" s="526"/>
      <c r="DS3" s="526"/>
      <c r="DT3" s="526"/>
      <c r="DU3" s="527"/>
      <c r="DV3"/>
      <c r="DW3" s="525"/>
      <c r="DX3" s="526"/>
      <c r="DY3" s="526"/>
      <c r="DZ3" s="526"/>
      <c r="EA3" s="527"/>
      <c r="EB3"/>
      <c r="EC3"/>
    </row>
    <row r="4" spans="1:133" ht="39" thickBot="1" x14ac:dyDescent="0.3">
      <c r="A4" s="1"/>
      <c r="B4" s="1445" t="s">
        <v>12</v>
      </c>
      <c r="C4" s="1446"/>
      <c r="D4" s="1491">
        <v>40000</v>
      </c>
      <c r="E4" s="1492"/>
      <c r="F4" s="23" t="s">
        <v>13</v>
      </c>
      <c r="G4" s="24"/>
      <c r="H4" s="24"/>
      <c r="I4" s="25"/>
      <c r="J4" s="364"/>
      <c r="K4" s="26"/>
      <c r="L4" s="26"/>
      <c r="M4" s="26"/>
      <c r="N4" s="365"/>
      <c r="O4" s="27"/>
      <c r="P4" s="364"/>
      <c r="Q4" s="28"/>
      <c r="R4" s="26"/>
      <c r="S4" s="26"/>
      <c r="T4" s="365"/>
      <c r="U4" s="27"/>
      <c r="W4" s="1512" t="s">
        <v>3</v>
      </c>
      <c r="X4" s="1513"/>
      <c r="Y4" s="1513"/>
      <c r="Z4" s="1513"/>
      <c r="AA4" s="1513"/>
      <c r="AB4" s="1514"/>
      <c r="AC4" s="29"/>
      <c r="AD4" s="429" t="s">
        <v>4</v>
      </c>
      <c r="AE4" s="17">
        <v>8</v>
      </c>
      <c r="AF4" s="30"/>
      <c r="AG4" s="30" t="s">
        <v>5</v>
      </c>
      <c r="AH4" s="430">
        <f>AE4*365</f>
        <v>2920</v>
      </c>
      <c r="AI4"/>
      <c r="AJ4" s="1515" t="s">
        <v>3</v>
      </c>
      <c r="AK4" s="1513"/>
      <c r="AL4" s="1513"/>
      <c r="AM4" s="1513"/>
      <c r="AN4" s="1513"/>
      <c r="AO4" s="1513"/>
      <c r="AP4" s="1514"/>
      <c r="AQ4" s="31"/>
      <c r="AR4" s="429" t="s">
        <v>4</v>
      </c>
      <c r="AS4" s="32">
        <v>8</v>
      </c>
      <c r="AT4" s="30"/>
      <c r="AU4" s="30" t="s">
        <v>5</v>
      </c>
      <c r="AV4" s="430">
        <f>AS4*365</f>
        <v>2920</v>
      </c>
      <c r="AW4" s="33"/>
      <c r="AX4" s="431"/>
      <c r="AY4" s="43"/>
      <c r="AZ4" s="43"/>
      <c r="BA4" s="43"/>
      <c r="BB4" s="432"/>
      <c r="BC4"/>
      <c r="BD4"/>
      <c r="BE4" s="34"/>
      <c r="BF4" s="1502" t="s">
        <v>3</v>
      </c>
      <c r="BG4" s="1516"/>
      <c r="BH4" s="1516"/>
      <c r="BI4" s="1516"/>
      <c r="BJ4" s="1516"/>
      <c r="BK4" s="1517"/>
      <c r="BL4" s="31"/>
      <c r="BM4" s="429" t="s">
        <v>4</v>
      </c>
      <c r="BN4" s="17">
        <v>1</v>
      </c>
      <c r="BO4" s="30"/>
      <c r="BP4" s="30" t="s">
        <v>5</v>
      </c>
      <c r="BQ4" s="430">
        <f>BN4*365</f>
        <v>365</v>
      </c>
      <c r="BR4"/>
      <c r="BS4" s="429" t="s">
        <v>4</v>
      </c>
      <c r="BT4" s="17">
        <v>1</v>
      </c>
      <c r="BU4" s="30"/>
      <c r="BV4" s="30" t="s">
        <v>5</v>
      </c>
      <c r="BW4" s="430">
        <f>BT4*365</f>
        <v>365</v>
      </c>
      <c r="BX4" s="20"/>
      <c r="BY4" s="1496" t="s">
        <v>14</v>
      </c>
      <c r="BZ4" s="1497"/>
      <c r="CA4" s="1497"/>
      <c r="CB4" s="1497"/>
      <c r="CC4" s="1498"/>
      <c r="CE4" s="1512" t="s">
        <v>3</v>
      </c>
      <c r="CF4" s="1513"/>
      <c r="CG4" s="1513"/>
      <c r="CH4" s="1513"/>
      <c r="CI4" s="1513"/>
      <c r="CJ4" s="1513"/>
      <c r="CK4" s="1513"/>
      <c r="CL4" s="35"/>
      <c r="CM4" s="429" t="s">
        <v>4</v>
      </c>
      <c r="CN4" s="17">
        <v>8</v>
      </c>
      <c r="CO4" s="30"/>
      <c r="CP4" s="30" t="s">
        <v>5</v>
      </c>
      <c r="CQ4" s="430">
        <f>CN4*365</f>
        <v>2920</v>
      </c>
      <c r="CR4"/>
      <c r="CS4" s="1509"/>
      <c r="CT4" s="1510"/>
      <c r="CU4" s="1510"/>
      <c r="CV4" s="1510"/>
      <c r="CW4" s="1510"/>
      <c r="CX4" s="1510"/>
      <c r="CY4" s="1510"/>
      <c r="CZ4" s="1511"/>
      <c r="DA4" s="20"/>
      <c r="DB4" s="1496" t="s">
        <v>15</v>
      </c>
      <c r="DC4" s="1497"/>
      <c r="DD4" s="1497"/>
      <c r="DE4" s="1497"/>
      <c r="DF4" s="1498"/>
      <c r="DG4" s="9"/>
      <c r="DH4" s="1499" t="s">
        <v>16</v>
      </c>
      <c r="DI4" s="1500"/>
      <c r="DJ4" s="1500"/>
      <c r="DK4" s="1500"/>
      <c r="DL4" s="1500"/>
      <c r="DM4" s="1500"/>
      <c r="DN4" s="1500"/>
      <c r="DO4" s="1501"/>
      <c r="DP4"/>
      <c r="DQ4" s="1496" t="s">
        <v>17</v>
      </c>
      <c r="DR4" s="1497"/>
      <c r="DS4" s="1497"/>
      <c r="DT4" s="1497"/>
      <c r="DU4" s="1498"/>
      <c r="DV4"/>
      <c r="DW4" s="1496" t="s">
        <v>18</v>
      </c>
      <c r="DX4" s="1497"/>
      <c r="DY4" s="1497"/>
      <c r="DZ4" s="1497"/>
      <c r="EA4" s="1498"/>
      <c r="EB4"/>
      <c r="EC4"/>
    </row>
    <row r="5" spans="1:133" ht="26.25" customHeight="1" x14ac:dyDescent="0.3">
      <c r="A5" s="1"/>
      <c r="B5" s="1445" t="s">
        <v>19</v>
      </c>
      <c r="C5" s="1446"/>
      <c r="D5" s="1491">
        <f>[4]Sheet1!$J$7</f>
        <v>42189.221412467887</v>
      </c>
      <c r="E5" s="1492"/>
      <c r="F5" s="36" t="s">
        <v>20</v>
      </c>
      <c r="G5" s="24"/>
      <c r="H5" s="24"/>
      <c r="I5" s="37"/>
      <c r="J5" s="366"/>
      <c r="K5" s="38"/>
      <c r="L5" s="39" t="s">
        <v>21</v>
      </c>
      <c r="M5" s="39" t="s">
        <v>22</v>
      </c>
      <c r="N5" s="367" t="s">
        <v>23</v>
      </c>
      <c r="O5" s="27"/>
      <c r="P5" s="366"/>
      <c r="Q5" s="38"/>
      <c r="R5" s="39" t="s">
        <v>21</v>
      </c>
      <c r="S5" s="39" t="s">
        <v>22</v>
      </c>
      <c r="T5" s="367" t="s">
        <v>23</v>
      </c>
      <c r="U5" s="27"/>
      <c r="W5" s="40" t="s">
        <v>12</v>
      </c>
      <c r="X5" s="41"/>
      <c r="Y5" s="1489">
        <v>40000</v>
      </c>
      <c r="Z5" s="1490"/>
      <c r="AA5" s="1373" t="s">
        <v>13</v>
      </c>
      <c r="AB5" s="1493"/>
      <c r="AC5" s="42"/>
      <c r="AD5" s="431"/>
      <c r="AE5" s="43"/>
      <c r="AF5" s="43"/>
      <c r="AG5" s="43"/>
      <c r="AH5" s="432"/>
      <c r="AI5"/>
      <c r="AJ5" s="1449" t="s">
        <v>12</v>
      </c>
      <c r="AK5" s="1505"/>
      <c r="AL5" s="1450"/>
      <c r="AM5" s="1485">
        <v>40000</v>
      </c>
      <c r="AN5" s="1485"/>
      <c r="AO5" s="1373" t="s">
        <v>13</v>
      </c>
      <c r="AP5" s="1493"/>
      <c r="AQ5" s="31"/>
      <c r="AR5" s="431"/>
      <c r="AS5" s="43"/>
      <c r="AT5" s="43"/>
      <c r="AU5" s="43"/>
      <c r="AV5" s="432"/>
      <c r="AW5" s="43"/>
      <c r="AX5" s="433"/>
      <c r="AY5" s="51"/>
      <c r="AZ5" s="52" t="s">
        <v>21</v>
      </c>
      <c r="BA5" s="52" t="s">
        <v>22</v>
      </c>
      <c r="BB5" s="434" t="s">
        <v>23</v>
      </c>
      <c r="BC5"/>
      <c r="BD5"/>
      <c r="BE5" s="34"/>
      <c r="BF5" s="1412" t="s">
        <v>25</v>
      </c>
      <c r="BG5" s="1412"/>
      <c r="BH5" s="1485">
        <f>[4]Sheet1!$J$7</f>
        <v>42189.221412467887</v>
      </c>
      <c r="BI5" s="1485"/>
      <c r="BJ5" s="1373" t="s">
        <v>20</v>
      </c>
      <c r="BK5" s="1493"/>
      <c r="BL5" s="35"/>
      <c r="BM5" s="431"/>
      <c r="BN5" s="43"/>
      <c r="BO5" s="43"/>
      <c r="BP5" s="43"/>
      <c r="BQ5" s="432"/>
      <c r="BR5"/>
      <c r="BS5" s="431"/>
      <c r="BT5" s="43"/>
      <c r="BU5" s="43"/>
      <c r="BV5" s="43"/>
      <c r="BW5" s="432"/>
      <c r="BX5" s="31"/>
      <c r="BY5" s="429" t="s">
        <v>4</v>
      </c>
      <c r="BZ5" s="17">
        <v>1</v>
      </c>
      <c r="CA5" s="30"/>
      <c r="CB5" s="30" t="s">
        <v>5</v>
      </c>
      <c r="CC5" s="430">
        <f>BZ5*365</f>
        <v>365</v>
      </c>
      <c r="CE5" s="1412" t="s">
        <v>12</v>
      </c>
      <c r="CF5" s="1412"/>
      <c r="CG5" s="1485">
        <v>40000</v>
      </c>
      <c r="CH5" s="1485"/>
      <c r="CI5" s="1373" t="s">
        <v>13</v>
      </c>
      <c r="CJ5" s="1373"/>
      <c r="CK5" s="1493"/>
      <c r="CL5" s="35"/>
      <c r="CM5" s="431"/>
      <c r="CN5" s="43"/>
      <c r="CO5" s="43"/>
      <c r="CP5" s="43"/>
      <c r="CQ5" s="432"/>
      <c r="CR5"/>
      <c r="CS5" s="1502" t="s">
        <v>26</v>
      </c>
      <c r="CT5" s="1503"/>
      <c r="CU5" s="1503"/>
      <c r="CV5" s="1503"/>
      <c r="CW5" s="1503"/>
      <c r="CX5" s="1503"/>
      <c r="CY5" s="1503"/>
      <c r="CZ5" s="1504"/>
      <c r="DA5" s="31"/>
      <c r="DB5" s="429" t="s">
        <v>4</v>
      </c>
      <c r="DC5" s="17">
        <v>4</v>
      </c>
      <c r="DD5" s="30"/>
      <c r="DE5" s="30" t="s">
        <v>5</v>
      </c>
      <c r="DF5" s="430">
        <f>DC5*365</f>
        <v>1460</v>
      </c>
      <c r="DG5" s="44"/>
      <c r="DH5" s="1412" t="s">
        <v>12</v>
      </c>
      <c r="DI5" s="1412"/>
      <c r="DJ5" s="1412"/>
      <c r="DK5" s="1485">
        <v>40000</v>
      </c>
      <c r="DL5" s="1485"/>
      <c r="DM5" s="1373" t="s">
        <v>13</v>
      </c>
      <c r="DN5" s="1373"/>
      <c r="DO5" s="1373"/>
      <c r="DP5"/>
      <c r="DQ5" s="429" t="s">
        <v>4</v>
      </c>
      <c r="DR5" s="17">
        <v>1</v>
      </c>
      <c r="DS5" s="30"/>
      <c r="DT5" s="30" t="s">
        <v>5</v>
      </c>
      <c r="DU5" s="430">
        <f>DR5*365</f>
        <v>365</v>
      </c>
      <c r="DV5"/>
      <c r="DW5" s="429" t="s">
        <v>4</v>
      </c>
      <c r="DX5" s="17">
        <v>1</v>
      </c>
      <c r="DY5" s="30"/>
      <c r="DZ5" s="30" t="s">
        <v>5</v>
      </c>
      <c r="EA5" s="430">
        <f>DX5*365</f>
        <v>365</v>
      </c>
      <c r="EB5"/>
      <c r="EC5"/>
    </row>
    <row r="6" spans="1:133" ht="40.15" x14ac:dyDescent="0.3">
      <c r="A6" s="1"/>
      <c r="B6" s="1494" t="s">
        <v>27</v>
      </c>
      <c r="C6" s="1495"/>
      <c r="D6" s="1491">
        <v>40000</v>
      </c>
      <c r="E6" s="1492"/>
      <c r="F6" s="23" t="s">
        <v>13</v>
      </c>
      <c r="G6" s="45"/>
      <c r="H6" s="45"/>
      <c r="I6" s="46"/>
      <c r="J6" s="368" t="s">
        <v>12</v>
      </c>
      <c r="K6" s="47"/>
      <c r="L6" s="48">
        <f>D4</f>
        <v>40000</v>
      </c>
      <c r="M6" s="49">
        <f>D11*K3</f>
        <v>0.32</v>
      </c>
      <c r="N6" s="369">
        <f>L6*M6</f>
        <v>12800</v>
      </c>
      <c r="O6" s="27"/>
      <c r="P6" s="368" t="s">
        <v>12</v>
      </c>
      <c r="Q6" s="47"/>
      <c r="R6" s="48">
        <f>D4</f>
        <v>40000</v>
      </c>
      <c r="S6" s="49">
        <f>Q3*E11</f>
        <v>0.5</v>
      </c>
      <c r="T6" s="369">
        <f>R6*S6</f>
        <v>20000</v>
      </c>
      <c r="U6" s="50"/>
      <c r="W6" s="1412" t="s">
        <v>19</v>
      </c>
      <c r="X6" s="1412"/>
      <c r="Y6" s="1489">
        <f>[4]Sheet1!$J$7</f>
        <v>42189.221412467887</v>
      </c>
      <c r="Z6" s="1490"/>
      <c r="AA6" s="1373" t="s">
        <v>20</v>
      </c>
      <c r="AB6" s="1493"/>
      <c r="AC6" s="42"/>
      <c r="AD6" s="433"/>
      <c r="AE6" s="51"/>
      <c r="AF6" s="52" t="s">
        <v>21</v>
      </c>
      <c r="AG6" s="52" t="s">
        <v>22</v>
      </c>
      <c r="AH6" s="434" t="s">
        <v>23</v>
      </c>
      <c r="AI6"/>
      <c r="AJ6" s="1412" t="s">
        <v>19</v>
      </c>
      <c r="AK6" s="1412"/>
      <c r="AL6" s="1412"/>
      <c r="AM6" s="1485">
        <f>[4]Sheet1!$J$7</f>
        <v>42189.221412467887</v>
      </c>
      <c r="AN6" s="1485"/>
      <c r="AO6" s="1373" t="s">
        <v>20</v>
      </c>
      <c r="AP6" s="1373"/>
      <c r="AQ6" s="20"/>
      <c r="AR6" s="433"/>
      <c r="AS6" s="51"/>
      <c r="AT6" s="52" t="s">
        <v>21</v>
      </c>
      <c r="AU6" s="52" t="s">
        <v>22</v>
      </c>
      <c r="AV6" s="434" t="s">
        <v>23</v>
      </c>
      <c r="AW6" s="44"/>
      <c r="AX6" s="435" t="s">
        <v>12</v>
      </c>
      <c r="AY6" s="57"/>
      <c r="AZ6" s="58">
        <f t="shared" ref="AZ6:AZ11" si="0">+AM5</f>
        <v>40000</v>
      </c>
      <c r="BA6" s="66">
        <f t="shared" ref="BA6:BA11" si="1">+AM12</f>
        <v>0.32</v>
      </c>
      <c r="BB6" s="436">
        <f t="shared" ref="BB6:BB11" si="2">AZ6*BA6</f>
        <v>12800</v>
      </c>
      <c r="BC6"/>
      <c r="BD6"/>
      <c r="BE6" s="34"/>
      <c r="BF6" s="1412" t="s">
        <v>19</v>
      </c>
      <c r="BG6" s="1412"/>
      <c r="BH6" s="1485">
        <f>[4]Sheet1!$J$7</f>
        <v>42189.221412467887</v>
      </c>
      <c r="BI6" s="1485"/>
      <c r="BJ6" s="1373" t="s">
        <v>20</v>
      </c>
      <c r="BK6" s="1373"/>
      <c r="BL6" s="20"/>
      <c r="BM6" s="433"/>
      <c r="BN6" s="51"/>
      <c r="BO6" s="52" t="s">
        <v>21</v>
      </c>
      <c r="BP6" s="52" t="s">
        <v>22</v>
      </c>
      <c r="BQ6" s="434" t="s">
        <v>23</v>
      </c>
      <c r="BR6"/>
      <c r="BS6" s="433"/>
      <c r="BT6" s="51"/>
      <c r="BU6" s="52" t="s">
        <v>21</v>
      </c>
      <c r="BV6" s="52" t="s">
        <v>22</v>
      </c>
      <c r="BW6" s="434" t="s">
        <v>23</v>
      </c>
      <c r="BX6" s="31"/>
      <c r="BY6" s="431"/>
      <c r="BZ6" s="43"/>
      <c r="CA6" s="43"/>
      <c r="CB6" s="43"/>
      <c r="CC6" s="432"/>
      <c r="CE6" s="1412" t="s">
        <v>19</v>
      </c>
      <c r="CF6" s="1412"/>
      <c r="CG6" s="1485">
        <f>[4]Sheet1!$J$7</f>
        <v>42189.221412467887</v>
      </c>
      <c r="CH6" s="1485"/>
      <c r="CI6" s="1373" t="s">
        <v>20</v>
      </c>
      <c r="CJ6" s="1373"/>
      <c r="CK6" s="1493"/>
      <c r="CL6" s="22"/>
      <c r="CM6" s="433"/>
      <c r="CN6" s="51"/>
      <c r="CO6" s="52" t="s">
        <v>21</v>
      </c>
      <c r="CP6" s="52" t="s">
        <v>22</v>
      </c>
      <c r="CQ6" s="434" t="s">
        <v>23</v>
      </c>
      <c r="CR6"/>
      <c r="CS6" s="1412" t="s">
        <v>12</v>
      </c>
      <c r="CT6" s="1412"/>
      <c r="CU6" s="1412"/>
      <c r="CV6" s="1485">
        <v>40000</v>
      </c>
      <c r="CW6" s="1485"/>
      <c r="CX6" s="1373" t="s">
        <v>13</v>
      </c>
      <c r="CY6" s="1373"/>
      <c r="CZ6" s="1373"/>
      <c r="DA6" s="31"/>
      <c r="DB6" s="431"/>
      <c r="DC6" s="43"/>
      <c r="DD6" s="43"/>
      <c r="DE6" s="43"/>
      <c r="DF6" s="432"/>
      <c r="DG6" s="53"/>
      <c r="DH6" s="1412" t="s">
        <v>19</v>
      </c>
      <c r="DI6" s="1412"/>
      <c r="DJ6" s="1412"/>
      <c r="DK6" s="1485">
        <f>[4]Sheet1!$J$7</f>
        <v>42189.221412467887</v>
      </c>
      <c r="DL6" s="1485"/>
      <c r="DM6" s="1373" t="s">
        <v>20</v>
      </c>
      <c r="DN6" s="1373"/>
      <c r="DO6" s="1373"/>
      <c r="DP6"/>
      <c r="DQ6" s="433"/>
      <c r="DR6" s="51"/>
      <c r="DS6" s="52" t="s">
        <v>21</v>
      </c>
      <c r="DT6" s="52" t="s">
        <v>22</v>
      </c>
      <c r="DU6" s="434" t="s">
        <v>23</v>
      </c>
      <c r="DV6"/>
      <c r="DW6" s="433"/>
      <c r="DX6" s="51"/>
      <c r="DY6" s="52" t="s">
        <v>21</v>
      </c>
      <c r="DZ6" s="52" t="s">
        <v>22</v>
      </c>
      <c r="EA6" s="434" t="s">
        <v>23</v>
      </c>
      <c r="EB6"/>
      <c r="EC6"/>
    </row>
    <row r="7" spans="1:133" ht="27" x14ac:dyDescent="0.3">
      <c r="A7" s="1"/>
      <c r="B7" s="1445" t="s">
        <v>28</v>
      </c>
      <c r="C7" s="1446"/>
      <c r="D7" s="1491">
        <v>35000</v>
      </c>
      <c r="E7" s="1492"/>
      <c r="F7" s="36" t="s">
        <v>20</v>
      </c>
      <c r="G7" s="24"/>
      <c r="H7" s="24"/>
      <c r="I7" s="46"/>
      <c r="J7" s="368" t="s">
        <v>19</v>
      </c>
      <c r="K7" s="47"/>
      <c r="L7" s="48">
        <f>D5</f>
        <v>42189.221412467887</v>
      </c>
      <c r="M7" s="49">
        <f>D12*K3</f>
        <v>0.16666666666666666</v>
      </c>
      <c r="N7" s="369">
        <f>L7*M7</f>
        <v>7031.5369020779808</v>
      </c>
      <c r="O7" s="27"/>
      <c r="P7" s="368" t="s">
        <v>19</v>
      </c>
      <c r="Q7" s="47"/>
      <c r="R7" s="48">
        <f>D5</f>
        <v>42189.221412467887</v>
      </c>
      <c r="S7" s="49">
        <f>Q3*E12</f>
        <v>0.25</v>
      </c>
      <c r="T7" s="369">
        <f>R7*S7</f>
        <v>10547.305353116972</v>
      </c>
      <c r="U7" s="50"/>
      <c r="W7" s="54" t="s">
        <v>27</v>
      </c>
      <c r="X7" s="55"/>
      <c r="Y7" s="1489">
        <v>40000</v>
      </c>
      <c r="Z7" s="1490"/>
      <c r="AA7" s="1373" t="s">
        <v>20</v>
      </c>
      <c r="AB7" s="1493"/>
      <c r="AC7" s="56"/>
      <c r="AD7" s="435" t="s">
        <v>12</v>
      </c>
      <c r="AE7" s="57"/>
      <c r="AF7" s="58">
        <f>Y5</f>
        <v>40000</v>
      </c>
      <c r="AG7" s="59">
        <f>Y12*AE4</f>
        <v>0.32</v>
      </c>
      <c r="AH7" s="436">
        <f t="shared" ref="AH7:AH12" si="3">AF7*AG7</f>
        <v>12800</v>
      </c>
      <c r="AI7"/>
      <c r="AJ7" s="1442" t="s">
        <v>27</v>
      </c>
      <c r="AK7" s="1442"/>
      <c r="AL7" s="1442"/>
      <c r="AM7" s="1485">
        <v>40000</v>
      </c>
      <c r="AN7" s="1485"/>
      <c r="AO7" s="1373" t="s">
        <v>20</v>
      </c>
      <c r="AP7" s="1373"/>
      <c r="AQ7" s="60"/>
      <c r="AR7" s="435" t="s">
        <v>12</v>
      </c>
      <c r="AS7" s="57"/>
      <c r="AT7" s="58">
        <f>AM5</f>
        <v>40000</v>
      </c>
      <c r="AU7" s="59">
        <f>AL12*AS4</f>
        <v>0.32</v>
      </c>
      <c r="AV7" s="436">
        <f>AT7*AU7</f>
        <v>12800</v>
      </c>
      <c r="AW7" s="61"/>
      <c r="AX7" s="435" t="s">
        <v>19</v>
      </c>
      <c r="AY7" s="57"/>
      <c r="AZ7" s="58">
        <f t="shared" si="0"/>
        <v>42189.221412467887</v>
      </c>
      <c r="BA7" s="66">
        <f t="shared" si="1"/>
        <v>0.16666666666666666</v>
      </c>
      <c r="BB7" s="436">
        <f t="shared" si="2"/>
        <v>7031.5369020779808</v>
      </c>
      <c r="BC7"/>
      <c r="BD7"/>
      <c r="BE7" s="34"/>
      <c r="BF7" s="1442" t="s">
        <v>27</v>
      </c>
      <c r="BG7" s="1442"/>
      <c r="BH7" s="1485">
        <v>40000</v>
      </c>
      <c r="BI7" s="1485"/>
      <c r="BJ7" s="1373" t="s">
        <v>20</v>
      </c>
      <c r="BK7" s="1373"/>
      <c r="BL7" s="60"/>
      <c r="BM7" s="435" t="s">
        <v>19</v>
      </c>
      <c r="BN7" s="57"/>
      <c r="BO7" s="58">
        <f>+BH6</f>
        <v>42189.221412467887</v>
      </c>
      <c r="BP7" s="62">
        <f>BI13</f>
        <v>0.05</v>
      </c>
      <c r="BQ7" s="436">
        <f t="shared" ref="BQ7:BQ12" si="4">BO7*BP7</f>
        <v>2109.4610706233943</v>
      </c>
      <c r="BR7"/>
      <c r="BS7" s="435" t="s">
        <v>19</v>
      </c>
      <c r="BT7" s="57"/>
      <c r="BU7" s="58">
        <f>+BH6</f>
        <v>42189.221412467887</v>
      </c>
      <c r="BV7" s="62">
        <f>BJ13</f>
        <v>0.05</v>
      </c>
      <c r="BW7" s="436">
        <f t="shared" ref="BW7:BW12" si="5">BU7*BV7</f>
        <v>2109.4610706233943</v>
      </c>
      <c r="BX7" s="20"/>
      <c r="BY7" s="433"/>
      <c r="BZ7" s="51"/>
      <c r="CA7" s="52" t="s">
        <v>21</v>
      </c>
      <c r="CB7" s="52" t="s">
        <v>22</v>
      </c>
      <c r="CC7" s="434" t="s">
        <v>23</v>
      </c>
      <c r="CD7" s="63"/>
      <c r="CE7" s="1442" t="s">
        <v>27</v>
      </c>
      <c r="CF7" s="1442"/>
      <c r="CG7" s="1485">
        <v>40000</v>
      </c>
      <c r="CH7" s="1485"/>
      <c r="CI7" s="1373" t="s">
        <v>20</v>
      </c>
      <c r="CJ7" s="1373"/>
      <c r="CK7" s="1493"/>
      <c r="CL7" s="64"/>
      <c r="CM7" s="435" t="s">
        <v>12</v>
      </c>
      <c r="CN7" s="57"/>
      <c r="CO7" s="58">
        <f>CG5</f>
        <v>40000</v>
      </c>
      <c r="CP7" s="59">
        <f>CG15*CN4</f>
        <v>0.32</v>
      </c>
      <c r="CQ7" s="436">
        <f t="shared" ref="CQ7:CQ14" si="6">CO7*CP7</f>
        <v>12800</v>
      </c>
      <c r="CR7"/>
      <c r="CS7" s="1412" t="s">
        <v>19</v>
      </c>
      <c r="CT7" s="1412"/>
      <c r="CU7" s="1412"/>
      <c r="CV7" s="1485">
        <f>[4]Sheet1!$J$7</f>
        <v>42189.221412467887</v>
      </c>
      <c r="CW7" s="1485"/>
      <c r="CX7" s="1373" t="s">
        <v>20</v>
      </c>
      <c r="CY7" s="1373"/>
      <c r="CZ7" s="1373"/>
      <c r="DA7" s="20"/>
      <c r="DB7" s="433"/>
      <c r="DC7" s="51"/>
      <c r="DD7" s="52" t="s">
        <v>21</v>
      </c>
      <c r="DE7" s="52" t="s">
        <v>22</v>
      </c>
      <c r="DF7" s="434" t="s">
        <v>23</v>
      </c>
      <c r="DG7" s="53"/>
      <c r="DH7" s="1442" t="s">
        <v>27</v>
      </c>
      <c r="DI7" s="1442"/>
      <c r="DJ7" s="1442"/>
      <c r="DK7" s="1485">
        <v>40000</v>
      </c>
      <c r="DL7" s="1485"/>
      <c r="DM7" s="1373" t="s">
        <v>13</v>
      </c>
      <c r="DN7" s="1373"/>
      <c r="DO7" s="1373"/>
      <c r="DP7"/>
      <c r="DQ7" s="435" t="s">
        <v>12</v>
      </c>
      <c r="DR7" s="57"/>
      <c r="DS7" s="58">
        <f t="shared" ref="DS7:DS12" si="7">+DK5</f>
        <v>40000</v>
      </c>
      <c r="DT7" s="59">
        <f t="shared" ref="DT7:DT12" si="8">+DK12</f>
        <v>4.2500000000000003E-2</v>
      </c>
      <c r="DU7" s="436">
        <f t="shared" ref="DU7:DU12" si="9">DT7*DS7</f>
        <v>1700.0000000000002</v>
      </c>
      <c r="DV7"/>
      <c r="DW7" s="435" t="s">
        <v>12</v>
      </c>
      <c r="DX7" s="57"/>
      <c r="DY7" s="58">
        <f t="shared" ref="DY7:DY12" si="10">+DK5</f>
        <v>40000</v>
      </c>
      <c r="DZ7" s="59">
        <f t="shared" ref="DZ7:DZ12" si="11">+DK12</f>
        <v>4.2500000000000003E-2</v>
      </c>
      <c r="EA7" s="436">
        <f t="shared" ref="EA7:EA12" si="12">DZ7*DY7</f>
        <v>1700.0000000000002</v>
      </c>
      <c r="EB7"/>
      <c r="EC7"/>
    </row>
    <row r="8" spans="1:133" ht="39.6" customHeight="1" x14ac:dyDescent="0.3">
      <c r="A8" s="1"/>
      <c r="B8" s="1447" t="s">
        <v>29</v>
      </c>
      <c r="C8" s="1448"/>
      <c r="D8" s="1491">
        <f>[4]Sheet1!$J$2</f>
        <v>52305.406251052875</v>
      </c>
      <c r="E8" s="1492"/>
      <c r="F8" s="36" t="s">
        <v>20</v>
      </c>
      <c r="G8" s="24"/>
      <c r="H8" s="24"/>
      <c r="I8" s="46"/>
      <c r="J8" s="370" t="s">
        <v>27</v>
      </c>
      <c r="K8" s="47"/>
      <c r="L8" s="48">
        <f>D6</f>
        <v>40000</v>
      </c>
      <c r="M8" s="49">
        <f>D13*K3</f>
        <v>1</v>
      </c>
      <c r="N8" s="369">
        <f>L8*M8</f>
        <v>40000</v>
      </c>
      <c r="O8" s="27"/>
      <c r="P8" s="370" t="s">
        <v>27</v>
      </c>
      <c r="Q8" s="47"/>
      <c r="R8" s="48">
        <f>D6</f>
        <v>40000</v>
      </c>
      <c r="S8" s="49">
        <f>Q3*E13</f>
        <v>1</v>
      </c>
      <c r="T8" s="369">
        <f>R8*S8</f>
        <v>40000</v>
      </c>
      <c r="U8" s="50"/>
      <c r="W8" s="1412" t="s">
        <v>28</v>
      </c>
      <c r="X8" s="1412"/>
      <c r="Y8" s="1489">
        <v>35000</v>
      </c>
      <c r="Z8" s="1490"/>
      <c r="AA8" s="1373" t="s">
        <v>20</v>
      </c>
      <c r="AB8" s="1493"/>
      <c r="AC8" s="42"/>
      <c r="AD8" s="435" t="s">
        <v>19</v>
      </c>
      <c r="AE8" s="57"/>
      <c r="AF8" s="58">
        <f>Y6</f>
        <v>42189.221412467887</v>
      </c>
      <c r="AG8" s="59">
        <f>Y13*AE4</f>
        <v>0.16666666666666666</v>
      </c>
      <c r="AH8" s="436">
        <f t="shared" si="3"/>
        <v>7031.5369020779808</v>
      </c>
      <c r="AI8"/>
      <c r="AJ8" s="1412" t="s">
        <v>28</v>
      </c>
      <c r="AK8" s="1412"/>
      <c r="AL8" s="1412"/>
      <c r="AM8" s="1485">
        <v>35000</v>
      </c>
      <c r="AN8" s="1485"/>
      <c r="AO8" s="1373" t="s">
        <v>20</v>
      </c>
      <c r="AP8" s="1373"/>
      <c r="AQ8" s="65"/>
      <c r="AR8" s="435" t="s">
        <v>19</v>
      </c>
      <c r="AS8" s="57"/>
      <c r="AT8" s="58">
        <f>AM6</f>
        <v>42189.221412467887</v>
      </c>
      <c r="AU8" s="59">
        <f>AL13*AS4</f>
        <v>0.16666666666666666</v>
      </c>
      <c r="AV8" s="436">
        <f>AT8*AU8</f>
        <v>7031.5369020779808</v>
      </c>
      <c r="AW8" s="61"/>
      <c r="AX8" s="437" t="s">
        <v>30</v>
      </c>
      <c r="AY8" s="57"/>
      <c r="AZ8" s="58">
        <f t="shared" si="0"/>
        <v>40000</v>
      </c>
      <c r="BA8" s="76">
        <f t="shared" si="1"/>
        <v>1</v>
      </c>
      <c r="BB8" s="436">
        <f t="shared" si="2"/>
        <v>40000</v>
      </c>
      <c r="BC8"/>
      <c r="BD8"/>
      <c r="BE8" s="34"/>
      <c r="BF8" s="1412" t="s">
        <v>28</v>
      </c>
      <c r="BG8" s="1412"/>
      <c r="BH8" s="1485">
        <v>35000</v>
      </c>
      <c r="BI8" s="1485"/>
      <c r="BJ8" s="1373" t="s">
        <v>20</v>
      </c>
      <c r="BK8" s="1373"/>
      <c r="BL8" s="65"/>
      <c r="BM8" s="437" t="s">
        <v>27</v>
      </c>
      <c r="BN8" s="57"/>
      <c r="BO8" s="58">
        <f>+BH7</f>
        <v>40000</v>
      </c>
      <c r="BP8" s="66">
        <f>BI14</f>
        <v>0.35</v>
      </c>
      <c r="BQ8" s="436">
        <f t="shared" si="4"/>
        <v>14000</v>
      </c>
      <c r="BR8"/>
      <c r="BS8" s="437" t="s">
        <v>30</v>
      </c>
      <c r="BT8" s="57"/>
      <c r="BU8" s="58">
        <f>+BH7</f>
        <v>40000</v>
      </c>
      <c r="BV8" s="62">
        <f>BJ14</f>
        <v>0.55000000000000004</v>
      </c>
      <c r="BW8" s="436">
        <f t="shared" si="5"/>
        <v>22000</v>
      </c>
      <c r="BX8" s="60"/>
      <c r="BY8" s="435" t="s">
        <v>31</v>
      </c>
      <c r="BZ8" s="57"/>
      <c r="CA8" s="58">
        <f>+BH7</f>
        <v>40000</v>
      </c>
      <c r="CB8" s="59">
        <f>+BH17</f>
        <v>0.17499999999999999</v>
      </c>
      <c r="CC8" s="436">
        <f t="shared" ref="CC8:CC13" si="13">CA8*CB8</f>
        <v>7000</v>
      </c>
      <c r="CD8" s="63"/>
      <c r="CE8" s="1412" t="s">
        <v>28</v>
      </c>
      <c r="CF8" s="1412"/>
      <c r="CG8" s="1485">
        <v>35000</v>
      </c>
      <c r="CH8" s="1485"/>
      <c r="CI8" s="1373" t="s">
        <v>20</v>
      </c>
      <c r="CJ8" s="1373"/>
      <c r="CK8" s="1493"/>
      <c r="CL8" s="67"/>
      <c r="CM8" s="435" t="s">
        <v>19</v>
      </c>
      <c r="CN8" s="57"/>
      <c r="CO8" s="58">
        <f>CG6</f>
        <v>42189.221412467887</v>
      </c>
      <c r="CP8" s="59">
        <f>CG16*CN4</f>
        <v>0.16666666666666666</v>
      </c>
      <c r="CQ8" s="436">
        <f t="shared" si="6"/>
        <v>7031.5369020779808</v>
      </c>
      <c r="CR8"/>
      <c r="CS8" s="1442" t="s">
        <v>27</v>
      </c>
      <c r="CT8" s="1442"/>
      <c r="CU8" s="1442"/>
      <c r="CV8" s="1485">
        <v>40000</v>
      </c>
      <c r="CW8" s="1485"/>
      <c r="CX8" s="1373" t="s">
        <v>13</v>
      </c>
      <c r="CY8" s="1373"/>
      <c r="CZ8" s="1373"/>
      <c r="DA8" s="60"/>
      <c r="DB8" s="435" t="s">
        <v>12</v>
      </c>
      <c r="DC8" s="57"/>
      <c r="DD8" s="58">
        <f t="shared" ref="DD8:DD13" si="14">+CV6</f>
        <v>40000</v>
      </c>
      <c r="DE8" s="59">
        <f t="shared" ref="DE8:DE13" si="15">+CV13</f>
        <v>0.17</v>
      </c>
      <c r="DF8" s="436">
        <f t="shared" ref="DF8:DF13" si="16">DD8*DE8</f>
        <v>6800.0000000000009</v>
      </c>
      <c r="DG8" s="53"/>
      <c r="DH8" s="1412" t="s">
        <v>28</v>
      </c>
      <c r="DI8" s="1412"/>
      <c r="DJ8" s="1412"/>
      <c r="DK8" s="1485">
        <v>35000</v>
      </c>
      <c r="DL8" s="1485"/>
      <c r="DM8" s="1373" t="s">
        <v>20</v>
      </c>
      <c r="DN8" s="1373"/>
      <c r="DO8" s="1373"/>
      <c r="DP8"/>
      <c r="DQ8" s="435" t="s">
        <v>19</v>
      </c>
      <c r="DR8" s="57"/>
      <c r="DS8" s="58">
        <f t="shared" si="7"/>
        <v>42189.221412467887</v>
      </c>
      <c r="DT8" s="59">
        <f t="shared" si="8"/>
        <v>7.4999999999999997E-2</v>
      </c>
      <c r="DU8" s="436">
        <f t="shared" si="9"/>
        <v>3164.1916059350915</v>
      </c>
      <c r="DV8"/>
      <c r="DW8" s="435" t="s">
        <v>19</v>
      </c>
      <c r="DX8" s="57"/>
      <c r="DY8" s="58">
        <f t="shared" si="10"/>
        <v>42189.221412467887</v>
      </c>
      <c r="DZ8" s="59">
        <f t="shared" si="11"/>
        <v>7.4999999999999997E-2</v>
      </c>
      <c r="EA8" s="436">
        <f t="shared" si="12"/>
        <v>3164.1916059350915</v>
      </c>
      <c r="EB8"/>
      <c r="EC8"/>
    </row>
    <row r="9" spans="1:133" ht="28.9" x14ac:dyDescent="0.3">
      <c r="A9" s="1"/>
      <c r="B9" s="1487" t="s">
        <v>32</v>
      </c>
      <c r="C9" s="1488"/>
      <c r="D9" s="1488"/>
      <c r="E9" s="1488"/>
      <c r="F9" s="1488"/>
      <c r="G9" s="68"/>
      <c r="H9" s="68"/>
      <c r="I9" s="69"/>
      <c r="J9" s="368" t="s">
        <v>28</v>
      </c>
      <c r="K9" s="47"/>
      <c r="L9" s="70">
        <f>+D7</f>
        <v>35000</v>
      </c>
      <c r="M9" s="49">
        <f>D14*K3</f>
        <v>1</v>
      </c>
      <c r="N9" s="369">
        <f>L9*M9</f>
        <v>35000</v>
      </c>
      <c r="O9" s="27"/>
      <c r="P9" s="368" t="s">
        <v>28</v>
      </c>
      <c r="Q9" s="47"/>
      <c r="R9" s="48">
        <f>D7</f>
        <v>35000</v>
      </c>
      <c r="S9" s="49">
        <f>Q3*E14</f>
        <v>0.625</v>
      </c>
      <c r="T9" s="369">
        <f>R9*S9</f>
        <v>21875</v>
      </c>
      <c r="U9" s="50"/>
      <c r="W9" s="1407" t="s">
        <v>29</v>
      </c>
      <c r="X9" s="1407"/>
      <c r="Y9" s="1489">
        <f>[4]Sheet1!$J$2</f>
        <v>52305.406251052875</v>
      </c>
      <c r="Z9" s="1490"/>
      <c r="AA9" s="1486" t="s">
        <v>20</v>
      </c>
      <c r="AB9" s="1359"/>
      <c r="AC9" s="42"/>
      <c r="AD9" s="437" t="s">
        <v>30</v>
      </c>
      <c r="AE9" s="57"/>
      <c r="AF9" s="71">
        <f>Y7</f>
        <v>40000</v>
      </c>
      <c r="AG9" s="59">
        <f>Y14*AE4</f>
        <v>1</v>
      </c>
      <c r="AH9" s="438">
        <f t="shared" si="3"/>
        <v>40000</v>
      </c>
      <c r="AI9"/>
      <c r="AJ9" s="1407" t="s">
        <v>29</v>
      </c>
      <c r="AK9" s="1407"/>
      <c r="AL9" s="1407"/>
      <c r="AM9" s="1485">
        <f>[4]Sheet1!$J$2</f>
        <v>52305.406251052875</v>
      </c>
      <c r="AN9" s="1485"/>
      <c r="AO9" s="1486" t="s">
        <v>20</v>
      </c>
      <c r="AP9" s="1486"/>
      <c r="AQ9" s="65"/>
      <c r="AR9" s="471" t="s">
        <v>30</v>
      </c>
      <c r="AS9" s="32"/>
      <c r="AT9" s="72">
        <f>AM7</f>
        <v>40000</v>
      </c>
      <c r="AU9" s="66">
        <f>+AL14</f>
        <v>1.5</v>
      </c>
      <c r="AV9" s="440">
        <f>AT9*AU9</f>
        <v>60000</v>
      </c>
      <c r="AW9" s="73"/>
      <c r="AX9" s="435" t="s">
        <v>28</v>
      </c>
      <c r="AY9" s="57"/>
      <c r="AZ9" s="71">
        <f t="shared" si="0"/>
        <v>35000</v>
      </c>
      <c r="BA9" s="66">
        <f t="shared" si="1"/>
        <v>1</v>
      </c>
      <c r="BB9" s="436">
        <f t="shared" si="2"/>
        <v>35000</v>
      </c>
      <c r="BC9"/>
      <c r="BD9"/>
      <c r="BE9" s="74"/>
      <c r="BF9" s="1407" t="s">
        <v>29</v>
      </c>
      <c r="BG9" s="1407"/>
      <c r="BH9" s="1485">
        <f>[4]Sheet1!$J$2</f>
        <v>52305.406251052875</v>
      </c>
      <c r="BI9" s="1485"/>
      <c r="BJ9" s="1486" t="s">
        <v>20</v>
      </c>
      <c r="BK9" s="1486"/>
      <c r="BL9" s="65"/>
      <c r="BM9" s="435" t="s">
        <v>28</v>
      </c>
      <c r="BN9" s="57"/>
      <c r="BO9" s="58">
        <f>+BH8</f>
        <v>35000</v>
      </c>
      <c r="BP9" s="62">
        <f>BI15</f>
        <v>0.06</v>
      </c>
      <c r="BQ9" s="436">
        <f t="shared" si="4"/>
        <v>2100</v>
      </c>
      <c r="BR9"/>
      <c r="BS9" s="435" t="s">
        <v>28</v>
      </c>
      <c r="BT9" s="57"/>
      <c r="BU9" s="58">
        <f>+BH8</f>
        <v>35000</v>
      </c>
      <c r="BV9" s="62">
        <f>BJ15</f>
        <v>0.06</v>
      </c>
      <c r="BW9" s="436">
        <f t="shared" si="5"/>
        <v>2100</v>
      </c>
      <c r="BX9" s="65"/>
      <c r="BY9" s="435" t="s">
        <v>19</v>
      </c>
      <c r="BZ9" s="57"/>
      <c r="CA9" s="58">
        <f>+BH6</f>
        <v>42189.221412467887</v>
      </c>
      <c r="CB9" s="75">
        <f>+BH13</f>
        <v>6.8000000000000005E-2</v>
      </c>
      <c r="CC9" s="436">
        <f t="shared" si="13"/>
        <v>2868.8670560478163</v>
      </c>
      <c r="CD9" s="63"/>
      <c r="CE9" s="1407" t="s">
        <v>29</v>
      </c>
      <c r="CF9" s="1407"/>
      <c r="CG9" s="1485">
        <f>[4]Sheet1!$J$2</f>
        <v>52305.406251052875</v>
      </c>
      <c r="CH9" s="1485"/>
      <c r="CI9" s="1486" t="s">
        <v>20</v>
      </c>
      <c r="CJ9" s="1486"/>
      <c r="CK9" s="1359"/>
      <c r="CL9" s="67"/>
      <c r="CM9" s="437" t="s">
        <v>30</v>
      </c>
      <c r="CN9" s="57"/>
      <c r="CO9" s="58">
        <f>CG7</f>
        <v>40000</v>
      </c>
      <c r="CP9" s="66">
        <f>+CG17</f>
        <v>1.25</v>
      </c>
      <c r="CQ9" s="436">
        <f t="shared" si="6"/>
        <v>50000</v>
      </c>
      <c r="CR9"/>
      <c r="CS9" s="1412" t="s">
        <v>28</v>
      </c>
      <c r="CT9" s="1412"/>
      <c r="CU9" s="1412"/>
      <c r="CV9" s="1485">
        <v>35000</v>
      </c>
      <c r="CW9" s="1485"/>
      <c r="CX9" s="1373" t="s">
        <v>20</v>
      </c>
      <c r="CY9" s="1373"/>
      <c r="CZ9" s="1373"/>
      <c r="DA9" s="65"/>
      <c r="DB9" s="435" t="s">
        <v>19</v>
      </c>
      <c r="DC9" s="57"/>
      <c r="DD9" s="58">
        <f t="shared" si="14"/>
        <v>42189.221412467887</v>
      </c>
      <c r="DE9" s="59">
        <f t="shared" si="15"/>
        <v>0.3</v>
      </c>
      <c r="DF9" s="436">
        <f t="shared" si="16"/>
        <v>12656.766423740366</v>
      </c>
      <c r="DG9" s="53"/>
      <c r="DH9" s="1407" t="s">
        <v>29</v>
      </c>
      <c r="DI9" s="1407"/>
      <c r="DJ9" s="1407"/>
      <c r="DK9" s="1485">
        <f>[4]Sheet1!$J$2</f>
        <v>52305.406251052875</v>
      </c>
      <c r="DL9" s="1485"/>
      <c r="DM9" s="1486" t="s">
        <v>20</v>
      </c>
      <c r="DN9" s="1486"/>
      <c r="DO9" s="1486"/>
      <c r="DP9"/>
      <c r="DQ9" s="437" t="s">
        <v>30</v>
      </c>
      <c r="DR9" s="57"/>
      <c r="DS9" s="71">
        <f t="shared" si="7"/>
        <v>40000</v>
      </c>
      <c r="DT9" s="76">
        <f t="shared" si="8"/>
        <v>1.35</v>
      </c>
      <c r="DU9" s="436">
        <f t="shared" si="9"/>
        <v>54000</v>
      </c>
      <c r="DV9"/>
      <c r="DW9" s="437" t="s">
        <v>30</v>
      </c>
      <c r="DX9" s="57"/>
      <c r="DY9" s="71">
        <f t="shared" si="10"/>
        <v>40000</v>
      </c>
      <c r="DZ9" s="76">
        <f t="shared" si="11"/>
        <v>1.35</v>
      </c>
      <c r="EA9" s="436">
        <f t="shared" si="12"/>
        <v>54000</v>
      </c>
      <c r="EB9"/>
      <c r="EC9"/>
    </row>
    <row r="10" spans="1:133" ht="27" x14ac:dyDescent="0.3">
      <c r="A10" s="1"/>
      <c r="B10" s="16"/>
      <c r="C10" s="77" t="s">
        <v>33</v>
      </c>
      <c r="D10" s="78" t="s">
        <v>34</v>
      </c>
      <c r="E10" s="78" t="s">
        <v>35</v>
      </c>
      <c r="F10" s="79"/>
      <c r="G10" s="80"/>
      <c r="H10" s="81"/>
      <c r="I10" s="82"/>
      <c r="J10" s="371" t="s">
        <v>29</v>
      </c>
      <c r="K10" s="47"/>
      <c r="L10" s="70">
        <f>D8</f>
        <v>52305.406251052875</v>
      </c>
      <c r="M10" s="49">
        <f>D15*K3</f>
        <v>0.1</v>
      </c>
      <c r="N10" s="369">
        <f>L10*M10</f>
        <v>5230.5406251052882</v>
      </c>
      <c r="O10" s="27"/>
      <c r="P10" s="371" t="s">
        <v>29</v>
      </c>
      <c r="Q10" s="47"/>
      <c r="R10" s="48">
        <f>D8</f>
        <v>52305.406251052875</v>
      </c>
      <c r="S10" s="49">
        <f>Q3*E15</f>
        <v>0.125</v>
      </c>
      <c r="T10" s="369">
        <f>R10*S10</f>
        <v>6538.1757813816093</v>
      </c>
      <c r="U10" s="50"/>
      <c r="W10" s="1478" t="s">
        <v>36</v>
      </c>
      <c r="X10" s="1478"/>
      <c r="Y10" s="1479">
        <v>64674</v>
      </c>
      <c r="Z10" s="1480"/>
      <c r="AA10" s="1481" t="s">
        <v>20</v>
      </c>
      <c r="AB10" s="1482"/>
      <c r="AC10" s="83"/>
      <c r="AD10" s="439" t="s">
        <v>28</v>
      </c>
      <c r="AE10" s="32"/>
      <c r="AF10" s="72">
        <f>+Y8</f>
        <v>35000</v>
      </c>
      <c r="AG10" s="84">
        <f>+Y15</f>
        <v>1.25</v>
      </c>
      <c r="AH10" s="440">
        <f t="shared" si="3"/>
        <v>43750</v>
      </c>
      <c r="AI10" s="32"/>
      <c r="AJ10" s="1483" t="s">
        <v>37</v>
      </c>
      <c r="AK10" s="1483"/>
      <c r="AL10" s="1483"/>
      <c r="AM10" s="1475">
        <v>28000</v>
      </c>
      <c r="AN10" s="1475"/>
      <c r="AO10" s="1484" t="s">
        <v>38</v>
      </c>
      <c r="AP10" s="1484"/>
      <c r="AQ10" s="65"/>
      <c r="AR10" s="472" t="s">
        <v>28</v>
      </c>
      <c r="AS10" s="32"/>
      <c r="AT10" s="72">
        <f>+AM8</f>
        <v>35000</v>
      </c>
      <c r="AU10" s="66">
        <f>+AL15</f>
        <v>1</v>
      </c>
      <c r="AV10" s="440">
        <f>AT10*AU10</f>
        <v>35000</v>
      </c>
      <c r="AW10" s="73"/>
      <c r="AX10" s="483" t="s">
        <v>29</v>
      </c>
      <c r="AY10" s="57"/>
      <c r="AZ10" s="71">
        <f t="shared" si="0"/>
        <v>52305.406251052875</v>
      </c>
      <c r="BA10" s="76">
        <f t="shared" si="1"/>
        <v>0.1</v>
      </c>
      <c r="BB10" s="436">
        <f t="shared" si="2"/>
        <v>5230.5406251052882</v>
      </c>
      <c r="BC10"/>
      <c r="BD10"/>
      <c r="BE10" s="74"/>
      <c r="BF10" s="1474" t="s">
        <v>39</v>
      </c>
      <c r="BG10" s="1474"/>
      <c r="BH10" s="1475">
        <v>40000</v>
      </c>
      <c r="BI10" s="1475"/>
      <c r="BJ10" s="1476" t="s">
        <v>13</v>
      </c>
      <c r="BK10" s="1477"/>
      <c r="BL10" s="65"/>
      <c r="BM10" s="483" t="s">
        <v>29</v>
      </c>
      <c r="BN10" s="57"/>
      <c r="BO10" s="58">
        <f>+BH9</f>
        <v>52305.406251052875</v>
      </c>
      <c r="BP10" s="66">
        <f>BI16</f>
        <v>0.1</v>
      </c>
      <c r="BQ10" s="436">
        <f t="shared" si="4"/>
        <v>5230.5406251052882</v>
      </c>
      <c r="BR10"/>
      <c r="BS10" s="483" t="s">
        <v>29</v>
      </c>
      <c r="BT10" s="57"/>
      <c r="BU10" s="58">
        <f>+BH9</f>
        <v>52305.406251052875</v>
      </c>
      <c r="BV10" s="66">
        <f>BJ16</f>
        <v>0.1</v>
      </c>
      <c r="BW10" s="436">
        <f t="shared" si="5"/>
        <v>5230.5406251052882</v>
      </c>
      <c r="BX10" s="65"/>
      <c r="BY10" s="437" t="s">
        <v>27</v>
      </c>
      <c r="BZ10" s="57"/>
      <c r="CA10" s="58">
        <f>+BH7</f>
        <v>40000</v>
      </c>
      <c r="CB10" s="59">
        <f>+BH14</f>
        <v>0.2</v>
      </c>
      <c r="CC10" s="436">
        <f t="shared" si="13"/>
        <v>8000</v>
      </c>
      <c r="CD10" s="63"/>
      <c r="CE10" s="1387" t="s">
        <v>40</v>
      </c>
      <c r="CF10" s="1387"/>
      <c r="CG10" s="1473">
        <v>50000</v>
      </c>
      <c r="CH10" s="1473"/>
      <c r="CI10" s="1463" t="s">
        <v>20</v>
      </c>
      <c r="CJ10" s="1463"/>
      <c r="CK10" s="1464"/>
      <c r="CL10" s="67"/>
      <c r="CM10" s="435" t="s">
        <v>28</v>
      </c>
      <c r="CN10" s="57"/>
      <c r="CO10" s="71">
        <f>+CG8</f>
        <v>35000</v>
      </c>
      <c r="CP10" s="59">
        <f>CG18*CN4</f>
        <v>1</v>
      </c>
      <c r="CQ10" s="436">
        <f t="shared" si="6"/>
        <v>35000</v>
      </c>
      <c r="CR10"/>
      <c r="CS10" s="1407" t="s">
        <v>29</v>
      </c>
      <c r="CT10" s="1407"/>
      <c r="CU10" s="1407"/>
      <c r="CV10" s="1485">
        <f>[4]Sheet1!$J$2</f>
        <v>52305.406251052875</v>
      </c>
      <c r="CW10" s="1485"/>
      <c r="CX10" s="1486" t="s">
        <v>20</v>
      </c>
      <c r="CY10" s="1486"/>
      <c r="CZ10" s="1486"/>
      <c r="DA10" s="65"/>
      <c r="DB10" s="437" t="s">
        <v>27</v>
      </c>
      <c r="DC10" s="57"/>
      <c r="DD10" s="71">
        <f t="shared" si="14"/>
        <v>40000</v>
      </c>
      <c r="DE10" s="76">
        <f t="shared" si="15"/>
        <v>3</v>
      </c>
      <c r="DF10" s="438">
        <f t="shared" si="16"/>
        <v>120000</v>
      </c>
      <c r="DG10" s="85"/>
      <c r="DH10" s="1407" t="s">
        <v>41</v>
      </c>
      <c r="DI10" s="1407"/>
      <c r="DJ10" s="1407"/>
      <c r="DK10" s="1470">
        <v>16640</v>
      </c>
      <c r="DL10" s="1470"/>
      <c r="DM10" s="1471" t="s">
        <v>42</v>
      </c>
      <c r="DN10" s="1471"/>
      <c r="DO10" s="1471"/>
      <c r="DP10"/>
      <c r="DQ10" s="435" t="s">
        <v>28</v>
      </c>
      <c r="DR10" s="57"/>
      <c r="DS10" s="71">
        <f t="shared" si="7"/>
        <v>35000</v>
      </c>
      <c r="DT10" s="76">
        <f t="shared" si="8"/>
        <v>4.2500000000000003E-2</v>
      </c>
      <c r="DU10" s="436">
        <f t="shared" si="9"/>
        <v>1487.5</v>
      </c>
      <c r="DV10"/>
      <c r="DW10" s="435" t="s">
        <v>28</v>
      </c>
      <c r="DX10" s="57"/>
      <c r="DY10" s="71">
        <f t="shared" si="10"/>
        <v>35000</v>
      </c>
      <c r="DZ10" s="76">
        <f t="shared" si="11"/>
        <v>4.2500000000000003E-2</v>
      </c>
      <c r="EA10" s="436">
        <f t="shared" si="12"/>
        <v>1487.5</v>
      </c>
      <c r="EB10"/>
      <c r="EC10"/>
    </row>
    <row r="11" spans="1:133" ht="28.9" x14ac:dyDescent="0.3">
      <c r="A11" s="1"/>
      <c r="B11" s="1445" t="s">
        <v>12</v>
      </c>
      <c r="C11" s="1446"/>
      <c r="D11" s="86">
        <f>1/25</f>
        <v>0.04</v>
      </c>
      <c r="E11" s="87">
        <f>1/10</f>
        <v>0.1</v>
      </c>
      <c r="F11" s="1438" t="s">
        <v>38</v>
      </c>
      <c r="G11" s="1439"/>
      <c r="H11" s="88"/>
      <c r="I11" s="89"/>
      <c r="J11" s="372" t="s">
        <v>43</v>
      </c>
      <c r="K11" s="90"/>
      <c r="L11" s="90"/>
      <c r="M11" s="91">
        <f>SUM(M6:M10)</f>
        <v>2.5866666666666669</v>
      </c>
      <c r="N11" s="373">
        <f>SUM(N6:N10)</f>
        <v>100062.07752718327</v>
      </c>
      <c r="O11" s="4"/>
      <c r="P11" s="372" t="s">
        <v>43</v>
      </c>
      <c r="Q11" s="90"/>
      <c r="R11" s="90"/>
      <c r="S11" s="91">
        <f>SUM(S6:S10)</f>
        <v>2.5</v>
      </c>
      <c r="T11" s="373">
        <f>SUM(T6:T10)</f>
        <v>98960.481134498579</v>
      </c>
      <c r="U11" s="50"/>
      <c r="V11" s="92"/>
      <c r="W11" s="93" t="s">
        <v>32</v>
      </c>
      <c r="X11" s="94" t="s">
        <v>33</v>
      </c>
      <c r="Y11" s="95" t="s">
        <v>34</v>
      </c>
      <c r="Z11" s="95"/>
      <c r="AA11" s="96"/>
      <c r="AB11" s="97"/>
      <c r="AC11" s="98"/>
      <c r="AD11" s="439" t="s">
        <v>29</v>
      </c>
      <c r="AE11" s="32"/>
      <c r="AF11" s="72">
        <f>Y9</f>
        <v>52305.406251052875</v>
      </c>
      <c r="AG11" s="441">
        <f>Y16*AE4</f>
        <v>0.1</v>
      </c>
      <c r="AH11" s="440">
        <f t="shared" si="3"/>
        <v>5230.5406251052882</v>
      </c>
      <c r="AI11" s="32"/>
      <c r="AJ11" s="99"/>
      <c r="AK11" s="94" t="s">
        <v>33</v>
      </c>
      <c r="AL11" s="95" t="s">
        <v>34</v>
      </c>
      <c r="AM11" s="1472" t="s">
        <v>35</v>
      </c>
      <c r="AN11" s="1472"/>
      <c r="AO11" s="97"/>
      <c r="AP11" s="100"/>
      <c r="AQ11" s="65"/>
      <c r="AR11" s="472" t="s">
        <v>29</v>
      </c>
      <c r="AS11" s="32"/>
      <c r="AT11" s="72">
        <f>+AM9</f>
        <v>52305.406251052875</v>
      </c>
      <c r="AU11" s="66">
        <f>+AL16</f>
        <v>0.25</v>
      </c>
      <c r="AV11" s="440">
        <f>AT11*AU11</f>
        <v>13076.351562763219</v>
      </c>
      <c r="AW11" s="73"/>
      <c r="AX11" s="471" t="s">
        <v>37</v>
      </c>
      <c r="AY11" s="137"/>
      <c r="AZ11" s="72">
        <f t="shared" si="0"/>
        <v>28000</v>
      </c>
      <c r="BA11" s="138">
        <f t="shared" si="1"/>
        <v>1</v>
      </c>
      <c r="BB11" s="440">
        <f t="shared" si="2"/>
        <v>28000</v>
      </c>
      <c r="BC11"/>
      <c r="BD11"/>
      <c r="BE11" s="74"/>
      <c r="BF11" s="101" t="s">
        <v>32</v>
      </c>
      <c r="BG11" s="102" t="s">
        <v>33</v>
      </c>
      <c r="BH11" s="103" t="s">
        <v>44</v>
      </c>
      <c r="BI11" s="104" t="s">
        <v>45</v>
      </c>
      <c r="BJ11" s="104" t="s">
        <v>46</v>
      </c>
      <c r="BK11" s="105"/>
      <c r="BL11" s="65"/>
      <c r="BM11" s="471" t="s">
        <v>25</v>
      </c>
      <c r="BN11" s="32"/>
      <c r="BO11" s="72">
        <f>+BH5</f>
        <v>42189.221412467887</v>
      </c>
      <c r="BP11" s="62">
        <f>BI12</f>
        <v>0.05</v>
      </c>
      <c r="BQ11" s="440">
        <f t="shared" si="4"/>
        <v>2109.4610706233943</v>
      </c>
      <c r="BR11" s="32"/>
      <c r="BS11" s="472" t="s">
        <v>25</v>
      </c>
      <c r="BT11" s="32"/>
      <c r="BU11" s="72">
        <f>+BH5</f>
        <v>42189.221412467887</v>
      </c>
      <c r="BV11" s="62">
        <f>BJ12</f>
        <v>0.12</v>
      </c>
      <c r="BW11" s="440">
        <f t="shared" si="5"/>
        <v>5062.7065694961466</v>
      </c>
      <c r="BX11" s="65"/>
      <c r="BY11" s="435" t="s">
        <v>28</v>
      </c>
      <c r="BZ11" s="57"/>
      <c r="CA11" s="71">
        <f>+BH8</f>
        <v>35000</v>
      </c>
      <c r="CB11" s="59">
        <f>+BH15</f>
        <v>0.3</v>
      </c>
      <c r="CC11" s="436">
        <f t="shared" si="13"/>
        <v>10500</v>
      </c>
      <c r="CD11" s="63"/>
      <c r="CE11" s="1387" t="s">
        <v>47</v>
      </c>
      <c r="CF11" s="1387"/>
      <c r="CG11" s="1473">
        <v>35000</v>
      </c>
      <c r="CH11" s="1473"/>
      <c r="CI11" s="1463" t="s">
        <v>20</v>
      </c>
      <c r="CJ11" s="1463"/>
      <c r="CK11" s="1464"/>
      <c r="CL11" s="67"/>
      <c r="CM11" s="483" t="s">
        <v>29</v>
      </c>
      <c r="CN11" s="57"/>
      <c r="CO11" s="71">
        <f>CG9</f>
        <v>52305.406251052875</v>
      </c>
      <c r="CP11" s="59">
        <f>CG19*CN4</f>
        <v>0.1</v>
      </c>
      <c r="CQ11" s="436">
        <f t="shared" si="6"/>
        <v>5230.5406251052882</v>
      </c>
      <c r="CR11"/>
      <c r="CS11" s="1413" t="s">
        <v>41</v>
      </c>
      <c r="CT11" s="1413"/>
      <c r="CU11" s="1413"/>
      <c r="CV11" s="1470">
        <v>16640</v>
      </c>
      <c r="CW11" s="1470"/>
      <c r="CX11" s="1471" t="s">
        <v>42</v>
      </c>
      <c r="CY11" s="1471"/>
      <c r="CZ11" s="1471"/>
      <c r="DA11" s="65"/>
      <c r="DB11" s="435" t="s">
        <v>28</v>
      </c>
      <c r="DC11" s="57"/>
      <c r="DD11" s="71">
        <f t="shared" si="14"/>
        <v>35000</v>
      </c>
      <c r="DE11" s="76">
        <f t="shared" si="15"/>
        <v>0.17</v>
      </c>
      <c r="DF11" s="438">
        <f t="shared" si="16"/>
        <v>5950</v>
      </c>
      <c r="DG11" s="53"/>
      <c r="DH11" s="106"/>
      <c r="DI11" s="102" t="s">
        <v>33</v>
      </c>
      <c r="DJ11" s="107" t="s">
        <v>48</v>
      </c>
      <c r="DK11" s="107"/>
      <c r="DL11" s="108"/>
      <c r="DM11" s="109"/>
      <c r="DN11" s="110"/>
      <c r="DO11" s="111"/>
      <c r="DP11"/>
      <c r="DQ11" s="435" t="s">
        <v>29</v>
      </c>
      <c r="DR11" s="57"/>
      <c r="DS11" s="71">
        <f t="shared" si="7"/>
        <v>52305.406251052875</v>
      </c>
      <c r="DT11" s="76">
        <f t="shared" si="8"/>
        <v>2.5000000000000001E-2</v>
      </c>
      <c r="DU11" s="436">
        <f t="shared" si="9"/>
        <v>1307.635156276322</v>
      </c>
      <c r="DV11"/>
      <c r="DW11" s="435" t="s">
        <v>29</v>
      </c>
      <c r="DX11" s="57"/>
      <c r="DY11" s="71">
        <f t="shared" si="10"/>
        <v>52305.406251052875</v>
      </c>
      <c r="DZ11" s="76">
        <f t="shared" si="11"/>
        <v>2.5000000000000001E-2</v>
      </c>
      <c r="EA11" s="436">
        <f t="shared" si="12"/>
        <v>1307.635156276322</v>
      </c>
      <c r="EB11"/>
      <c r="EC11"/>
    </row>
    <row r="12" spans="1:133" ht="27" x14ac:dyDescent="0.3">
      <c r="A12" s="1"/>
      <c r="B12" s="1445" t="s">
        <v>19</v>
      </c>
      <c r="C12" s="1446"/>
      <c r="D12" s="86">
        <f>1/6/8</f>
        <v>2.0833333333333332E-2</v>
      </c>
      <c r="E12" s="86">
        <f>1/4/5</f>
        <v>0.05</v>
      </c>
      <c r="F12" s="112" t="s">
        <v>49</v>
      </c>
      <c r="G12" s="113"/>
      <c r="H12" s="113"/>
      <c r="I12" s="114"/>
      <c r="J12" s="362" t="s">
        <v>50</v>
      </c>
      <c r="K12" s="26"/>
      <c r="L12" s="26"/>
      <c r="M12" s="18" t="s">
        <v>51</v>
      </c>
      <c r="N12" s="374"/>
      <c r="O12" s="28"/>
      <c r="P12" s="362" t="s">
        <v>50</v>
      </c>
      <c r="Q12" s="26"/>
      <c r="R12" s="26"/>
      <c r="S12" s="18" t="s">
        <v>51</v>
      </c>
      <c r="T12" s="374"/>
      <c r="U12" s="50"/>
      <c r="W12" s="40" t="s">
        <v>12</v>
      </c>
      <c r="X12" s="115"/>
      <c r="Y12" s="1440">
        <f>1/25</f>
        <v>0.04</v>
      </c>
      <c r="Z12" s="1441"/>
      <c r="AA12" s="1438" t="s">
        <v>38</v>
      </c>
      <c r="AB12" s="1439"/>
      <c r="AC12" s="116"/>
      <c r="AD12" s="442" t="s">
        <v>36</v>
      </c>
      <c r="AE12" s="32"/>
      <c r="AF12" s="72">
        <f>+Y10</f>
        <v>64674</v>
      </c>
      <c r="AG12" s="117">
        <f>+Y17</f>
        <v>0.25</v>
      </c>
      <c r="AH12" s="440">
        <f t="shared" si="3"/>
        <v>16168.5</v>
      </c>
      <c r="AI12" s="32"/>
      <c r="AJ12" s="1453" t="s">
        <v>12</v>
      </c>
      <c r="AK12" s="1453"/>
      <c r="AL12" s="118">
        <f>1/25</f>
        <v>0.04</v>
      </c>
      <c r="AM12" s="1440">
        <f>8/25</f>
        <v>0.32</v>
      </c>
      <c r="AN12" s="1441"/>
      <c r="AO12" s="1438" t="s">
        <v>38</v>
      </c>
      <c r="AP12" s="1439"/>
      <c r="AQ12" s="9"/>
      <c r="AR12" s="431"/>
      <c r="AS12" s="43"/>
      <c r="AT12" s="43"/>
      <c r="AU12" s="43"/>
      <c r="AV12" s="445"/>
      <c r="AW12" s="119"/>
      <c r="AX12" s="443" t="s">
        <v>43</v>
      </c>
      <c r="AY12" s="129"/>
      <c r="AZ12" s="129"/>
      <c r="BA12" s="130">
        <f>SUM(BA6:BA11)</f>
        <v>3.5866666666666669</v>
      </c>
      <c r="BB12" s="444">
        <f>SUM(BB6:BB11)</f>
        <v>128062.07752718327</v>
      </c>
      <c r="BC12"/>
      <c r="BD12"/>
      <c r="BE12" s="34"/>
      <c r="BF12" s="1412" t="s">
        <v>25</v>
      </c>
      <c r="BG12" s="1412"/>
      <c r="BH12" s="118">
        <v>0.1</v>
      </c>
      <c r="BI12" s="118">
        <v>0.05</v>
      </c>
      <c r="BJ12" s="118">
        <v>0.12</v>
      </c>
      <c r="BK12" s="120" t="s">
        <v>52</v>
      </c>
      <c r="BL12" s="9"/>
      <c r="BM12" s="433" t="s">
        <v>12</v>
      </c>
      <c r="BN12" s="121"/>
      <c r="BO12" s="72">
        <f>BH10</f>
        <v>40000</v>
      </c>
      <c r="BP12" s="62">
        <f>BI17</f>
        <v>0.05</v>
      </c>
      <c r="BQ12" s="493">
        <f t="shared" si="4"/>
        <v>2000</v>
      </c>
      <c r="BR12"/>
      <c r="BS12" s="433" t="s">
        <v>12</v>
      </c>
      <c r="BT12" s="121"/>
      <c r="BU12" s="72">
        <f>BH10</f>
        <v>40000</v>
      </c>
      <c r="BV12" s="62">
        <f>BJ17</f>
        <v>0.05</v>
      </c>
      <c r="BW12" s="497">
        <f t="shared" si="5"/>
        <v>2000</v>
      </c>
      <c r="BX12" s="65"/>
      <c r="BY12" s="483" t="s">
        <v>29</v>
      </c>
      <c r="BZ12" s="57"/>
      <c r="CA12" s="71">
        <f>+BH9</f>
        <v>52305.406251052875</v>
      </c>
      <c r="CB12" s="59">
        <f>+BH16</f>
        <v>0.03</v>
      </c>
      <c r="CC12" s="436">
        <f t="shared" si="13"/>
        <v>1569.1621875315861</v>
      </c>
      <c r="CD12" s="63"/>
      <c r="CE12" s="1461" t="s">
        <v>53</v>
      </c>
      <c r="CF12" s="1461"/>
      <c r="CG12" s="1462">
        <v>64674</v>
      </c>
      <c r="CH12" s="1462"/>
      <c r="CI12" s="1463" t="s">
        <v>20</v>
      </c>
      <c r="CJ12" s="1463"/>
      <c r="CK12" s="1464"/>
      <c r="CL12" s="122"/>
      <c r="CM12" s="471" t="s">
        <v>40</v>
      </c>
      <c r="CN12" s="32"/>
      <c r="CO12" s="72">
        <f>+CG10</f>
        <v>50000</v>
      </c>
      <c r="CP12" s="62">
        <f>+CG20</f>
        <v>0.15</v>
      </c>
      <c r="CQ12" s="440">
        <f t="shared" si="6"/>
        <v>7500</v>
      </c>
      <c r="CR12" s="32"/>
      <c r="CS12" s="1465" t="s">
        <v>54</v>
      </c>
      <c r="CT12" s="1466"/>
      <c r="CU12" s="1466"/>
      <c r="CV12" s="1466"/>
      <c r="CW12" s="1466"/>
      <c r="CX12" s="1466"/>
      <c r="CY12" s="1466"/>
      <c r="CZ12" s="1467"/>
      <c r="DA12" s="65"/>
      <c r="DB12" s="435" t="s">
        <v>29</v>
      </c>
      <c r="DC12" s="57"/>
      <c r="DD12" s="71">
        <f t="shared" si="14"/>
        <v>52305.406251052875</v>
      </c>
      <c r="DE12" s="76">
        <f t="shared" si="15"/>
        <v>0.1</v>
      </c>
      <c r="DF12" s="438">
        <f t="shared" si="16"/>
        <v>5230.5406251052882</v>
      </c>
      <c r="DG12" s="53"/>
      <c r="DH12" s="1412" t="s">
        <v>12</v>
      </c>
      <c r="DI12" s="1412"/>
      <c r="DJ12" s="1412"/>
      <c r="DK12" s="1414">
        <v>4.2500000000000003E-2</v>
      </c>
      <c r="DL12" s="1414"/>
      <c r="DM12" s="1423" t="s">
        <v>38</v>
      </c>
      <c r="DN12" s="1423"/>
      <c r="DO12" s="1423"/>
      <c r="DP12"/>
      <c r="DQ12" s="435" t="s">
        <v>41</v>
      </c>
      <c r="DR12" s="57"/>
      <c r="DS12" s="123">
        <f t="shared" si="7"/>
        <v>16640</v>
      </c>
      <c r="DT12" s="76">
        <f t="shared" si="8"/>
        <v>0.04</v>
      </c>
      <c r="DU12" s="436">
        <f t="shared" si="9"/>
        <v>665.6</v>
      </c>
      <c r="DV12"/>
      <c r="DW12" s="435" t="s">
        <v>41</v>
      </c>
      <c r="DX12" s="57"/>
      <c r="DY12" s="123">
        <f t="shared" si="10"/>
        <v>16640</v>
      </c>
      <c r="DZ12" s="76">
        <f t="shared" si="11"/>
        <v>0.04</v>
      </c>
      <c r="EA12" s="436">
        <f t="shared" si="12"/>
        <v>665.6</v>
      </c>
      <c r="EB12"/>
      <c r="EC12"/>
    </row>
    <row r="13" spans="1:133" ht="27" x14ac:dyDescent="0.3">
      <c r="A13" s="1">
        <v>1</v>
      </c>
      <c r="B13" s="1454" t="s">
        <v>27</v>
      </c>
      <c r="C13" s="1455"/>
      <c r="D13" s="86">
        <f>1/8</f>
        <v>0.125</v>
      </c>
      <c r="E13" s="86">
        <f>1/5</f>
        <v>0.2</v>
      </c>
      <c r="F13" s="124" t="s">
        <v>55</v>
      </c>
      <c r="G13" s="88"/>
      <c r="H13" s="113"/>
      <c r="I13" s="125"/>
      <c r="J13" s="364" t="s">
        <v>56</v>
      </c>
      <c r="K13" s="26"/>
      <c r="L13" s="126">
        <f>D18</f>
        <v>0.2485</v>
      </c>
      <c r="M13" s="26"/>
      <c r="N13" s="375">
        <f>L13*N11</f>
        <v>24865.426265505041</v>
      </c>
      <c r="O13" s="127"/>
      <c r="P13" s="364" t="s">
        <v>56</v>
      </c>
      <c r="Q13" s="26"/>
      <c r="R13" s="126">
        <f>D18</f>
        <v>0.2485</v>
      </c>
      <c r="S13" s="26"/>
      <c r="T13" s="375">
        <f>R13*T11</f>
        <v>24591.679561922898</v>
      </c>
      <c r="U13" s="50"/>
      <c r="W13" s="1449" t="s">
        <v>19</v>
      </c>
      <c r="X13" s="1450"/>
      <c r="Y13" s="1440">
        <f>1/6/8</f>
        <v>2.0833333333333332E-2</v>
      </c>
      <c r="Z13" s="1441"/>
      <c r="AA13" s="1443" t="s">
        <v>49</v>
      </c>
      <c r="AB13" s="1456"/>
      <c r="AC13" s="128"/>
      <c r="AD13" s="443" t="s">
        <v>43</v>
      </c>
      <c r="AE13" s="129"/>
      <c r="AF13" s="129"/>
      <c r="AG13" s="130">
        <f>SUM(AG7:AG12)</f>
        <v>3.0866666666666669</v>
      </c>
      <c r="AH13" s="444">
        <f>SUM(AH7:AH12)</f>
        <v>124980.57752718327</v>
      </c>
      <c r="AI13"/>
      <c r="AJ13" s="40" t="s">
        <v>19</v>
      </c>
      <c r="AK13" s="115"/>
      <c r="AL13" s="118">
        <f>1/6/8</f>
        <v>2.0833333333333332E-2</v>
      </c>
      <c r="AM13" s="1457">
        <v>0.16666666666666666</v>
      </c>
      <c r="AN13" s="1458"/>
      <c r="AO13" s="1443" t="s">
        <v>57</v>
      </c>
      <c r="AP13" s="1456"/>
      <c r="AQ13" s="131"/>
      <c r="AR13" s="443" t="s">
        <v>43</v>
      </c>
      <c r="AS13" s="129"/>
      <c r="AT13" s="129"/>
      <c r="AU13" s="130">
        <f>SUM(AU7:AU12)</f>
        <v>3.2366666666666668</v>
      </c>
      <c r="AV13" s="444">
        <f>SUM(AV7:AV12)</f>
        <v>127907.88846484119</v>
      </c>
      <c r="AW13" s="132"/>
      <c r="AX13" s="431"/>
      <c r="AY13" s="43"/>
      <c r="AZ13" s="43"/>
      <c r="BA13" s="43"/>
      <c r="BB13" s="432"/>
      <c r="BC13" s="32"/>
      <c r="BD13"/>
      <c r="BE13" s="34"/>
      <c r="BF13" s="1412" t="s">
        <v>19</v>
      </c>
      <c r="BG13" s="1412"/>
      <c r="BH13" s="118">
        <v>6.8000000000000005E-2</v>
      </c>
      <c r="BI13" s="118">
        <v>0.05</v>
      </c>
      <c r="BJ13" s="118">
        <v>0.05</v>
      </c>
      <c r="BK13" s="120" t="s">
        <v>52</v>
      </c>
      <c r="BL13" s="131"/>
      <c r="BM13" s="433" t="s">
        <v>43</v>
      </c>
      <c r="BN13" s="129"/>
      <c r="BO13" s="129"/>
      <c r="BP13" s="130">
        <f>SUM(BP7:BP12)</f>
        <v>0.66</v>
      </c>
      <c r="BQ13" s="494">
        <f>SUM(BQ7:BQ12)</f>
        <v>27549.462766352077</v>
      </c>
      <c r="BR13"/>
      <c r="BS13" s="443" t="s">
        <v>43</v>
      </c>
      <c r="BT13" s="129"/>
      <c r="BU13" s="129"/>
      <c r="BV13" s="130">
        <f>SUM(BV7:BV12)</f>
        <v>0.93000000000000016</v>
      </c>
      <c r="BW13" s="444">
        <f>SUM(BW7:BW12)</f>
        <v>38502.708265224828</v>
      </c>
      <c r="BX13" s="133"/>
      <c r="BY13" s="504" t="s">
        <v>25</v>
      </c>
      <c r="BZ13" s="32"/>
      <c r="CA13" s="72">
        <f>+BH5</f>
        <v>42189.221412467887</v>
      </c>
      <c r="CB13" s="66">
        <f>+BH12</f>
        <v>0.1</v>
      </c>
      <c r="CC13" s="440">
        <f t="shared" si="13"/>
        <v>4218.9221412467887</v>
      </c>
      <c r="CD13" s="92"/>
      <c r="CE13" s="1459" t="s">
        <v>32</v>
      </c>
      <c r="CF13" s="1460"/>
      <c r="CG13" s="1460"/>
      <c r="CH13" s="1460"/>
      <c r="CI13" s="1460"/>
      <c r="CJ13" s="1460"/>
      <c r="CK13" s="1460"/>
      <c r="CL13" s="29"/>
      <c r="CM13" s="471" t="s">
        <v>47</v>
      </c>
      <c r="CN13" s="32"/>
      <c r="CO13" s="72">
        <f>+CG11</f>
        <v>35000</v>
      </c>
      <c r="CP13" s="66">
        <f>+CG21</f>
        <v>0.5</v>
      </c>
      <c r="CQ13" s="440">
        <f t="shared" si="6"/>
        <v>17500</v>
      </c>
      <c r="CR13" s="32"/>
      <c r="CS13" s="1412" t="s">
        <v>12</v>
      </c>
      <c r="CT13" s="1412"/>
      <c r="CU13" s="1412"/>
      <c r="CV13" s="1468">
        <v>0.17</v>
      </c>
      <c r="CW13" s="1468"/>
      <c r="CX13" s="1423" t="s">
        <v>38</v>
      </c>
      <c r="CY13" s="1423"/>
      <c r="CZ13" s="1423"/>
      <c r="DA13" s="65"/>
      <c r="DB13" s="435" t="s">
        <v>41</v>
      </c>
      <c r="DC13" s="57"/>
      <c r="DD13" s="123">
        <f t="shared" si="14"/>
        <v>16640</v>
      </c>
      <c r="DE13" s="76">
        <f t="shared" si="15"/>
        <v>0.16</v>
      </c>
      <c r="DF13" s="438">
        <f t="shared" si="16"/>
        <v>2662.4</v>
      </c>
      <c r="DG13" s="53"/>
      <c r="DH13" s="1412" t="s">
        <v>19</v>
      </c>
      <c r="DI13" s="1412"/>
      <c r="DJ13" s="1412"/>
      <c r="DK13" s="1469">
        <v>7.4999999999999997E-2</v>
      </c>
      <c r="DL13" s="1469"/>
      <c r="DM13" s="1423" t="s">
        <v>38</v>
      </c>
      <c r="DN13" s="1423"/>
      <c r="DO13" s="1423"/>
      <c r="DP13"/>
      <c r="DQ13" s="443" t="s">
        <v>43</v>
      </c>
      <c r="DR13" s="129"/>
      <c r="DS13" s="129"/>
      <c r="DT13" s="130">
        <f>SUM(DT7:DT12)</f>
        <v>1.575</v>
      </c>
      <c r="DU13" s="444">
        <f>SUM(DU7:DU12)</f>
        <v>62324.926762211413</v>
      </c>
      <c r="DV13"/>
      <c r="DW13" s="443" t="s">
        <v>43</v>
      </c>
      <c r="DX13" s="129"/>
      <c r="DY13" s="129"/>
      <c r="DZ13" s="130">
        <f>SUM(DZ7:DZ12)</f>
        <v>1.575</v>
      </c>
      <c r="EA13" s="444">
        <f>SUM(EA7:EA12)</f>
        <v>62324.926762211413</v>
      </c>
      <c r="EB13"/>
      <c r="EC13"/>
    </row>
    <row r="14" spans="1:133" ht="14.45" x14ac:dyDescent="0.3">
      <c r="A14" s="1"/>
      <c r="B14" s="1445" t="s">
        <v>28</v>
      </c>
      <c r="C14" s="1446"/>
      <c r="D14" s="87">
        <f>0.125</f>
        <v>0.125</v>
      </c>
      <c r="E14" s="87">
        <f>D14</f>
        <v>0.125</v>
      </c>
      <c r="F14" s="1438" t="s">
        <v>38</v>
      </c>
      <c r="G14" s="1439"/>
      <c r="H14" s="88"/>
      <c r="I14" s="125"/>
      <c r="J14" s="372" t="s">
        <v>58</v>
      </c>
      <c r="K14" s="90"/>
      <c r="L14" s="90"/>
      <c r="M14" s="135"/>
      <c r="N14" s="376">
        <f>N13+N11</f>
        <v>124927.50379268831</v>
      </c>
      <c r="O14" s="136"/>
      <c r="P14" s="372" t="s">
        <v>58</v>
      </c>
      <c r="Q14" s="90"/>
      <c r="R14" s="90"/>
      <c r="S14" s="135"/>
      <c r="T14" s="376">
        <f>T13+T11</f>
        <v>123552.16069642147</v>
      </c>
      <c r="U14" s="50"/>
      <c r="W14" s="54" t="s">
        <v>27</v>
      </c>
      <c r="X14" s="115"/>
      <c r="Y14" s="1440">
        <f>1/8</f>
        <v>0.125</v>
      </c>
      <c r="Z14" s="1441"/>
      <c r="AA14" s="1424" t="s">
        <v>59</v>
      </c>
      <c r="AB14" s="1372"/>
      <c r="AC14" s="128"/>
      <c r="AD14" s="431"/>
      <c r="AE14" s="43"/>
      <c r="AF14" s="43"/>
      <c r="AG14" s="43"/>
      <c r="AH14" s="432"/>
      <c r="AI14"/>
      <c r="AJ14" s="1442" t="s">
        <v>30</v>
      </c>
      <c r="AK14" s="1442"/>
      <c r="AL14" s="118">
        <v>1.5</v>
      </c>
      <c r="AM14" s="1440">
        <v>1</v>
      </c>
      <c r="AN14" s="1441"/>
      <c r="AO14" s="1323" t="s">
        <v>38</v>
      </c>
      <c r="AP14" s="1357"/>
      <c r="AQ14" s="133"/>
      <c r="AR14" s="431"/>
      <c r="AS14" s="43"/>
      <c r="AT14" s="43"/>
      <c r="AU14" s="43"/>
      <c r="AV14" s="432"/>
      <c r="AW14" s="43"/>
      <c r="AX14" s="431"/>
      <c r="AY14" s="43"/>
      <c r="AZ14" s="43"/>
      <c r="BA14" s="43"/>
      <c r="BB14" s="445"/>
      <c r="BC14" s="32"/>
      <c r="BD14"/>
      <c r="BE14" s="34"/>
      <c r="BF14" s="1442" t="s">
        <v>27</v>
      </c>
      <c r="BG14" s="1442"/>
      <c r="BH14" s="118">
        <v>0.2</v>
      </c>
      <c r="BI14" s="118">
        <v>0.35</v>
      </c>
      <c r="BJ14" s="118">
        <v>0.55000000000000004</v>
      </c>
      <c r="BK14" s="120" t="s">
        <v>52</v>
      </c>
      <c r="BL14" s="133"/>
      <c r="BM14" s="431"/>
      <c r="BN14" s="43"/>
      <c r="BO14" s="43"/>
      <c r="BP14" s="43"/>
      <c r="BQ14" s="432"/>
      <c r="BR14"/>
      <c r="BS14" s="431"/>
      <c r="BT14" s="43"/>
      <c r="BU14" s="43"/>
      <c r="BV14" s="43"/>
      <c r="BW14" s="432"/>
      <c r="BX14" s="133"/>
      <c r="BY14" s="443" t="s">
        <v>43</v>
      </c>
      <c r="BZ14" s="129"/>
      <c r="CA14" s="129"/>
      <c r="CB14" s="130">
        <f>SUM(CB8:CB13)</f>
        <v>0.873</v>
      </c>
      <c r="CC14" s="444">
        <f>SUM(CC8:CC13)</f>
        <v>34156.951384826192</v>
      </c>
      <c r="CD14" s="92"/>
      <c r="CE14" s="139"/>
      <c r="CF14" s="140" t="s">
        <v>33</v>
      </c>
      <c r="CG14" s="95" t="s">
        <v>34</v>
      </c>
      <c r="CH14" s="95"/>
      <c r="CI14" s="96"/>
      <c r="CJ14" s="97"/>
      <c r="CK14" s="141"/>
      <c r="CL14" s="42"/>
      <c r="CM14" s="471" t="s">
        <v>53</v>
      </c>
      <c r="CN14" s="32"/>
      <c r="CO14" s="72">
        <f>+CG12</f>
        <v>64674</v>
      </c>
      <c r="CP14" s="66">
        <f>+CG22</f>
        <v>0.1</v>
      </c>
      <c r="CQ14" s="440">
        <f t="shared" si="6"/>
        <v>6467.4000000000005</v>
      </c>
      <c r="CR14" s="32"/>
      <c r="CS14" s="1412" t="s">
        <v>19</v>
      </c>
      <c r="CT14" s="1412"/>
      <c r="CU14" s="1412"/>
      <c r="CV14" s="1408">
        <v>0.3</v>
      </c>
      <c r="CW14" s="1408"/>
      <c r="CX14" s="1423" t="s">
        <v>38</v>
      </c>
      <c r="CY14" s="1423"/>
      <c r="CZ14" s="1423"/>
      <c r="DA14" s="9"/>
      <c r="DB14" s="443" t="s">
        <v>43</v>
      </c>
      <c r="DC14" s="129"/>
      <c r="DD14" s="129"/>
      <c r="DE14" s="130">
        <f>SUM(DE8:DE13)</f>
        <v>3.9</v>
      </c>
      <c r="DF14" s="444">
        <f>SUM(DF8:DF13)</f>
        <v>153299.70704884565</v>
      </c>
      <c r="DG14" s="9"/>
      <c r="DH14" s="1442" t="s">
        <v>27</v>
      </c>
      <c r="DI14" s="1442"/>
      <c r="DJ14" s="1442"/>
      <c r="DK14" s="1414">
        <v>1.35</v>
      </c>
      <c r="DL14" s="1414"/>
      <c r="DM14" s="1424" t="s">
        <v>38</v>
      </c>
      <c r="DN14" s="1424"/>
      <c r="DO14" s="1424"/>
      <c r="DP14"/>
      <c r="DQ14" s="429" t="s">
        <v>50</v>
      </c>
      <c r="DR14" s="43"/>
      <c r="DS14" s="43"/>
      <c r="DT14" s="30" t="s">
        <v>51</v>
      </c>
      <c r="DU14" s="446"/>
      <c r="DV14"/>
      <c r="DW14" s="429" t="s">
        <v>50</v>
      </c>
      <c r="DX14" s="43"/>
      <c r="DY14" s="43"/>
      <c r="DZ14" s="30" t="s">
        <v>51</v>
      </c>
      <c r="EA14" s="446"/>
      <c r="EB14"/>
      <c r="EC14"/>
    </row>
    <row r="15" spans="1:133" ht="14.45" x14ac:dyDescent="0.3">
      <c r="A15" s="1"/>
      <c r="B15" s="1447" t="s">
        <v>29</v>
      </c>
      <c r="C15" s="1448"/>
      <c r="D15" s="87">
        <f>0.1/8</f>
        <v>1.2500000000000001E-2</v>
      </c>
      <c r="E15" s="87">
        <f>D15*2</f>
        <v>2.5000000000000001E-2</v>
      </c>
      <c r="F15" s="1438" t="s">
        <v>38</v>
      </c>
      <c r="G15" s="1439"/>
      <c r="H15" s="142"/>
      <c r="I15" s="143"/>
      <c r="J15" s="362"/>
      <c r="K15" s="18"/>
      <c r="L15" s="18"/>
      <c r="M15" s="144"/>
      <c r="N15" s="377"/>
      <c r="O15" s="136"/>
      <c r="P15" s="362"/>
      <c r="Q15" s="18"/>
      <c r="R15" s="18"/>
      <c r="S15" s="144"/>
      <c r="T15" s="377"/>
      <c r="U15" s="50"/>
      <c r="W15" s="1449" t="s">
        <v>28</v>
      </c>
      <c r="X15" s="1450"/>
      <c r="Y15" s="1440">
        <v>1.25</v>
      </c>
      <c r="Z15" s="1441"/>
      <c r="AA15" s="1451" t="s">
        <v>60</v>
      </c>
      <c r="AB15" s="1452"/>
      <c r="AC15" s="116"/>
      <c r="AD15" s="431"/>
      <c r="AE15" s="43"/>
      <c r="AF15" s="43"/>
      <c r="AG15" s="43"/>
      <c r="AH15" s="445"/>
      <c r="AI15"/>
      <c r="AJ15" s="1453" t="s">
        <v>28</v>
      </c>
      <c r="AK15" s="1453"/>
      <c r="AL15" s="118">
        <v>1</v>
      </c>
      <c r="AM15" s="1440">
        <v>1</v>
      </c>
      <c r="AN15" s="1441"/>
      <c r="AO15" s="1323" t="s">
        <v>38</v>
      </c>
      <c r="AP15" s="1357"/>
      <c r="AQ15" s="133"/>
      <c r="AR15" s="431"/>
      <c r="AS15" s="43"/>
      <c r="AT15" s="43"/>
      <c r="AU15" s="43"/>
      <c r="AV15" s="445"/>
      <c r="AW15" s="119"/>
      <c r="AX15" s="429" t="s">
        <v>50</v>
      </c>
      <c r="AY15" s="43"/>
      <c r="AZ15" s="43"/>
      <c r="BA15" s="30" t="s">
        <v>51</v>
      </c>
      <c r="BB15" s="446"/>
      <c r="BC15"/>
      <c r="BD15"/>
      <c r="BE15" s="34"/>
      <c r="BF15" s="1412" t="s">
        <v>28</v>
      </c>
      <c r="BG15" s="1412"/>
      <c r="BH15" s="118">
        <v>0.3</v>
      </c>
      <c r="BI15" s="118">
        <v>0.06</v>
      </c>
      <c r="BJ15" s="118">
        <v>0.06</v>
      </c>
      <c r="BK15" s="120" t="s">
        <v>52</v>
      </c>
      <c r="BL15" s="133"/>
      <c r="BM15" s="431"/>
      <c r="BN15" s="43"/>
      <c r="BO15" s="43"/>
      <c r="BP15" s="43"/>
      <c r="BQ15" s="445"/>
      <c r="BR15"/>
      <c r="BS15" s="431"/>
      <c r="BT15" s="43"/>
      <c r="BU15" s="43"/>
      <c r="BV15" s="43"/>
      <c r="BW15" s="445"/>
      <c r="BX15" s="145"/>
      <c r="BY15" s="431"/>
      <c r="BZ15" s="43"/>
      <c r="CA15" s="43"/>
      <c r="CB15" s="43"/>
      <c r="CC15" s="432"/>
      <c r="CD15" s="92"/>
      <c r="CE15" s="1412" t="s">
        <v>12</v>
      </c>
      <c r="CF15" s="1412"/>
      <c r="CG15" s="1414">
        <f>1/25</f>
        <v>0.04</v>
      </c>
      <c r="CH15" s="1414"/>
      <c r="CI15" s="1409" t="s">
        <v>38</v>
      </c>
      <c r="CJ15" s="1409"/>
      <c r="CK15" s="1410"/>
      <c r="CL15" s="42"/>
      <c r="CM15" s="443" t="s">
        <v>43</v>
      </c>
      <c r="CN15" s="129"/>
      <c r="CO15" s="129"/>
      <c r="CP15" s="130">
        <f>SUM(CP7:CP14)</f>
        <v>3.5866666666666669</v>
      </c>
      <c r="CQ15" s="444">
        <f>SUM(CQ7:CQ14)</f>
        <v>141529.47752718328</v>
      </c>
      <c r="CR15"/>
      <c r="CS15" s="1442" t="s">
        <v>27</v>
      </c>
      <c r="CT15" s="1442"/>
      <c r="CU15" s="1442"/>
      <c r="CV15" s="1414">
        <v>3</v>
      </c>
      <c r="CW15" s="1414"/>
      <c r="CX15" s="1424" t="s">
        <v>38</v>
      </c>
      <c r="CY15" s="1424"/>
      <c r="CZ15" s="1424"/>
      <c r="DA15" s="131"/>
      <c r="DB15" s="429" t="s">
        <v>50</v>
      </c>
      <c r="DC15" s="43"/>
      <c r="DD15" s="43"/>
      <c r="DE15" s="30" t="s">
        <v>51</v>
      </c>
      <c r="DF15" s="446"/>
      <c r="DG15" s="9"/>
      <c r="DH15" s="1412" t="s">
        <v>28</v>
      </c>
      <c r="DI15" s="1412"/>
      <c r="DJ15" s="1412"/>
      <c r="DK15" s="1408">
        <v>4.2500000000000003E-2</v>
      </c>
      <c r="DL15" s="1408"/>
      <c r="DM15" s="1423" t="s">
        <v>38</v>
      </c>
      <c r="DN15" s="1423"/>
      <c r="DO15" s="1423"/>
      <c r="DP15"/>
      <c r="DQ15" s="431" t="s">
        <v>56</v>
      </c>
      <c r="DR15" s="43"/>
      <c r="DS15" s="146">
        <f>+DK19</f>
        <v>0.2485</v>
      </c>
      <c r="DT15" s="43"/>
      <c r="DU15" s="438">
        <f>DU13*DS15</f>
        <v>15487.744300409537</v>
      </c>
      <c r="DV15"/>
      <c r="DW15" s="431" t="s">
        <v>56</v>
      </c>
      <c r="DX15" s="43"/>
      <c r="DY15" s="146">
        <f>+DK19</f>
        <v>0.2485</v>
      </c>
      <c r="DZ15" s="43"/>
      <c r="EA15" s="438">
        <f>EA13*DY15</f>
        <v>15487.744300409537</v>
      </c>
      <c r="EB15"/>
      <c r="EC15"/>
    </row>
    <row r="16" spans="1:133" ht="12.75" customHeight="1" x14ac:dyDescent="0.3">
      <c r="A16" s="1"/>
      <c r="B16" s="1434"/>
      <c r="C16" s="1435"/>
      <c r="D16" s="142">
        <f>SUM(D11:D15)</f>
        <v>0.32333333333333336</v>
      </c>
      <c r="E16" s="142">
        <f>SUM(E11:E15)</f>
        <v>0.5</v>
      </c>
      <c r="F16" s="142"/>
      <c r="G16" s="142"/>
      <c r="H16" s="142"/>
      <c r="I16" s="143"/>
      <c r="J16" s="364" t="s">
        <v>61</v>
      </c>
      <c r="K16" s="26"/>
      <c r="L16" s="26"/>
      <c r="M16" s="147">
        <f>D21</f>
        <v>10</v>
      </c>
      <c r="N16" s="378">
        <f>M16*$N$3</f>
        <v>29200</v>
      </c>
      <c r="O16" s="136"/>
      <c r="P16" s="364" t="s">
        <v>62</v>
      </c>
      <c r="Q16" s="18"/>
      <c r="R16" s="18"/>
      <c r="S16" s="144"/>
      <c r="T16" s="377">
        <v>26000</v>
      </c>
      <c r="U16" s="50"/>
      <c r="V16" s="92"/>
      <c r="W16" s="148" t="s">
        <v>29</v>
      </c>
      <c r="X16" s="115"/>
      <c r="Y16" s="1436">
        <f>0.1/8</f>
        <v>1.2500000000000001E-2</v>
      </c>
      <c r="Z16" s="1437"/>
      <c r="AA16" s="1438" t="s">
        <v>38</v>
      </c>
      <c r="AB16" s="1439"/>
      <c r="AC16" s="149"/>
      <c r="AD16" s="429" t="s">
        <v>50</v>
      </c>
      <c r="AE16" s="43"/>
      <c r="AF16" s="43"/>
      <c r="AG16" s="30" t="s">
        <v>51</v>
      </c>
      <c r="AH16" s="446"/>
      <c r="AI16"/>
      <c r="AJ16" s="1413" t="s">
        <v>29</v>
      </c>
      <c r="AK16" s="1413"/>
      <c r="AL16" s="118">
        <v>0.25</v>
      </c>
      <c r="AM16" s="1440">
        <v>0.1</v>
      </c>
      <c r="AN16" s="1441"/>
      <c r="AO16" s="1323" t="s">
        <v>38</v>
      </c>
      <c r="AP16" s="1357"/>
      <c r="AQ16" s="145"/>
      <c r="AR16" s="429" t="s">
        <v>50</v>
      </c>
      <c r="AS16" s="43"/>
      <c r="AT16" s="43"/>
      <c r="AU16" s="30" t="s">
        <v>51</v>
      </c>
      <c r="AV16" s="446"/>
      <c r="AW16" s="134"/>
      <c r="AX16" s="431" t="s">
        <v>56</v>
      </c>
      <c r="AY16" s="43"/>
      <c r="AZ16" s="146">
        <f>+AL19</f>
        <v>0.2485</v>
      </c>
      <c r="BA16" s="43"/>
      <c r="BB16" s="438">
        <f>AZ16*BB12</f>
        <v>31823.426265505041</v>
      </c>
      <c r="BC16"/>
      <c r="BD16"/>
      <c r="BE16" s="34"/>
      <c r="BF16" s="1407" t="s">
        <v>29</v>
      </c>
      <c r="BG16" s="1407"/>
      <c r="BH16" s="118">
        <v>0.03</v>
      </c>
      <c r="BI16" s="118">
        <v>0.1</v>
      </c>
      <c r="BJ16" s="118">
        <v>0.1</v>
      </c>
      <c r="BK16" s="120" t="s">
        <v>52</v>
      </c>
      <c r="BL16" s="145"/>
      <c r="BM16" s="429" t="s">
        <v>50</v>
      </c>
      <c r="BN16" s="43"/>
      <c r="BO16" s="43"/>
      <c r="BP16" s="30" t="s">
        <v>51</v>
      </c>
      <c r="BQ16" s="446"/>
      <c r="BR16"/>
      <c r="BS16" s="429" t="s">
        <v>50</v>
      </c>
      <c r="BT16" s="43"/>
      <c r="BU16" s="43"/>
      <c r="BV16" s="30" t="s">
        <v>51</v>
      </c>
      <c r="BW16" s="446"/>
      <c r="BX16" s="145"/>
      <c r="BY16" s="431"/>
      <c r="BZ16" s="43"/>
      <c r="CA16" s="43"/>
      <c r="CB16" s="43"/>
      <c r="CC16" s="445"/>
      <c r="CD16" s="92"/>
      <c r="CE16" s="1412" t="s">
        <v>19</v>
      </c>
      <c r="CF16" s="1412"/>
      <c r="CG16" s="1414">
        <f>1/6/8</f>
        <v>2.0833333333333332E-2</v>
      </c>
      <c r="CH16" s="1414"/>
      <c r="CI16" s="1443" t="s">
        <v>49</v>
      </c>
      <c r="CJ16" s="1444"/>
      <c r="CK16" s="1444"/>
      <c r="CL16" s="56"/>
      <c r="CM16" s="431"/>
      <c r="CN16" s="43"/>
      <c r="CO16" s="43"/>
      <c r="CP16" s="43"/>
      <c r="CQ16" s="432"/>
      <c r="CR16"/>
      <c r="CS16" s="1412" t="s">
        <v>28</v>
      </c>
      <c r="CT16" s="1412"/>
      <c r="CU16" s="1412"/>
      <c r="CV16" s="1408">
        <v>0.17</v>
      </c>
      <c r="CW16" s="1408"/>
      <c r="CX16" s="1423" t="s">
        <v>38</v>
      </c>
      <c r="CY16" s="1423"/>
      <c r="CZ16" s="1423"/>
      <c r="DA16" s="133"/>
      <c r="DB16" s="431" t="s">
        <v>56</v>
      </c>
      <c r="DC16" s="43"/>
      <c r="DD16" s="146">
        <f>CU20</f>
        <v>0.2485</v>
      </c>
      <c r="DE16" s="43"/>
      <c r="DF16" s="438">
        <f>DD16*DF14</f>
        <v>38094.977201638147</v>
      </c>
      <c r="DG16" s="150"/>
      <c r="DH16" s="1407" t="s">
        <v>29</v>
      </c>
      <c r="DI16" s="1407"/>
      <c r="DJ16" s="1407"/>
      <c r="DK16" s="1408">
        <v>2.5000000000000001E-2</v>
      </c>
      <c r="DL16" s="1408"/>
      <c r="DM16" s="1423" t="s">
        <v>38</v>
      </c>
      <c r="DN16" s="1423"/>
      <c r="DO16" s="1423"/>
      <c r="DP16"/>
      <c r="DQ16" s="443" t="s">
        <v>58</v>
      </c>
      <c r="DR16" s="129"/>
      <c r="DS16" s="129"/>
      <c r="DT16" s="151"/>
      <c r="DU16" s="447">
        <f>SUM(DU13:DU15)</f>
        <v>77812.671062620953</v>
      </c>
      <c r="DV16"/>
      <c r="DW16" s="443" t="s">
        <v>58</v>
      </c>
      <c r="DX16" s="129"/>
      <c r="DY16" s="129"/>
      <c r="DZ16" s="151"/>
      <c r="EA16" s="447">
        <f>SUM(EA13:EA15)</f>
        <v>77812.671062620953</v>
      </c>
      <c r="EB16"/>
      <c r="EC16"/>
    </row>
    <row r="17" spans="1:133" ht="51" customHeight="1" x14ac:dyDescent="0.3">
      <c r="A17" s="1"/>
      <c r="B17" s="1425" t="s">
        <v>63</v>
      </c>
      <c r="C17" s="1426"/>
      <c r="D17" s="1426"/>
      <c r="E17" s="1426"/>
      <c r="F17" s="1426"/>
      <c r="G17" s="152"/>
      <c r="H17" s="152"/>
      <c r="I17" s="153"/>
      <c r="J17" s="364"/>
      <c r="K17" s="26"/>
      <c r="L17" s="26"/>
      <c r="M17" s="154"/>
      <c r="N17" s="395"/>
      <c r="O17" s="136"/>
      <c r="P17" s="364" t="s">
        <v>61</v>
      </c>
      <c r="Q17" s="26"/>
      <c r="R17" s="26"/>
      <c r="S17" s="147">
        <f>D21</f>
        <v>10</v>
      </c>
      <c r="T17" s="378">
        <f>S17*$T$3</f>
        <v>18250</v>
      </c>
      <c r="U17" s="50"/>
      <c r="V17" s="92"/>
      <c r="W17" s="1427" t="s">
        <v>36</v>
      </c>
      <c r="X17" s="1428"/>
      <c r="Y17" s="1429">
        <v>0.25</v>
      </c>
      <c r="Z17" s="1430"/>
      <c r="AA17" s="1320" t="s">
        <v>38</v>
      </c>
      <c r="AB17" s="1321"/>
      <c r="AC17" s="3"/>
      <c r="AD17" s="431" t="s">
        <v>56</v>
      </c>
      <c r="AE17" s="43"/>
      <c r="AF17" s="146">
        <f>Y20</f>
        <v>0.2485</v>
      </c>
      <c r="AG17" s="43"/>
      <c r="AH17" s="438">
        <f>AF17*AH13</f>
        <v>31057.673515505041</v>
      </c>
      <c r="AI17"/>
      <c r="AJ17" s="1431" t="s">
        <v>37</v>
      </c>
      <c r="AK17" s="1431"/>
      <c r="AL17" s="118">
        <v>0</v>
      </c>
      <c r="AM17" s="1414">
        <v>1</v>
      </c>
      <c r="AN17" s="1414"/>
      <c r="AO17" s="1323" t="s">
        <v>38</v>
      </c>
      <c r="AP17" s="1357"/>
      <c r="AQ17" s="145"/>
      <c r="AR17" s="431" t="s">
        <v>56</v>
      </c>
      <c r="AS17" s="43"/>
      <c r="AT17" s="146">
        <f>AL19</f>
        <v>0.2485</v>
      </c>
      <c r="AU17" s="43"/>
      <c r="AV17" s="438">
        <f>AT17*AV13</f>
        <v>31785.110283513037</v>
      </c>
      <c r="AW17" s="155"/>
      <c r="AX17" s="443" t="s">
        <v>58</v>
      </c>
      <c r="AY17" s="129"/>
      <c r="AZ17" s="129"/>
      <c r="BA17" s="151"/>
      <c r="BB17" s="447">
        <f>BB16+BB12</f>
        <v>159885.50379268831</v>
      </c>
      <c r="BC17"/>
      <c r="BD17"/>
      <c r="BE17" s="34"/>
      <c r="BF17" s="1432" t="s">
        <v>39</v>
      </c>
      <c r="BG17" s="1432"/>
      <c r="BH17" s="156">
        <f>7/40</f>
        <v>0.17499999999999999</v>
      </c>
      <c r="BI17" s="118">
        <v>0.05</v>
      </c>
      <c r="BJ17" s="157">
        <v>0.05</v>
      </c>
      <c r="BK17" s="120" t="s">
        <v>52</v>
      </c>
      <c r="BL17" s="145"/>
      <c r="BM17" s="431" t="s">
        <v>56</v>
      </c>
      <c r="BN17" s="43"/>
      <c r="BO17" s="146">
        <f>+BH20</f>
        <v>0.2485</v>
      </c>
      <c r="BP17" s="43"/>
      <c r="BQ17" s="438">
        <f>BO17*BQ13</f>
        <v>6846.0414974384912</v>
      </c>
      <c r="BR17"/>
      <c r="BS17" s="431" t="s">
        <v>56</v>
      </c>
      <c r="BT17" s="43"/>
      <c r="BU17" s="146">
        <f>BH20</f>
        <v>0.2485</v>
      </c>
      <c r="BV17" s="43"/>
      <c r="BW17" s="438">
        <f>BU17*BW13</f>
        <v>9567.9230039083704</v>
      </c>
      <c r="BX17" s="145"/>
      <c r="BY17" s="429" t="s">
        <v>50</v>
      </c>
      <c r="BZ17" s="43"/>
      <c r="CA17" s="43"/>
      <c r="CB17" s="30" t="s">
        <v>51</v>
      </c>
      <c r="CC17" s="446"/>
      <c r="CD17" s="92"/>
      <c r="CE17" s="1433" t="s">
        <v>30</v>
      </c>
      <c r="CF17" s="1433"/>
      <c r="CG17" s="1414">
        <v>1.25</v>
      </c>
      <c r="CH17" s="1414"/>
      <c r="CI17" s="1424" t="s">
        <v>38</v>
      </c>
      <c r="CJ17" s="1424"/>
      <c r="CK17" s="1372"/>
      <c r="CL17" s="56"/>
      <c r="CM17" s="431"/>
      <c r="CN17" s="43"/>
      <c r="CO17" s="43"/>
      <c r="CP17" s="43"/>
      <c r="CQ17" s="445"/>
      <c r="CR17"/>
      <c r="CS17" s="1407" t="s">
        <v>29</v>
      </c>
      <c r="CT17" s="1407"/>
      <c r="CU17" s="1407"/>
      <c r="CV17" s="1408">
        <v>0.1</v>
      </c>
      <c r="CW17" s="1408"/>
      <c r="CX17" s="1423" t="s">
        <v>38</v>
      </c>
      <c r="CY17" s="1423"/>
      <c r="CZ17" s="1423"/>
      <c r="DA17" s="133"/>
      <c r="DB17" s="443" t="s">
        <v>58</v>
      </c>
      <c r="DC17" s="129"/>
      <c r="DD17" s="129"/>
      <c r="DE17" s="151"/>
      <c r="DF17" s="447">
        <f>DF16+DF14</f>
        <v>191394.68425048381</v>
      </c>
      <c r="DG17" s="9"/>
      <c r="DH17" s="1407" t="s">
        <v>41</v>
      </c>
      <c r="DI17" s="1407"/>
      <c r="DJ17" s="1407"/>
      <c r="DK17" s="1414">
        <v>0.04</v>
      </c>
      <c r="DL17" s="1414"/>
      <c r="DM17" s="1424" t="s">
        <v>38</v>
      </c>
      <c r="DN17" s="1424"/>
      <c r="DO17" s="1424"/>
      <c r="DP17"/>
      <c r="DQ17" s="528" t="s">
        <v>64</v>
      </c>
      <c r="DR17" s="30"/>
      <c r="DS17" s="30"/>
      <c r="DT17" s="158">
        <f>+DK20</f>
        <v>50.44</v>
      </c>
      <c r="DU17" s="438">
        <f>DT17*26</f>
        <v>1311.44</v>
      </c>
      <c r="DV17"/>
      <c r="DW17" s="528" t="s">
        <v>64</v>
      </c>
      <c r="DX17" s="30"/>
      <c r="DY17" s="30"/>
      <c r="DZ17" s="158">
        <f>+DK20</f>
        <v>50.44</v>
      </c>
      <c r="EA17" s="438">
        <f>DZ17*26</f>
        <v>1311.44</v>
      </c>
      <c r="EB17"/>
      <c r="EC17"/>
    </row>
    <row r="18" spans="1:133" ht="14.45" x14ac:dyDescent="0.3">
      <c r="A18" s="1"/>
      <c r="B18" s="1377" t="s">
        <v>65</v>
      </c>
      <c r="C18" s="1378"/>
      <c r="D18" s="159">
        <v>0.2485</v>
      </c>
      <c r="E18" s="1416" t="s">
        <v>66</v>
      </c>
      <c r="F18" s="1417"/>
      <c r="G18" s="45"/>
      <c r="H18" s="45"/>
      <c r="I18" s="153"/>
      <c r="J18" s="372" t="s">
        <v>67</v>
      </c>
      <c r="K18" s="90"/>
      <c r="L18" s="90"/>
      <c r="M18" s="90"/>
      <c r="N18" s="380">
        <f>N14+N16</f>
        <v>154127.50379268831</v>
      </c>
      <c r="O18" s="28"/>
      <c r="P18" s="364"/>
      <c r="Q18" s="26"/>
      <c r="R18" s="26"/>
      <c r="S18" s="26"/>
      <c r="T18" s="379"/>
      <c r="U18" s="50"/>
      <c r="V18" s="92"/>
      <c r="W18" s="1418"/>
      <c r="X18" s="1419"/>
      <c r="Y18" s="1419"/>
      <c r="Z18" s="1419"/>
      <c r="AA18" s="1419"/>
      <c r="AB18" s="1420"/>
      <c r="AC18" s="149"/>
      <c r="AD18" s="443" t="s">
        <v>58</v>
      </c>
      <c r="AE18" s="129"/>
      <c r="AF18" s="129"/>
      <c r="AG18" s="151"/>
      <c r="AH18" s="447">
        <f>AH17+AH13</f>
        <v>156038.25104268832</v>
      </c>
      <c r="AI18"/>
      <c r="AJ18" s="1404" t="s">
        <v>63</v>
      </c>
      <c r="AK18" s="1405"/>
      <c r="AL18" s="1405"/>
      <c r="AM18" s="1405"/>
      <c r="AN18" s="1405"/>
      <c r="AO18" s="1405"/>
      <c r="AP18" s="1406"/>
      <c r="AQ18" s="145"/>
      <c r="AR18" s="443" t="s">
        <v>58</v>
      </c>
      <c r="AS18" s="129"/>
      <c r="AT18" s="129"/>
      <c r="AU18" s="151"/>
      <c r="AV18" s="447">
        <f>AV17+AV13</f>
        <v>159692.99874835424</v>
      </c>
      <c r="AW18" s="160"/>
      <c r="AX18" s="429"/>
      <c r="AY18" s="30"/>
      <c r="AZ18" s="30"/>
      <c r="BA18" s="164"/>
      <c r="BB18" s="448"/>
      <c r="BC18"/>
      <c r="BD18"/>
      <c r="BE18" s="34"/>
      <c r="BF18" s="1421" t="s">
        <v>68</v>
      </c>
      <c r="BG18" s="1421"/>
      <c r="BH18" s="1422">
        <f>35000/365</f>
        <v>95.890410958904113</v>
      </c>
      <c r="BI18" s="1422"/>
      <c r="BJ18" s="1411"/>
      <c r="BK18" s="1411"/>
      <c r="BL18" s="145"/>
      <c r="BM18" s="443" t="s">
        <v>58</v>
      </c>
      <c r="BN18" s="129"/>
      <c r="BO18" s="129"/>
      <c r="BP18" s="151"/>
      <c r="BQ18" s="447">
        <f>BQ17+BQ13</f>
        <v>34395.504263790572</v>
      </c>
      <c r="BR18"/>
      <c r="BS18" s="443" t="s">
        <v>58</v>
      </c>
      <c r="BT18" s="129"/>
      <c r="BU18" s="129"/>
      <c r="BV18" s="151"/>
      <c r="BW18" s="447">
        <f>BW17+BW13</f>
        <v>48070.631269133199</v>
      </c>
      <c r="BX18" s="133"/>
      <c r="BY18" s="431" t="s">
        <v>56</v>
      </c>
      <c r="BZ18" s="43"/>
      <c r="CA18" s="146">
        <v>0.2485</v>
      </c>
      <c r="CB18" s="43"/>
      <c r="CC18" s="438">
        <f>CA18*CC14</f>
        <v>8488.0024191293087</v>
      </c>
      <c r="CD18" s="92"/>
      <c r="CE18" s="1412" t="s">
        <v>28</v>
      </c>
      <c r="CF18" s="1412"/>
      <c r="CG18" s="1408">
        <f>0.125</f>
        <v>0.125</v>
      </c>
      <c r="CH18" s="1408"/>
      <c r="CI18" s="1409" t="s">
        <v>38</v>
      </c>
      <c r="CJ18" s="1409"/>
      <c r="CK18" s="1410"/>
      <c r="CL18" s="56"/>
      <c r="CM18" s="429" t="s">
        <v>50</v>
      </c>
      <c r="CN18" s="43"/>
      <c r="CO18" s="43"/>
      <c r="CP18" s="30" t="s">
        <v>51</v>
      </c>
      <c r="CQ18" s="446"/>
      <c r="CR18"/>
      <c r="CS18" s="1413" t="s">
        <v>41</v>
      </c>
      <c r="CT18" s="1413"/>
      <c r="CU18" s="1413"/>
      <c r="CV18" s="1414">
        <v>0.16</v>
      </c>
      <c r="CW18" s="1414"/>
      <c r="CX18" s="1424" t="s">
        <v>38</v>
      </c>
      <c r="CY18" s="1424"/>
      <c r="CZ18" s="1424"/>
      <c r="DA18" s="145"/>
      <c r="DB18" s="518" t="s">
        <v>64</v>
      </c>
      <c r="DC18" s="30"/>
      <c r="DD18" s="30"/>
      <c r="DE18" s="158">
        <f>+CU21</f>
        <v>50.44</v>
      </c>
      <c r="DF18" s="438">
        <f>DE18*26</f>
        <v>1311.44</v>
      </c>
      <c r="DG18" s="9"/>
      <c r="DH18" s="1374" t="s">
        <v>63</v>
      </c>
      <c r="DI18" s="1375"/>
      <c r="DJ18" s="1375"/>
      <c r="DK18" s="1375"/>
      <c r="DL18" s="1375"/>
      <c r="DM18" s="1375"/>
      <c r="DN18" s="1375"/>
      <c r="DO18" s="1400"/>
      <c r="DP18" s="32"/>
      <c r="DQ18" s="431" t="s">
        <v>61</v>
      </c>
      <c r="DR18" s="43"/>
      <c r="DS18" s="43"/>
      <c r="DT18" s="158">
        <f>+DK21</f>
        <v>10</v>
      </c>
      <c r="DU18" s="449">
        <f>DT18*DU5</f>
        <v>3650</v>
      </c>
      <c r="DV18"/>
      <c r="DW18" s="431" t="s">
        <v>61</v>
      </c>
      <c r="DX18" s="43"/>
      <c r="DY18" s="43"/>
      <c r="DZ18" s="158">
        <f>+DK21</f>
        <v>10</v>
      </c>
      <c r="EA18" s="449">
        <f>DZ18*EA5</f>
        <v>3650</v>
      </c>
      <c r="EB18"/>
      <c r="EC18"/>
    </row>
    <row r="19" spans="1:133" ht="14.45" x14ac:dyDescent="0.3">
      <c r="A19" s="1"/>
      <c r="B19" s="153"/>
      <c r="C19" s="45"/>
      <c r="D19" s="161"/>
      <c r="E19" s="162"/>
      <c r="F19" s="45"/>
      <c r="G19" s="45"/>
      <c r="H19" s="45"/>
      <c r="I19" s="153"/>
      <c r="J19" s="364"/>
      <c r="K19" s="26"/>
      <c r="L19" s="26"/>
      <c r="M19" s="26"/>
      <c r="N19" s="396"/>
      <c r="O19" s="28"/>
      <c r="P19" s="372" t="s">
        <v>67</v>
      </c>
      <c r="Q19" s="90"/>
      <c r="R19" s="90"/>
      <c r="S19" s="90"/>
      <c r="T19" s="380">
        <f>SUM(T14:T17)</f>
        <v>167802.16069642146</v>
      </c>
      <c r="U19" s="50"/>
      <c r="V19" s="92"/>
      <c r="W19" s="1401" t="s">
        <v>63</v>
      </c>
      <c r="X19" s="1402"/>
      <c r="Y19" s="1402"/>
      <c r="Z19" s="1402"/>
      <c r="AA19" s="1402"/>
      <c r="AB19" s="1403"/>
      <c r="AC19" s="163"/>
      <c r="AD19" s="429"/>
      <c r="AE19" s="30"/>
      <c r="AF19" s="30"/>
      <c r="AG19" s="164"/>
      <c r="AH19" s="448"/>
      <c r="AI19"/>
      <c r="AJ19" s="1319" t="s">
        <v>65</v>
      </c>
      <c r="AK19" s="1319"/>
      <c r="AL19" s="1367">
        <v>0.2485</v>
      </c>
      <c r="AM19" s="1367"/>
      <c r="AN19" s="1368" t="s">
        <v>69</v>
      </c>
      <c r="AO19" s="1368"/>
      <c r="AP19" s="1368"/>
      <c r="AQ19" s="133"/>
      <c r="AR19" s="429"/>
      <c r="AS19" s="30"/>
      <c r="AT19" s="30"/>
      <c r="AU19" s="164"/>
      <c r="AV19" s="448"/>
      <c r="AW19" s="160"/>
      <c r="AX19" s="431" t="s">
        <v>61</v>
      </c>
      <c r="AY19" s="43"/>
      <c r="AZ19" s="43"/>
      <c r="BA19" s="175">
        <f>+AL22</f>
        <v>10</v>
      </c>
      <c r="BB19" s="449">
        <f>BA19*BB3</f>
        <v>18250</v>
      </c>
      <c r="BC19"/>
      <c r="BD19"/>
      <c r="BE19" s="34"/>
      <c r="BF19" s="1404" t="s">
        <v>63</v>
      </c>
      <c r="BG19" s="1405"/>
      <c r="BH19" s="1405"/>
      <c r="BI19" s="1405"/>
      <c r="BJ19" s="1405"/>
      <c r="BK19" s="1406"/>
      <c r="BL19" s="133"/>
      <c r="BM19" s="429"/>
      <c r="BN19" s="30"/>
      <c r="BO19" s="30"/>
      <c r="BP19" s="164"/>
      <c r="BQ19" s="448"/>
      <c r="BR19"/>
      <c r="BS19" s="429"/>
      <c r="BT19" s="30"/>
      <c r="BU19" s="30"/>
      <c r="BV19" s="164"/>
      <c r="BW19" s="448"/>
      <c r="BX19" s="133"/>
      <c r="BY19" s="443" t="s">
        <v>58</v>
      </c>
      <c r="BZ19" s="129"/>
      <c r="CA19" s="129"/>
      <c r="CB19" s="151"/>
      <c r="CC19" s="447">
        <f>CC18+CC14</f>
        <v>42644.953803955505</v>
      </c>
      <c r="CD19" s="92"/>
      <c r="CE19" s="1407" t="s">
        <v>29</v>
      </c>
      <c r="CF19" s="1407"/>
      <c r="CG19" s="1408">
        <f>0.1/8</f>
        <v>1.2500000000000001E-2</v>
      </c>
      <c r="CH19" s="1408"/>
      <c r="CI19" s="1409" t="s">
        <v>38</v>
      </c>
      <c r="CJ19" s="1409"/>
      <c r="CK19" s="1410"/>
      <c r="CL19" s="42"/>
      <c r="CM19" s="431" t="s">
        <v>56</v>
      </c>
      <c r="CN19" s="43"/>
      <c r="CO19" s="146">
        <f>CG24</f>
        <v>0.2485</v>
      </c>
      <c r="CP19" s="43"/>
      <c r="CQ19" s="438">
        <f>CO19*CQ15</f>
        <v>35170.075165505041</v>
      </c>
      <c r="CR19"/>
      <c r="CS19" s="1415" t="s">
        <v>63</v>
      </c>
      <c r="CT19" s="1415"/>
      <c r="CU19" s="1415"/>
      <c r="CV19" s="1415"/>
      <c r="CW19" s="1415"/>
      <c r="CX19" s="1415"/>
      <c r="CY19" s="1415"/>
      <c r="CZ19" s="1415"/>
      <c r="DA19" s="145"/>
      <c r="DB19" s="431" t="s">
        <v>61</v>
      </c>
      <c r="DC19" s="43"/>
      <c r="DD19" s="43"/>
      <c r="DE19" s="158">
        <f>+CU22</f>
        <v>10</v>
      </c>
      <c r="DF19" s="449">
        <f>DE19*DF5</f>
        <v>14600</v>
      </c>
      <c r="DG19" s="150"/>
      <c r="DH19" s="1319" t="s">
        <v>65</v>
      </c>
      <c r="DI19" s="1319"/>
      <c r="DJ19" s="1319"/>
      <c r="DK19" s="1367">
        <v>0.2485</v>
      </c>
      <c r="DL19" s="1367"/>
      <c r="DM19" s="1359" t="s">
        <v>70</v>
      </c>
      <c r="DN19" s="1360"/>
      <c r="DO19" s="1361"/>
      <c r="DP19"/>
      <c r="DQ19" s="431"/>
      <c r="DR19" s="43"/>
      <c r="DS19" s="43"/>
      <c r="DT19" s="165"/>
      <c r="DU19" s="450"/>
      <c r="DV19"/>
      <c r="DW19" s="431" t="s">
        <v>71</v>
      </c>
      <c r="DX19" s="43"/>
      <c r="DY19" s="43"/>
      <c r="DZ19" s="158">
        <f>+DK22</f>
        <v>38.93</v>
      </c>
      <c r="EA19" s="497">
        <f>DZ19*EA5</f>
        <v>14209.45</v>
      </c>
      <c r="EB19"/>
      <c r="EC19"/>
    </row>
    <row r="20" spans="1:133" ht="26.25" x14ac:dyDescent="0.25">
      <c r="A20" s="1"/>
      <c r="B20" s="153"/>
      <c r="C20" s="45"/>
      <c r="D20" s="161"/>
      <c r="E20" s="162"/>
      <c r="F20" s="45"/>
      <c r="G20" s="45"/>
      <c r="H20" s="45"/>
      <c r="I20" s="153"/>
      <c r="J20" s="362" t="s">
        <v>72</v>
      </c>
      <c r="K20" s="26"/>
      <c r="L20" s="26"/>
      <c r="M20" s="26"/>
      <c r="N20" s="383">
        <f>SUM(N18:N19)</f>
        <v>154127.50379268831</v>
      </c>
      <c r="O20" s="166"/>
      <c r="P20" s="381"/>
      <c r="Q20" s="171"/>
      <c r="R20" s="171"/>
      <c r="S20" s="171"/>
      <c r="T20" s="382"/>
      <c r="U20" s="50"/>
      <c r="V20" s="92"/>
      <c r="W20" s="1393" t="s">
        <v>65</v>
      </c>
      <c r="X20" s="1334"/>
      <c r="Y20" s="1394">
        <v>0.2485</v>
      </c>
      <c r="Z20" s="1395"/>
      <c r="AA20" s="1368" t="s">
        <v>69</v>
      </c>
      <c r="AB20" s="1368"/>
      <c r="AC20" s="56"/>
      <c r="AD20" s="431" t="s">
        <v>61</v>
      </c>
      <c r="AE20" s="43"/>
      <c r="AF20" s="43"/>
      <c r="AG20" s="167">
        <f>+Z23</f>
        <v>12</v>
      </c>
      <c r="AH20" s="449">
        <f>AG20*AH4</f>
        <v>35040</v>
      </c>
      <c r="AI20"/>
      <c r="AJ20" s="1381"/>
      <c r="AK20" s="1382"/>
      <c r="AL20" s="1382"/>
      <c r="AM20" s="1382"/>
      <c r="AN20" s="1382"/>
      <c r="AO20" s="1382"/>
      <c r="AP20" s="1383"/>
      <c r="AQ20" s="133"/>
      <c r="AR20" s="431" t="s">
        <v>61</v>
      </c>
      <c r="AS20" s="43"/>
      <c r="AT20" s="43"/>
      <c r="AU20" s="158">
        <f>AL22</f>
        <v>10</v>
      </c>
      <c r="AV20" s="449">
        <f>AU20*AV4</f>
        <v>29200</v>
      </c>
      <c r="AW20" s="168"/>
      <c r="AX20" s="431"/>
      <c r="AY20" s="43"/>
      <c r="AZ20" s="43"/>
      <c r="BA20" s="43"/>
      <c r="BB20" s="451"/>
      <c r="BC20"/>
      <c r="BD20"/>
      <c r="BE20" s="34"/>
      <c r="BF20" s="1319" t="s">
        <v>65</v>
      </c>
      <c r="BG20" s="1319"/>
      <c r="BH20" s="1367">
        <v>0.2485</v>
      </c>
      <c r="BI20" s="1367"/>
      <c r="BJ20" s="1368" t="s">
        <v>69</v>
      </c>
      <c r="BK20" s="1368"/>
      <c r="BL20" s="133"/>
      <c r="BM20" s="431" t="s">
        <v>61</v>
      </c>
      <c r="BN20" s="43"/>
      <c r="BO20" s="43"/>
      <c r="BP20" s="158">
        <f>BH23</f>
        <v>11.42</v>
      </c>
      <c r="BQ20" s="449">
        <f>BP20*BQ4</f>
        <v>4168.3</v>
      </c>
      <c r="BR20"/>
      <c r="BS20" s="431" t="s">
        <v>61</v>
      </c>
      <c r="BT20" s="43"/>
      <c r="BU20" s="43"/>
      <c r="BV20" s="158">
        <f>BH23</f>
        <v>11.42</v>
      </c>
      <c r="BW20" s="449">
        <f>BV20*BW4</f>
        <v>4168.3</v>
      </c>
      <c r="BX20" s="133"/>
      <c r="BY20" s="429"/>
      <c r="BZ20" s="30"/>
      <c r="CA20" s="30"/>
      <c r="CB20" s="164"/>
      <c r="CC20" s="448"/>
      <c r="CD20" s="92"/>
      <c r="CE20" s="1387" t="s">
        <v>40</v>
      </c>
      <c r="CF20" s="1387"/>
      <c r="CG20" s="1389">
        <v>0.15</v>
      </c>
      <c r="CH20" s="1389"/>
      <c r="CI20" s="1320" t="s">
        <v>38</v>
      </c>
      <c r="CJ20" s="1320"/>
      <c r="CK20" s="1321"/>
      <c r="CL20" s="42"/>
      <c r="CM20" s="443" t="s">
        <v>58</v>
      </c>
      <c r="CN20" s="129"/>
      <c r="CO20" s="129"/>
      <c r="CP20" s="151"/>
      <c r="CQ20" s="447">
        <f>CQ19+CQ15</f>
        <v>176699.5526926883</v>
      </c>
      <c r="CR20"/>
      <c r="CS20" s="1319" t="s">
        <v>65</v>
      </c>
      <c r="CT20" s="1319"/>
      <c r="CU20" s="1367">
        <v>0.2485</v>
      </c>
      <c r="CV20" s="1367"/>
      <c r="CW20" s="1369" t="s">
        <v>73</v>
      </c>
      <c r="CX20" s="1396"/>
      <c r="CY20" s="1396"/>
      <c r="CZ20" s="1397"/>
      <c r="DA20" s="145"/>
      <c r="DB20" s="443" t="s">
        <v>67</v>
      </c>
      <c r="DC20" s="129"/>
      <c r="DD20" s="129"/>
      <c r="DE20" s="129"/>
      <c r="DF20" s="380">
        <f>DF17+DF19+DF18</f>
        <v>207306.12425048382</v>
      </c>
      <c r="DG20" s="134"/>
      <c r="DH20" s="1398" t="s">
        <v>64</v>
      </c>
      <c r="DI20" s="1398"/>
      <c r="DJ20" s="1398"/>
      <c r="DK20" s="1399">
        <v>50.44</v>
      </c>
      <c r="DL20" s="1399"/>
      <c r="DM20" s="1368" t="s">
        <v>38</v>
      </c>
      <c r="DN20" s="1368"/>
      <c r="DO20" s="1368"/>
      <c r="DP20"/>
      <c r="DQ20" s="443" t="s">
        <v>67</v>
      </c>
      <c r="DR20" s="129"/>
      <c r="DS20" s="129"/>
      <c r="DT20" s="129"/>
      <c r="DU20" s="380">
        <f>SUM(DU16:DU18)</f>
        <v>82774.111062620956</v>
      </c>
      <c r="DV20"/>
      <c r="DW20" s="443" t="s">
        <v>67</v>
      </c>
      <c r="DX20" s="129"/>
      <c r="DY20" s="129"/>
      <c r="DZ20" s="129"/>
      <c r="EA20" s="499">
        <f>SUM(EA16:EA19)</f>
        <v>96983.561062620953</v>
      </c>
      <c r="EB20" s="32"/>
      <c r="EC20"/>
    </row>
    <row r="21" spans="1:133" ht="15" x14ac:dyDescent="0.25">
      <c r="A21" s="1"/>
      <c r="B21" s="1377" t="s">
        <v>74</v>
      </c>
      <c r="C21" s="1378"/>
      <c r="D21" s="169">
        <v>10</v>
      </c>
      <c r="E21" s="1379" t="s">
        <v>75</v>
      </c>
      <c r="F21" s="1380"/>
      <c r="G21" s="24"/>
      <c r="H21" s="24"/>
      <c r="I21" s="170"/>
      <c r="J21" s="381"/>
      <c r="K21" s="171"/>
      <c r="L21" s="171"/>
      <c r="M21" s="171"/>
      <c r="N21" s="382"/>
      <c r="O21" s="166"/>
      <c r="P21" s="362" t="s">
        <v>72</v>
      </c>
      <c r="Q21" s="26"/>
      <c r="R21" s="26"/>
      <c r="S21" s="26"/>
      <c r="T21" s="383">
        <f>SUM(T19:T19)</f>
        <v>167802.16069642146</v>
      </c>
      <c r="U21" s="50"/>
      <c r="V21" s="92"/>
      <c r="W21" s="1381"/>
      <c r="X21" s="1382"/>
      <c r="Y21" s="1382"/>
      <c r="Z21" s="1382"/>
      <c r="AA21" s="1382"/>
      <c r="AB21" s="1383"/>
      <c r="AC21" s="56"/>
      <c r="AD21" s="431"/>
      <c r="AE21" s="43"/>
      <c r="AF21" s="43"/>
      <c r="AG21" s="165"/>
      <c r="AH21" s="450"/>
      <c r="AI21"/>
      <c r="AJ21" s="1384"/>
      <c r="AK21" s="1385"/>
      <c r="AL21" s="1385"/>
      <c r="AM21" s="1385"/>
      <c r="AN21" s="1385"/>
      <c r="AO21" s="1385"/>
      <c r="AP21" s="1386"/>
      <c r="AQ21" s="133"/>
      <c r="AR21" s="431"/>
      <c r="AS21" s="43"/>
      <c r="AT21" s="43"/>
      <c r="AU21" s="165"/>
      <c r="AV21" s="450"/>
      <c r="AW21" s="160"/>
      <c r="AX21" s="443" t="s">
        <v>80</v>
      </c>
      <c r="AY21" s="129"/>
      <c r="AZ21" s="129"/>
      <c r="BA21" s="129"/>
      <c r="BB21" s="380">
        <f>BB17+BB19</f>
        <v>178135.50379268831</v>
      </c>
      <c r="BC21"/>
      <c r="BD21"/>
      <c r="BE21" s="34"/>
      <c r="BF21" s="1381"/>
      <c r="BG21" s="1382"/>
      <c r="BH21" s="1382"/>
      <c r="BI21" s="1382"/>
      <c r="BJ21" s="1382"/>
      <c r="BK21" s="1383"/>
      <c r="BL21" s="133"/>
      <c r="BM21" s="431"/>
      <c r="BN21" s="43"/>
      <c r="BO21" s="43"/>
      <c r="BP21" s="165"/>
      <c r="BQ21" s="450"/>
      <c r="BR21"/>
      <c r="BS21" s="431" t="s">
        <v>71</v>
      </c>
      <c r="BT21" s="43"/>
      <c r="BU21" s="43"/>
      <c r="BV21" s="172">
        <f>BI23</f>
        <v>38.93</v>
      </c>
      <c r="BW21" s="498">
        <f>BV21*BW4</f>
        <v>14209.45</v>
      </c>
      <c r="BX21" s="173"/>
      <c r="BY21" s="431" t="s">
        <v>61</v>
      </c>
      <c r="BZ21" s="43"/>
      <c r="CA21" s="43"/>
      <c r="CB21" s="158">
        <v>10</v>
      </c>
      <c r="CC21" s="449">
        <f>CB21*CC5</f>
        <v>3650</v>
      </c>
      <c r="CD21" s="92"/>
      <c r="CE21" s="1387" t="s">
        <v>47</v>
      </c>
      <c r="CF21" s="1387"/>
      <c r="CG21" s="1388">
        <v>0.5</v>
      </c>
      <c r="CH21" s="1388"/>
      <c r="CI21" s="1320" t="s">
        <v>38</v>
      </c>
      <c r="CJ21" s="1320"/>
      <c r="CK21" s="1321"/>
      <c r="CL21" s="42"/>
      <c r="CM21" s="429"/>
      <c r="CN21" s="30"/>
      <c r="CO21" s="30"/>
      <c r="CP21" s="164"/>
      <c r="CQ21" s="448"/>
      <c r="CR21"/>
      <c r="CS21" s="1398" t="s">
        <v>64</v>
      </c>
      <c r="CT21" s="1398"/>
      <c r="CU21" s="1399">
        <v>50.44</v>
      </c>
      <c r="CV21" s="1399"/>
      <c r="CW21" s="1368" t="s">
        <v>38</v>
      </c>
      <c r="CX21" s="1368"/>
      <c r="CY21" s="1368"/>
      <c r="CZ21" s="1368"/>
      <c r="DA21" s="133"/>
      <c r="DB21" s="429" t="s">
        <v>72</v>
      </c>
      <c r="DC21" s="43"/>
      <c r="DD21" s="43"/>
      <c r="DE21" s="43"/>
      <c r="DF21" s="519">
        <f>SUM(DF20:DF20)</f>
        <v>207306.12425048382</v>
      </c>
      <c r="DG21" s="155"/>
      <c r="DH21" s="1319" t="s">
        <v>74</v>
      </c>
      <c r="DI21" s="1319"/>
      <c r="DJ21" s="1319"/>
      <c r="DK21" s="1353">
        <v>10</v>
      </c>
      <c r="DL21" s="1353"/>
      <c r="DM21" s="1344" t="s">
        <v>76</v>
      </c>
      <c r="DN21" s="1344"/>
      <c r="DO21" s="1344"/>
      <c r="DP21"/>
      <c r="DQ21" s="429" t="s">
        <v>72</v>
      </c>
      <c r="DR21" s="43"/>
      <c r="DS21" s="43"/>
      <c r="DT21" s="43"/>
      <c r="DU21" s="519">
        <f>DU20</f>
        <v>82774.111062620956</v>
      </c>
      <c r="DV21" s="32"/>
      <c r="DW21" s="429" t="s">
        <v>72</v>
      </c>
      <c r="DX21" s="43"/>
      <c r="DY21" s="43"/>
      <c r="DZ21" s="43"/>
      <c r="EA21" s="519">
        <f>EA20</f>
        <v>96983.561062620953</v>
      </c>
      <c r="EB21" s="32"/>
      <c r="EC21"/>
    </row>
    <row r="22" spans="1:133" ht="29.25" customHeight="1" x14ac:dyDescent="0.25">
      <c r="A22" s="1"/>
      <c r="B22" s="1390" t="s">
        <v>77</v>
      </c>
      <c r="C22" s="1391"/>
      <c r="D22" s="1391"/>
      <c r="E22" s="1391"/>
      <c r="F22" s="1391"/>
      <c r="G22" s="24"/>
      <c r="H22" s="24"/>
      <c r="I22" s="170"/>
      <c r="J22" s="364" t="s">
        <v>78</v>
      </c>
      <c r="K22" s="26"/>
      <c r="L22" s="174">
        <f>D24</f>
        <v>3.9300000000000002E-2</v>
      </c>
      <c r="M22" s="26"/>
      <c r="N22" s="384">
        <f>N20*(1+L22)</f>
        <v>160184.71469174096</v>
      </c>
      <c r="O22" s="166"/>
      <c r="P22" s="364" t="s">
        <v>78</v>
      </c>
      <c r="Q22" s="26"/>
      <c r="R22" s="174">
        <f>D24</f>
        <v>3.9300000000000002E-2</v>
      </c>
      <c r="S22" s="26"/>
      <c r="T22" s="384">
        <f>T21*(1+R22)</f>
        <v>174396.78561179081</v>
      </c>
      <c r="U22" s="166"/>
      <c r="W22" s="1384"/>
      <c r="X22" s="1385"/>
      <c r="Y22" s="1385"/>
      <c r="Z22" s="1385"/>
      <c r="AA22" s="1385"/>
      <c r="AB22" s="1386"/>
      <c r="AC22" s="56"/>
      <c r="AD22" s="431"/>
      <c r="AE22" s="43"/>
      <c r="AF22" s="43"/>
      <c r="AG22" s="43"/>
      <c r="AH22" s="451"/>
      <c r="AI22"/>
      <c r="AJ22" s="1392" t="s">
        <v>74</v>
      </c>
      <c r="AK22" s="1392"/>
      <c r="AL22" s="1353">
        <v>10</v>
      </c>
      <c r="AM22" s="1353"/>
      <c r="AN22" s="1344" t="s">
        <v>79</v>
      </c>
      <c r="AO22" s="1344"/>
      <c r="AP22" s="1344"/>
      <c r="AQ22" s="173"/>
      <c r="AR22" s="431"/>
      <c r="AS22" s="43"/>
      <c r="AT22" s="43"/>
      <c r="AU22" s="43"/>
      <c r="AV22" s="451"/>
      <c r="AW22" s="134"/>
      <c r="AX22" s="431"/>
      <c r="AY22" s="43"/>
      <c r="AZ22" s="43"/>
      <c r="BA22" s="43"/>
      <c r="BB22" s="396"/>
      <c r="BC22"/>
      <c r="BD22"/>
      <c r="BE22" s="34"/>
      <c r="BF22" s="1384"/>
      <c r="BG22" s="1385"/>
      <c r="BH22" s="1385"/>
      <c r="BI22" s="1385"/>
      <c r="BJ22" s="1385"/>
      <c r="BK22" s="1386"/>
      <c r="BL22" s="173"/>
      <c r="BM22" s="431"/>
      <c r="BN22" s="43"/>
      <c r="BO22" s="43"/>
      <c r="BP22" s="43"/>
      <c r="BQ22" s="451"/>
      <c r="BR22"/>
      <c r="BS22" s="431"/>
      <c r="BT22" s="43"/>
      <c r="BU22" s="43"/>
      <c r="BV22" s="176"/>
      <c r="BW22" s="446"/>
      <c r="BX22" s="177"/>
      <c r="BY22" s="443" t="s">
        <v>80</v>
      </c>
      <c r="BZ22" s="129"/>
      <c r="CA22" s="129"/>
      <c r="CB22" s="129"/>
      <c r="CC22" s="380">
        <f>CC19+CC21</f>
        <v>46294.953803955505</v>
      </c>
      <c r="CD22" s="92"/>
      <c r="CE22" s="1387" t="s">
        <v>53</v>
      </c>
      <c r="CF22" s="1387"/>
      <c r="CG22" s="1388">
        <v>0.1</v>
      </c>
      <c r="CH22" s="1388"/>
      <c r="CI22" s="1320" t="s">
        <v>38</v>
      </c>
      <c r="CJ22" s="1320"/>
      <c r="CK22" s="1321"/>
      <c r="CL22" s="83"/>
      <c r="CM22" s="431" t="s">
        <v>61</v>
      </c>
      <c r="CN22" s="43"/>
      <c r="CO22" s="43"/>
      <c r="CP22" s="158">
        <f>CG25</f>
        <v>10</v>
      </c>
      <c r="CQ22" s="449">
        <f>CP22*CQ4</f>
        <v>29200</v>
      </c>
      <c r="CR22"/>
      <c r="CS22" s="1392" t="s">
        <v>74</v>
      </c>
      <c r="CT22" s="1392"/>
      <c r="CU22" s="1353">
        <v>10</v>
      </c>
      <c r="CV22" s="1353"/>
      <c r="CW22" s="1344" t="s">
        <v>76</v>
      </c>
      <c r="CX22" s="1344"/>
      <c r="CY22" s="1344"/>
      <c r="CZ22" s="1344"/>
      <c r="DA22" s="133"/>
      <c r="DB22" s="431" t="s">
        <v>78</v>
      </c>
      <c r="DC22" s="43"/>
      <c r="DD22" s="178">
        <f>+CU24</f>
        <v>3.9300000000000002E-2</v>
      </c>
      <c r="DE22" s="43"/>
      <c r="DF22" s="520">
        <f>DF21*(1+DD22)</f>
        <v>215453.25493352782</v>
      </c>
      <c r="DG22" s="160"/>
      <c r="DH22" s="1319" t="s">
        <v>71</v>
      </c>
      <c r="DI22" s="1319"/>
      <c r="DJ22" s="1319"/>
      <c r="DK22" s="1370">
        <v>38.93</v>
      </c>
      <c r="DL22" s="1370"/>
      <c r="DM22" s="179" t="s">
        <v>81</v>
      </c>
      <c r="DN22" s="179"/>
      <c r="DO22" s="180"/>
      <c r="DP22"/>
      <c r="DQ22" s="431" t="s">
        <v>78</v>
      </c>
      <c r="DR22" s="43"/>
      <c r="DS22" s="178">
        <f>+DK24</f>
        <v>3.9300000000000002E-2</v>
      </c>
      <c r="DT22" s="43"/>
      <c r="DU22" s="384">
        <f>DU21*(1+DS22)</f>
        <v>86027.133627381947</v>
      </c>
      <c r="DV22" s="32"/>
      <c r="DW22" s="431" t="s">
        <v>78</v>
      </c>
      <c r="DX22" s="43"/>
      <c r="DY22" s="178">
        <f>+DK24</f>
        <v>3.9300000000000002E-2</v>
      </c>
      <c r="DZ22" s="43"/>
      <c r="EA22" s="384">
        <f>EA21*(1+DY22)</f>
        <v>100795.01501238195</v>
      </c>
      <c r="EB22"/>
      <c r="EC22"/>
    </row>
    <row r="23" spans="1:133" ht="50.25" customHeight="1" x14ac:dyDescent="0.3">
      <c r="A23" s="1"/>
      <c r="B23" s="1286" t="str">
        <f>'[5]IFC model for current rates'!A23</f>
        <v>Flex pool ( provider to maintain pool, amt is not child-specific)</v>
      </c>
      <c r="C23" s="1287"/>
      <c r="D23" s="1288">
        <f>'[5]IFC model for current rates'!G23</f>
        <v>2.84</v>
      </c>
      <c r="E23" s="1289"/>
      <c r="F23" s="181" t="s">
        <v>82</v>
      </c>
      <c r="G23" s="24"/>
      <c r="H23" s="24"/>
      <c r="I23" s="170"/>
      <c r="J23" s="364"/>
      <c r="K23" s="26"/>
      <c r="L23" s="26"/>
      <c r="M23" s="182"/>
      <c r="N23" s="383" t="s">
        <v>83</v>
      </c>
      <c r="O23" s="346"/>
      <c r="P23" s="364"/>
      <c r="Q23" s="26"/>
      <c r="R23" s="26"/>
      <c r="S23" s="182"/>
      <c r="T23" s="383" t="s">
        <v>83</v>
      </c>
      <c r="U23" s="356"/>
      <c r="V23" s="280"/>
      <c r="W23" s="183" t="s">
        <v>74</v>
      </c>
      <c r="X23" s="184"/>
      <c r="Y23" s="185">
        <v>10</v>
      </c>
      <c r="Z23" s="185">
        <v>12</v>
      </c>
      <c r="AA23" s="1371" t="s">
        <v>84</v>
      </c>
      <c r="AB23" s="1371"/>
      <c r="AC23" s="42"/>
      <c r="AD23" s="443" t="s">
        <v>67</v>
      </c>
      <c r="AE23" s="129"/>
      <c r="AF23" s="129"/>
      <c r="AG23" s="129"/>
      <c r="AH23" s="380">
        <f>AH18+AH20</f>
        <v>191078.25104268832</v>
      </c>
      <c r="AI23"/>
      <c r="AJ23" s="1372" t="s">
        <v>77</v>
      </c>
      <c r="AK23" s="1323"/>
      <c r="AL23" s="1323"/>
      <c r="AM23" s="1323"/>
      <c r="AN23" s="1323"/>
      <c r="AO23" s="1323"/>
      <c r="AP23" s="1357"/>
      <c r="AQ23" s="177"/>
      <c r="AR23" s="443" t="s">
        <v>80</v>
      </c>
      <c r="AS23" s="129"/>
      <c r="AT23" s="129"/>
      <c r="AU23" s="129"/>
      <c r="AV23" s="380">
        <f>AV18+AV20</f>
        <v>188892.99874835424</v>
      </c>
      <c r="AW23" s="186"/>
      <c r="AX23" s="429" t="s">
        <v>72</v>
      </c>
      <c r="AY23" s="43"/>
      <c r="AZ23" s="43"/>
      <c r="BA23" s="43"/>
      <c r="BB23" s="452">
        <f>SUM(BB21:BB22)</f>
        <v>178135.50379268831</v>
      </c>
      <c r="BC23"/>
      <c r="BD23"/>
      <c r="BE23" s="34"/>
      <c r="BF23" s="1319" t="s">
        <v>74</v>
      </c>
      <c r="BG23" s="1319"/>
      <c r="BH23" s="187">
        <f>17.25-5.83</f>
        <v>11.42</v>
      </c>
      <c r="BI23" s="188">
        <f>38.93</f>
        <v>38.93</v>
      </c>
      <c r="BJ23" s="1373" t="s">
        <v>85</v>
      </c>
      <c r="BK23" s="1373"/>
      <c r="BL23" s="177"/>
      <c r="BM23" s="443" t="s">
        <v>80</v>
      </c>
      <c r="BN23" s="129"/>
      <c r="BO23" s="129"/>
      <c r="BP23" s="129"/>
      <c r="BQ23" s="380">
        <f>BQ18+BQ20</f>
        <v>38563.804263790575</v>
      </c>
      <c r="BR23"/>
      <c r="BS23" s="443" t="s">
        <v>67</v>
      </c>
      <c r="BT23" s="129"/>
      <c r="BU23" s="129"/>
      <c r="BV23" s="129"/>
      <c r="BW23" s="499">
        <f>BW18+BW20+BW21</f>
        <v>66448.381269133199</v>
      </c>
      <c r="BX23" s="189"/>
      <c r="BY23" s="431"/>
      <c r="BZ23" s="43"/>
      <c r="CA23" s="43"/>
      <c r="CB23" s="43"/>
      <c r="CC23" s="396"/>
      <c r="CD23" s="92"/>
      <c r="CE23" s="1374" t="s">
        <v>63</v>
      </c>
      <c r="CF23" s="1375"/>
      <c r="CG23" s="1375"/>
      <c r="CH23" s="1375"/>
      <c r="CI23" s="1375"/>
      <c r="CJ23" s="1375"/>
      <c r="CK23" s="1375"/>
      <c r="CL23" s="190"/>
      <c r="CM23" s="431"/>
      <c r="CN23" s="43"/>
      <c r="CO23" s="43"/>
      <c r="CP23" s="43"/>
      <c r="CQ23" s="451"/>
      <c r="CR23"/>
      <c r="CS23" s="1313" t="s">
        <v>86</v>
      </c>
      <c r="CT23" s="1313"/>
      <c r="CU23" s="191">
        <v>2.84</v>
      </c>
      <c r="CV23" s="192" t="s">
        <v>87</v>
      </c>
      <c r="CW23" s="1314"/>
      <c r="CX23" s="1314"/>
      <c r="CY23" s="1314"/>
      <c r="CZ23" s="1314"/>
      <c r="DA23" s="133"/>
      <c r="DB23" s="431"/>
      <c r="DC23" s="43"/>
      <c r="DD23" s="43"/>
      <c r="DE23" s="193"/>
      <c r="DF23" s="521" t="s">
        <v>83</v>
      </c>
      <c r="DG23" s="160"/>
      <c r="DH23" s="1313" t="s">
        <v>86</v>
      </c>
      <c r="DI23" s="1313"/>
      <c r="DJ23" s="1313"/>
      <c r="DK23" s="1376">
        <v>2.84</v>
      </c>
      <c r="DL23" s="1376"/>
      <c r="DM23" s="1354" t="s">
        <v>87</v>
      </c>
      <c r="DN23" s="1354"/>
      <c r="DO23" s="1354"/>
      <c r="DP23"/>
      <c r="DQ23" s="431"/>
      <c r="DR23" s="43"/>
      <c r="DS23" s="43"/>
      <c r="DT23" s="193"/>
      <c r="DU23" s="521" t="s">
        <v>83</v>
      </c>
      <c r="DV23" s="32"/>
      <c r="DW23" s="431"/>
      <c r="DX23" s="43"/>
      <c r="DY23" s="43"/>
      <c r="DZ23" s="193"/>
      <c r="EA23" s="521" t="s">
        <v>83</v>
      </c>
      <c r="EB23"/>
      <c r="EC23"/>
    </row>
    <row r="24" spans="1:133" ht="26.25" x14ac:dyDescent="0.25">
      <c r="A24" s="1"/>
      <c r="B24" s="194" t="s">
        <v>88</v>
      </c>
      <c r="C24" s="195"/>
      <c r="D24" s="1355">
        <v>3.9300000000000002E-2</v>
      </c>
      <c r="E24" s="1356"/>
      <c r="F24" s="196" t="s">
        <v>89</v>
      </c>
      <c r="G24" s="197"/>
      <c r="H24" s="197"/>
      <c r="I24" s="3"/>
      <c r="J24" s="364" t="s">
        <v>90</v>
      </c>
      <c r="K24" s="26"/>
      <c r="L24" s="26"/>
      <c r="M24" s="182">
        <f>N20/N3</f>
        <v>52.783391709824762</v>
      </c>
      <c r="N24" s="383">
        <f>M24*(1+$L$22)</f>
        <v>54.85777900402087</v>
      </c>
      <c r="O24" s="347"/>
      <c r="P24" s="364" t="s">
        <v>90</v>
      </c>
      <c r="Q24" s="26"/>
      <c r="R24" s="26"/>
      <c r="S24" s="182">
        <f>T22/T3</f>
        <v>95.559882527008668</v>
      </c>
      <c r="T24" s="383">
        <f>S24*(1+$D$24)</f>
        <v>99.315385910320103</v>
      </c>
      <c r="U24" s="355"/>
      <c r="V24" s="280"/>
      <c r="W24" s="1323" t="s">
        <v>77</v>
      </c>
      <c r="X24" s="1323"/>
      <c r="Y24" s="1323"/>
      <c r="Z24" s="1323"/>
      <c r="AA24" s="1323"/>
      <c r="AB24" s="1357"/>
      <c r="AC24" s="198"/>
      <c r="AD24" s="429" t="s">
        <v>72</v>
      </c>
      <c r="AE24" s="43"/>
      <c r="AF24" s="43"/>
      <c r="AG24" s="43"/>
      <c r="AH24" s="452">
        <f>SUM(AH23:AH23)</f>
        <v>191078.25104268832</v>
      </c>
      <c r="AI24" s="32"/>
      <c r="AJ24" s="1313" t="s">
        <v>86</v>
      </c>
      <c r="AK24" s="1313"/>
      <c r="AL24" s="1358">
        <v>2.84</v>
      </c>
      <c r="AM24" s="1358"/>
      <c r="AN24" s="199" t="s">
        <v>82</v>
      </c>
      <c r="AO24" s="1314"/>
      <c r="AP24" s="1314"/>
      <c r="AQ24" s="189"/>
      <c r="AR24" s="431"/>
      <c r="AS24" s="43"/>
      <c r="AT24" s="43"/>
      <c r="AU24" s="43"/>
      <c r="AV24" s="396"/>
      <c r="AW24" s="200"/>
      <c r="AX24" s="473"/>
      <c r="AY24" s="209"/>
      <c r="AZ24" s="209"/>
      <c r="BA24" s="209"/>
      <c r="BB24" s="474"/>
      <c r="BC24"/>
      <c r="BD24"/>
      <c r="BE24" s="34"/>
      <c r="BF24" s="1362" t="s">
        <v>91</v>
      </c>
      <c r="BG24" s="1362"/>
      <c r="BH24" s="1363">
        <f>23/7</f>
        <v>3.2857142857142856</v>
      </c>
      <c r="BI24" s="1364"/>
      <c r="BJ24" s="1365" t="s">
        <v>92</v>
      </c>
      <c r="BK24" s="1366"/>
      <c r="BL24" s="189"/>
      <c r="BM24" s="431"/>
      <c r="BN24" s="43"/>
      <c r="BO24" s="43"/>
      <c r="BP24" s="43"/>
      <c r="BQ24" s="396"/>
      <c r="BR24"/>
      <c r="BS24" s="429" t="s">
        <v>72</v>
      </c>
      <c r="BT24" s="43"/>
      <c r="BU24" s="43"/>
      <c r="BV24" s="43"/>
      <c r="BW24" s="452">
        <f>SUM(BW23:BW23)</f>
        <v>66448.381269133199</v>
      </c>
      <c r="BX24" s="201"/>
      <c r="BY24" s="429" t="s">
        <v>72</v>
      </c>
      <c r="BZ24" s="43"/>
      <c r="CA24" s="43"/>
      <c r="CB24" s="43"/>
      <c r="CC24" s="452">
        <f>SUM(CC22:CC23)</f>
        <v>46294.953803955505</v>
      </c>
      <c r="CD24" s="92"/>
      <c r="CE24" s="1319" t="s">
        <v>65</v>
      </c>
      <c r="CF24" s="1319"/>
      <c r="CG24" s="1367">
        <v>0.2485</v>
      </c>
      <c r="CH24" s="1367"/>
      <c r="CI24" s="1368" t="s">
        <v>69</v>
      </c>
      <c r="CJ24" s="1368"/>
      <c r="CK24" s="1369"/>
      <c r="CL24" s="128"/>
      <c r="CM24" s="443" t="s">
        <v>80</v>
      </c>
      <c r="CN24" s="129"/>
      <c r="CO24" s="129"/>
      <c r="CP24" s="129"/>
      <c r="CQ24" s="380">
        <f>CQ20+CQ22</f>
        <v>205899.5526926883</v>
      </c>
      <c r="CR24"/>
      <c r="CS24" s="1319" t="s">
        <v>88</v>
      </c>
      <c r="CT24" s="1319"/>
      <c r="CU24" s="1340">
        <v>3.9300000000000002E-2</v>
      </c>
      <c r="CV24" s="1340"/>
      <c r="CW24" s="1341" t="s">
        <v>89</v>
      </c>
      <c r="CX24" s="1342"/>
      <c r="CY24" s="1342"/>
      <c r="CZ24" s="1343"/>
      <c r="DA24" s="173"/>
      <c r="DB24" s="500" t="s">
        <v>90</v>
      </c>
      <c r="DC24" s="202"/>
      <c r="DD24" s="202"/>
      <c r="DE24" s="203">
        <f>DF21/DF5</f>
        <v>141.99049606197522</v>
      </c>
      <c r="DF24" s="522">
        <f>DE24*(1+DD22)</f>
        <v>147.57072255721084</v>
      </c>
      <c r="DG24" s="160"/>
      <c r="DH24" s="1319" t="s">
        <v>88</v>
      </c>
      <c r="DI24" s="1319"/>
      <c r="DJ24" s="1319"/>
      <c r="DK24" s="1340">
        <v>3.9300000000000002E-2</v>
      </c>
      <c r="DL24" s="1340"/>
      <c r="DM24" s="1359" t="s">
        <v>89</v>
      </c>
      <c r="DN24" s="1360"/>
      <c r="DO24" s="1361"/>
      <c r="DP24"/>
      <c r="DQ24" s="500" t="s">
        <v>90</v>
      </c>
      <c r="DR24" s="202"/>
      <c r="DS24" s="202"/>
      <c r="DT24" s="203">
        <f>DU21/DU5</f>
        <v>226.77838647293413</v>
      </c>
      <c r="DU24" s="522">
        <f>DT24*(1+DS22)</f>
        <v>235.6907770613204</v>
      </c>
      <c r="DV24" s="32"/>
      <c r="DW24" s="500" t="s">
        <v>90</v>
      </c>
      <c r="DX24" s="202"/>
      <c r="DY24" s="202"/>
      <c r="DZ24" s="203">
        <f>EA21/EA5</f>
        <v>265.70838647293414</v>
      </c>
      <c r="EA24" s="522">
        <f>DZ24*(1+DY22)</f>
        <v>276.15072606132043</v>
      </c>
      <c r="EB24"/>
      <c r="EC24"/>
    </row>
    <row r="25" spans="1:133" ht="27.6" customHeight="1" x14ac:dyDescent="0.25">
      <c r="A25" s="1"/>
      <c r="B25" s="1337" t="s">
        <v>93</v>
      </c>
      <c r="C25" s="1337"/>
      <c r="D25" s="1327">
        <v>4.5999999999999999E-2</v>
      </c>
      <c r="E25" s="1328"/>
      <c r="F25" s="196" t="s">
        <v>94</v>
      </c>
      <c r="G25" s="204"/>
      <c r="H25" s="204"/>
      <c r="I25" s="205"/>
      <c r="J25" s="385" t="s">
        <v>636</v>
      </c>
      <c r="K25" s="348"/>
      <c r="L25" s="349">
        <v>2.64E-2</v>
      </c>
      <c r="M25" s="350"/>
      <c r="N25" s="532">
        <f>N24*(L25+1)+D23+0.07</f>
        <v>59.216024369727016</v>
      </c>
      <c r="O25" s="214"/>
      <c r="P25" s="385" t="s">
        <v>636</v>
      </c>
      <c r="Q25" s="348"/>
      <c r="R25" s="349">
        <v>2.64E-2</v>
      </c>
      <c r="S25" s="350"/>
      <c r="T25" s="532">
        <f>(T24+$D$23)*(R25+1)</f>
        <v>104.85228809835256</v>
      </c>
      <c r="U25" s="355"/>
      <c r="V25" s="280"/>
      <c r="W25" s="1338" t="s">
        <v>86</v>
      </c>
      <c r="X25" s="1339"/>
      <c r="Y25" s="1314" t="s">
        <v>82</v>
      </c>
      <c r="Z25" s="1314"/>
      <c r="AA25" s="1320"/>
      <c r="AB25" s="1320"/>
      <c r="AC25" s="10"/>
      <c r="AD25" s="431" t="s">
        <v>78</v>
      </c>
      <c r="AE25" s="43"/>
      <c r="AF25" s="178">
        <f>Y26</f>
        <v>3.9300000000000002E-2</v>
      </c>
      <c r="AG25" s="43"/>
      <c r="AH25" s="384">
        <f>AH24*(1+AF25)</f>
        <v>198587.62630866596</v>
      </c>
      <c r="AI25"/>
      <c r="AJ25" s="1319" t="s">
        <v>88</v>
      </c>
      <c r="AK25" s="1319"/>
      <c r="AL25" s="1346"/>
      <c r="AM25" s="1347"/>
      <c r="AN25" s="206">
        <v>3.9300000000000002E-2</v>
      </c>
      <c r="AO25" s="1348" t="s">
        <v>89</v>
      </c>
      <c r="AP25" s="1349"/>
      <c r="AQ25" s="201"/>
      <c r="AR25" s="431"/>
      <c r="AS25" s="43"/>
      <c r="AT25" s="43"/>
      <c r="AU25" s="43"/>
      <c r="AV25" s="432"/>
      <c r="AW25" s="43"/>
      <c r="AX25" s="431" t="s">
        <v>78</v>
      </c>
      <c r="AY25" s="43"/>
      <c r="AZ25" s="178">
        <f>BI26</f>
        <v>3.9300000000000002E-2</v>
      </c>
      <c r="BA25" s="43"/>
      <c r="BB25" s="384">
        <f>BB23*(1+AZ25)</f>
        <v>185136.22909174094</v>
      </c>
      <c r="BC25"/>
      <c r="BD25"/>
      <c r="BE25" s="34"/>
      <c r="BF25" s="1339" t="s">
        <v>86</v>
      </c>
      <c r="BG25" s="1339"/>
      <c r="BH25" s="207"/>
      <c r="BI25" s="1350" t="s">
        <v>82</v>
      </c>
      <c r="BJ25" s="1351"/>
      <c r="BK25" s="208"/>
      <c r="BL25" s="201"/>
      <c r="BM25" s="431"/>
      <c r="BN25" s="43"/>
      <c r="BO25" s="43"/>
      <c r="BP25" s="43"/>
      <c r="BQ25" s="432"/>
      <c r="BR25"/>
      <c r="BS25" s="473"/>
      <c r="BT25" s="209"/>
      <c r="BU25" s="209"/>
      <c r="BV25" s="209"/>
      <c r="BW25" s="474"/>
      <c r="BX25" s="210"/>
      <c r="BY25" s="473"/>
      <c r="BZ25" s="209"/>
      <c r="CA25" s="209"/>
      <c r="CB25" s="209"/>
      <c r="CC25" s="474"/>
      <c r="CE25" s="1352" t="s">
        <v>74</v>
      </c>
      <c r="CF25" s="1352"/>
      <c r="CG25" s="1353">
        <v>10</v>
      </c>
      <c r="CH25" s="1353"/>
      <c r="CI25" s="1344" t="s">
        <v>95</v>
      </c>
      <c r="CJ25" s="1344"/>
      <c r="CK25" s="1345"/>
      <c r="CL25" s="128"/>
      <c r="CM25" s="429" t="s">
        <v>72</v>
      </c>
      <c r="CN25" s="43"/>
      <c r="CO25" s="43"/>
      <c r="CP25" s="43"/>
      <c r="CQ25" s="452">
        <f>SUM(CQ24:CQ24)</f>
        <v>205899.5526926883</v>
      </c>
      <c r="CR25" s="32"/>
      <c r="CS25" s="119"/>
      <c r="CT25" s="133"/>
      <c r="CU25" s="133"/>
      <c r="CV25" s="32"/>
      <c r="CW25" s="198"/>
      <c r="CX25" s="198"/>
      <c r="CY25" s="198"/>
      <c r="CZ25" s="10"/>
      <c r="DA25" s="177"/>
      <c r="DB25" s="385" t="s">
        <v>636</v>
      </c>
      <c r="DC25" s="516"/>
      <c r="DD25" s="517">
        <v>2.6440000000000002E-2</v>
      </c>
      <c r="DE25" s="516"/>
      <c r="DF25" s="538">
        <f>DF24*(DD25+1)</f>
        <v>151.47249246162349</v>
      </c>
      <c r="DG25" s="160"/>
      <c r="DH25"/>
      <c r="DI25"/>
      <c r="DJ25"/>
      <c r="DK25"/>
      <c r="DL25" s="32"/>
      <c r="DM25"/>
      <c r="DN25"/>
      <c r="DO25"/>
      <c r="DP25"/>
      <c r="DQ25" s="385" t="s">
        <v>636</v>
      </c>
      <c r="DR25" s="516"/>
      <c r="DS25" s="517">
        <v>2.6440000000000002E-2</v>
      </c>
      <c r="DT25" s="516"/>
      <c r="DU25" s="539">
        <f>DU24*(DS25+1)</f>
        <v>241.92244120682173</v>
      </c>
      <c r="DV25"/>
      <c r="DW25" s="385" t="s">
        <v>636</v>
      </c>
      <c r="DX25" s="516"/>
      <c r="DY25" s="517">
        <v>2.6440000000000002E-2</v>
      </c>
      <c r="DZ25" s="516"/>
      <c r="EA25" s="784">
        <f>EA24*(DY25+1)</f>
        <v>283.45215125838172</v>
      </c>
      <c r="EB25" s="32"/>
      <c r="EC25"/>
    </row>
    <row r="26" spans="1:133" ht="30" x14ac:dyDescent="0.25">
      <c r="A26" s="1"/>
      <c r="B26" s="810" t="s">
        <v>637</v>
      </c>
      <c r="C26" s="344"/>
      <c r="D26" s="1295">
        <v>2.64E-2</v>
      </c>
      <c r="E26" s="1296"/>
      <c r="F26" s="345"/>
      <c r="G26" s="63"/>
      <c r="H26" s="63"/>
      <c r="I26" s="213"/>
      <c r="J26" s="362" t="s">
        <v>138</v>
      </c>
      <c r="K26" s="18"/>
      <c r="L26" s="530">
        <f>D27</f>
        <v>1.8700000000000001E-2</v>
      </c>
      <c r="M26" s="531"/>
      <c r="N26" s="529">
        <f>(N25-D28)*(L26+1)+D28</f>
        <v>60.268947025440909</v>
      </c>
      <c r="O26" s="214"/>
      <c r="P26" s="362" t="s">
        <v>138</v>
      </c>
      <c r="Q26" s="18"/>
      <c r="R26" s="530">
        <f>D27</f>
        <v>1.8700000000000001E-2</v>
      </c>
      <c r="S26" s="531"/>
      <c r="T26" s="529">
        <f>(T25-D28)*(R26+1)+D28</f>
        <v>106.75860888579174</v>
      </c>
      <c r="U26" s="26"/>
      <c r="V26" s="182"/>
      <c r="W26" s="1333" t="s">
        <v>88</v>
      </c>
      <c r="X26" s="1334"/>
      <c r="Y26" s="1335">
        <v>3.9300000000000002E-2</v>
      </c>
      <c r="Z26" s="1335"/>
      <c r="AA26" s="1320" t="s">
        <v>89</v>
      </c>
      <c r="AB26" s="1320"/>
      <c r="AC26" s="31"/>
      <c r="AD26" s="431"/>
      <c r="AE26" s="43"/>
      <c r="AF26" s="43"/>
      <c r="AG26" s="218"/>
      <c r="AH26" s="453" t="s">
        <v>83</v>
      </c>
      <c r="AI26" s="32"/>
      <c r="AJ26" s="1300" t="s">
        <v>93</v>
      </c>
      <c r="AK26" s="1301"/>
      <c r="AL26" s="1320"/>
      <c r="AM26" s="1320"/>
      <c r="AN26" s="219">
        <v>4.5999999999999999E-2</v>
      </c>
      <c r="AO26" s="1329" t="s">
        <v>97</v>
      </c>
      <c r="AP26" s="1329"/>
      <c r="AQ26" s="201"/>
      <c r="AR26" s="429" t="s">
        <v>72</v>
      </c>
      <c r="AS26" s="43"/>
      <c r="AT26" s="43"/>
      <c r="AU26" s="43"/>
      <c r="AV26" s="452">
        <f>SUM(AV23:AV24)</f>
        <v>188892.99874835424</v>
      </c>
      <c r="AW26" s="43"/>
      <c r="AX26" s="431"/>
      <c r="AY26" s="43"/>
      <c r="AZ26" s="178"/>
      <c r="BA26" s="43"/>
      <c r="BB26" s="384"/>
      <c r="BC26"/>
      <c r="BD26"/>
      <c r="BE26" s="220"/>
      <c r="BF26" s="1319" t="s">
        <v>88</v>
      </c>
      <c r="BG26" s="1319"/>
      <c r="BH26" s="221"/>
      <c r="BI26" s="1335">
        <v>3.9300000000000002E-2</v>
      </c>
      <c r="BJ26" s="1335"/>
      <c r="BK26" s="222" t="s">
        <v>89</v>
      </c>
      <c r="BL26" s="223"/>
      <c r="BM26" s="429" t="s">
        <v>72</v>
      </c>
      <c r="BN26" s="43"/>
      <c r="BO26" s="43"/>
      <c r="BP26" s="43"/>
      <c r="BQ26" s="452">
        <f>SUM(BQ23:BQ24)</f>
        <v>38563.804263790575</v>
      </c>
      <c r="BR26" s="32"/>
      <c r="BS26" s="431" t="s">
        <v>78</v>
      </c>
      <c r="BT26" s="43"/>
      <c r="BU26" s="178">
        <f>BI26</f>
        <v>3.9300000000000002E-2</v>
      </c>
      <c r="BV26" s="43"/>
      <c r="BW26" s="384">
        <f>BW24*(1+BU26)</f>
        <v>69059.80265301012</v>
      </c>
      <c r="BX26" s="201"/>
      <c r="BY26" s="431" t="s">
        <v>78</v>
      </c>
      <c r="BZ26" s="43"/>
      <c r="CA26" s="178">
        <v>3.9300000000000002E-2</v>
      </c>
      <c r="CB26" s="43"/>
      <c r="CC26" s="384">
        <f>CC24*(1+CA26)</f>
        <v>48114.345488450948</v>
      </c>
      <c r="CE26" s="1322" t="s">
        <v>77</v>
      </c>
      <c r="CF26" s="1323"/>
      <c r="CG26" s="1323"/>
      <c r="CH26" s="1323"/>
      <c r="CI26" s="1323"/>
      <c r="CJ26" s="1323"/>
      <c r="CK26" s="1323"/>
      <c r="CL26" s="149"/>
      <c r="CM26" s="431" t="s">
        <v>78</v>
      </c>
      <c r="CN26" s="43"/>
      <c r="CO26" s="178">
        <f>CH28</f>
        <v>3.9300000000000002E-2</v>
      </c>
      <c r="CP26" s="43"/>
      <c r="CQ26" s="384">
        <f>CQ25*(1+CO26)</f>
        <v>213991.40511351093</v>
      </c>
      <c r="CR26" s="32"/>
      <c r="CS26" s="224"/>
      <c r="CT26" s="32"/>
      <c r="CU26" s="32"/>
      <c r="CV26" s="32"/>
      <c r="CW26" s="32"/>
      <c r="CX26" s="32"/>
      <c r="CY26" s="32"/>
      <c r="CZ26" s="20"/>
      <c r="DA26" s="189"/>
      <c r="DB26" s="372" t="s">
        <v>493</v>
      </c>
      <c r="DC26" s="90"/>
      <c r="DD26" s="785">
        <f>D27</f>
        <v>1.8700000000000001E-2</v>
      </c>
      <c r="DE26" s="786"/>
      <c r="DF26" s="787">
        <f>(DF25-D28)*(D27+1)+D28</f>
        <v>154.25061107065585</v>
      </c>
      <c r="DG26" s="160"/>
      <c r="DH26"/>
      <c r="DI26"/>
      <c r="DJ26"/>
      <c r="DK26"/>
      <c r="DL26"/>
      <c r="DM26"/>
      <c r="DN26"/>
      <c r="DO26"/>
      <c r="DP26"/>
      <c r="DQ26" s="372" t="s">
        <v>493</v>
      </c>
      <c r="DR26" s="90"/>
      <c r="DS26" s="785">
        <f>D27</f>
        <v>1.8700000000000001E-2</v>
      </c>
      <c r="DT26" s="786"/>
      <c r="DU26" s="787">
        <f>(DU25-D28)*(D27+1)+D28</f>
        <v>246.39197385738927</v>
      </c>
      <c r="DV26" s="510"/>
      <c r="DW26" s="372" t="s">
        <v>493</v>
      </c>
      <c r="DX26" s="90"/>
      <c r="DY26" s="785">
        <f>D27</f>
        <v>1.8700000000000001E-2</v>
      </c>
      <c r="DZ26" s="786"/>
      <c r="EA26" s="787">
        <f>(EA25-D28)*(D27+1)+D28</f>
        <v>288.69828948691344</v>
      </c>
      <c r="EB26"/>
      <c r="EC26"/>
    </row>
    <row r="27" spans="1:133" ht="30.75" thickBot="1" x14ac:dyDescent="0.3">
      <c r="A27" s="1"/>
      <c r="B27" s="810" t="s">
        <v>493</v>
      </c>
      <c r="C27" s="811"/>
      <c r="D27" s="1302">
        <v>1.8700000000000001E-2</v>
      </c>
      <c r="E27" s="1302"/>
      <c r="F27" s="812"/>
      <c r="G27" s="205"/>
      <c r="H27" s="205"/>
      <c r="I27" s="227"/>
      <c r="J27" s="364"/>
      <c r="K27" s="26"/>
      <c r="L27" s="26"/>
      <c r="M27" s="182"/>
      <c r="N27" s="383"/>
      <c r="O27" s="214"/>
      <c r="P27" s="386"/>
      <c r="Q27" s="28"/>
      <c r="R27" s="357"/>
      <c r="S27" s="358"/>
      <c r="T27" s="387"/>
      <c r="U27" s="26"/>
      <c r="V27" s="182"/>
      <c r="W27" s="1326" t="s">
        <v>93</v>
      </c>
      <c r="X27" s="1301"/>
      <c r="Y27" s="1327">
        <v>4.5999999999999999E-2</v>
      </c>
      <c r="Z27" s="1328"/>
      <c r="AA27" s="1329" t="s">
        <v>97</v>
      </c>
      <c r="AB27" s="1329"/>
      <c r="AC27" s="32"/>
      <c r="AD27" s="431" t="s">
        <v>90</v>
      </c>
      <c r="AE27" s="464"/>
      <c r="AF27" s="464"/>
      <c r="AG27" s="465">
        <f>AH24/AH4</f>
        <v>65.437757206400107</v>
      </c>
      <c r="AH27" s="452">
        <f>AG27*(1+AF25)</f>
        <v>68.009461064611628</v>
      </c>
      <c r="AI27" s="32"/>
      <c r="AJ27" s="224"/>
      <c r="AK27" s="32"/>
      <c r="AL27" s="32"/>
      <c r="AM27" s="32"/>
      <c r="AN27" s="32"/>
      <c r="AO27" s="32"/>
      <c r="AP27" s="32"/>
      <c r="AQ27" s="201"/>
      <c r="AR27" s="473"/>
      <c r="AS27" s="209"/>
      <c r="AT27" s="209"/>
      <c r="AU27" s="209"/>
      <c r="AV27" s="474"/>
      <c r="AW27" s="230"/>
      <c r="AX27" s="431"/>
      <c r="AY27" s="43"/>
      <c r="AZ27" s="43"/>
      <c r="BA27" s="43"/>
      <c r="BB27" s="432"/>
      <c r="BC27"/>
      <c r="BD27"/>
      <c r="BE27" s="74"/>
      <c r="BF27" s="1300" t="s">
        <v>93</v>
      </c>
      <c r="BG27" s="1301"/>
      <c r="BH27" s="231"/>
      <c r="BI27" s="1327">
        <v>4.5999999999999999E-2</v>
      </c>
      <c r="BJ27" s="1327"/>
      <c r="BK27" s="232" t="s">
        <v>97</v>
      </c>
      <c r="BL27" s="233"/>
      <c r="BM27" s="431" t="s">
        <v>78</v>
      </c>
      <c r="BN27" s="43"/>
      <c r="BO27" s="178">
        <f>BI26</f>
        <v>3.9300000000000002E-2</v>
      </c>
      <c r="BP27" s="43"/>
      <c r="BQ27" s="384">
        <f>BQ26*(1+BO27)</f>
        <v>40079.361771357537</v>
      </c>
      <c r="BR27" s="32"/>
      <c r="BS27" s="431"/>
      <c r="BT27" s="43"/>
      <c r="BU27" s="43"/>
      <c r="BV27" s="218"/>
      <c r="BW27" s="495" t="s">
        <v>83</v>
      </c>
      <c r="BX27" s="145"/>
      <c r="BY27" s="431"/>
      <c r="BZ27" s="43"/>
      <c r="CA27" s="43"/>
      <c r="CB27" s="32"/>
      <c r="CC27" s="505" t="s">
        <v>83</v>
      </c>
      <c r="CE27" s="1313" t="s">
        <v>86</v>
      </c>
      <c r="CF27" s="1313"/>
      <c r="CG27" s="207"/>
      <c r="CH27" s="192" t="s">
        <v>82</v>
      </c>
      <c r="CI27" s="1314"/>
      <c r="CJ27" s="1314"/>
      <c r="CK27" s="1315"/>
      <c r="CL27" s="128"/>
      <c r="CM27" s="431"/>
      <c r="CN27" s="43"/>
      <c r="CO27" s="43"/>
      <c r="CP27" s="218"/>
      <c r="CQ27" s="495" t="s">
        <v>83</v>
      </c>
      <c r="CR27" s="32"/>
      <c r="CS27" s="1306"/>
      <c r="CT27" s="1306"/>
      <c r="CU27" s="1306"/>
      <c r="CV27" s="1306"/>
      <c r="CW27" s="1306"/>
      <c r="CX27" s="10"/>
      <c r="CY27" s="10"/>
      <c r="CZ27" s="31"/>
      <c r="DA27" s="201"/>
      <c r="DB27" s="507"/>
      <c r="DC27" s="508"/>
      <c r="DD27" s="509"/>
      <c r="DE27" s="510"/>
      <c r="DF27" s="280"/>
      <c r="DG27" s="134"/>
      <c r="DH27"/>
      <c r="DI27"/>
      <c r="DJ27"/>
      <c r="DK27"/>
      <c r="DL27"/>
      <c r="DM27"/>
      <c r="DN27"/>
      <c r="DO27"/>
      <c r="DP27"/>
      <c r="DQ27" s="507"/>
      <c r="DR27" s="508"/>
      <c r="DS27" s="509"/>
      <c r="DT27" s="510"/>
      <c r="DU27" s="510"/>
      <c r="DV27" s="510"/>
      <c r="DW27" s="507"/>
      <c r="DX27" s="508"/>
      <c r="DY27" s="509"/>
      <c r="DZ27" s="510"/>
      <c r="EB27"/>
      <c r="EC27"/>
    </row>
    <row r="28" spans="1:133" ht="30" customHeight="1" thickBot="1" x14ac:dyDescent="0.3">
      <c r="A28" s="1"/>
      <c r="B28" s="1286" t="s">
        <v>86</v>
      </c>
      <c r="C28" s="1287"/>
      <c r="D28" s="1288">
        <v>2.91</v>
      </c>
      <c r="E28" s="1289"/>
      <c r="F28" s="181" t="s">
        <v>488</v>
      </c>
      <c r="G28" s="213"/>
      <c r="H28" s="213"/>
      <c r="I28" s="227"/>
      <c r="J28" s="412" t="s">
        <v>118</v>
      </c>
      <c r="K28" s="413"/>
      <c r="L28" s="414"/>
      <c r="M28" s="182"/>
      <c r="N28" s="383"/>
      <c r="O28" s="214"/>
      <c r="P28" s="364"/>
      <c r="Q28" s="1290" t="s">
        <v>100</v>
      </c>
      <c r="R28" s="1291"/>
      <c r="S28" s="1292"/>
      <c r="T28" s="365"/>
      <c r="U28" s="26"/>
      <c r="V28" s="182"/>
      <c r="W28" s="182"/>
      <c r="X28" s="218"/>
      <c r="Y28" s="63"/>
      <c r="Z28" s="224"/>
      <c r="AA28" s="32"/>
      <c r="AB28" s="32"/>
      <c r="AC28" s="32"/>
      <c r="AD28" s="463"/>
      <c r="AE28" s="32"/>
      <c r="AF28" s="467"/>
      <c r="AG28" s="466"/>
      <c r="AH28" s="533">
        <f>AH27*(D26+1)+2.91</f>
        <v>72.714910836717365</v>
      </c>
      <c r="AI28" s="245"/>
      <c r="AJ28" s="246"/>
      <c r="AK28" s="245"/>
      <c r="AL28"/>
      <c r="AM28" s="1306"/>
      <c r="AN28" s="1306"/>
      <c r="AO28" s="1306"/>
      <c r="AP28" s="1306"/>
      <c r="AQ28" s="1306"/>
      <c r="AR28" s="431" t="s">
        <v>78</v>
      </c>
      <c r="AS28" s="43"/>
      <c r="AT28" s="178">
        <f>AN25</f>
        <v>3.9300000000000002E-2</v>
      </c>
      <c r="AU28" s="43"/>
      <c r="AV28" s="384">
        <f>AV26*(1+AT28)</f>
        <v>196316.49359916453</v>
      </c>
      <c r="AW28" s="43"/>
      <c r="AX28" s="431"/>
      <c r="AY28" s="43"/>
      <c r="AZ28" s="43"/>
      <c r="BA28" s="218"/>
      <c r="BB28" s="452" t="s">
        <v>83</v>
      </c>
      <c r="BC28" s="74"/>
      <c r="BD28" s="489" t="s">
        <v>77</v>
      </c>
      <c r="BE28" s="489"/>
      <c r="BF28" s="489"/>
      <c r="BG28" s="489"/>
      <c r="BH28" s="489"/>
      <c r="BI28" s="489"/>
      <c r="BJ28" s="489"/>
      <c r="BK28" s="489"/>
      <c r="BL28" s="201"/>
      <c r="BM28" s="431"/>
      <c r="BN28" s="43"/>
      <c r="BO28" s="43"/>
      <c r="BP28" s="218"/>
      <c r="BQ28" s="495" t="s">
        <v>83</v>
      </c>
      <c r="BR28" s="32"/>
      <c r="BS28" s="431"/>
      <c r="BT28" s="43"/>
      <c r="BU28" s="43"/>
      <c r="BV28" s="218"/>
      <c r="BW28" s="453"/>
      <c r="BX28"/>
      <c r="BY28" s="431"/>
      <c r="BZ28" s="43"/>
      <c r="CA28" s="43"/>
      <c r="CB28" s="32"/>
      <c r="CC28" s="455"/>
      <c r="CE28" s="1319" t="s">
        <v>88</v>
      </c>
      <c r="CF28" s="1319"/>
      <c r="CG28" s="221"/>
      <c r="CH28" s="247">
        <v>3.9300000000000002E-2</v>
      </c>
      <c r="CI28" s="1320" t="s">
        <v>89</v>
      </c>
      <c r="CJ28" s="1320"/>
      <c r="CK28" s="1321"/>
      <c r="CL28" s="163"/>
      <c r="CM28" s="431"/>
      <c r="CN28" s="43"/>
      <c r="CO28" s="43"/>
      <c r="CP28" s="218"/>
      <c r="CQ28" s="453"/>
      <c r="CR28" s="32"/>
      <c r="CS28" s="65"/>
      <c r="CT28" s="248"/>
      <c r="CU28" s="249"/>
      <c r="CV28" s="250"/>
      <c r="CW28" s="20"/>
      <c r="CX28" s="20"/>
      <c r="CY28" s="20"/>
      <c r="CZ28" s="31"/>
      <c r="DA28" s="201"/>
      <c r="DB28" s="507"/>
      <c r="DC28" s="511"/>
      <c r="DD28" s="512"/>
      <c r="DE28" s="510"/>
      <c r="DF28" s="280"/>
      <c r="DG28" s="134"/>
      <c r="DH28"/>
      <c r="DI28"/>
      <c r="DJ28"/>
      <c r="DK28"/>
      <c r="DL28"/>
      <c r="DM28"/>
      <c r="DN28"/>
      <c r="DO28"/>
      <c r="DP28"/>
      <c r="DQ28" s="507"/>
      <c r="DR28" s="511"/>
      <c r="DS28" s="512"/>
      <c r="DT28" s="510"/>
      <c r="DU28" s="510"/>
      <c r="DV28" s="510"/>
      <c r="DW28" s="507"/>
      <c r="DX28" s="511"/>
      <c r="DY28" s="512"/>
      <c r="DZ28" s="510"/>
      <c r="EB28" s="32"/>
      <c r="EC28"/>
    </row>
    <row r="29" spans="1:133" ht="27" thickBot="1" x14ac:dyDescent="0.3">
      <c r="A29" s="1"/>
      <c r="E29" s="239"/>
      <c r="F29" s="227"/>
      <c r="G29" s="227"/>
      <c r="H29" s="227"/>
      <c r="I29" s="213"/>
      <c r="J29" s="398"/>
      <c r="K29" s="285" t="s">
        <v>102</v>
      </c>
      <c r="L29" s="415" t="s">
        <v>103</v>
      </c>
      <c r="M29" s="182"/>
      <c r="N29" s="383"/>
      <c r="O29" s="214"/>
      <c r="P29" s="364"/>
      <c r="Q29" s="240"/>
      <c r="R29" s="241" t="s">
        <v>102</v>
      </c>
      <c r="S29" s="244" t="s">
        <v>103</v>
      </c>
      <c r="T29" s="365"/>
      <c r="U29" s="26"/>
      <c r="V29" s="182"/>
      <c r="W29" s="182"/>
      <c r="X29" s="218"/>
      <c r="Y29" s="63"/>
      <c r="Z29" s="133"/>
      <c r="AA29" s="259"/>
      <c r="AB29" s="260"/>
      <c r="AC29" s="250"/>
      <c r="AD29" s="362" t="s">
        <v>493</v>
      </c>
      <c r="AE29" s="18"/>
      <c r="AF29" s="530">
        <f>D27</f>
        <v>1.8700000000000001E-2</v>
      </c>
      <c r="AG29" s="531"/>
      <c r="AH29" s="529">
        <f>(AH28-D28)*(D27+1)+D28</f>
        <v>74.020262669363973</v>
      </c>
      <c r="AI29" s="32"/>
      <c r="AJ29" s="343"/>
      <c r="AK29"/>
      <c r="AL29"/>
      <c r="AM29" s="65"/>
      <c r="AN29" s="248"/>
      <c r="AO29" s="249"/>
      <c r="AP29" s="250"/>
      <c r="AQ29" s="20"/>
      <c r="AR29" s="431"/>
      <c r="AS29" s="43"/>
      <c r="AT29" s="178"/>
      <c r="AU29" s="43"/>
      <c r="AV29" s="384"/>
      <c r="AW29" s="263"/>
      <c r="AX29" s="431"/>
      <c r="AY29" s="43"/>
      <c r="AZ29" s="43"/>
      <c r="BA29" s="218"/>
      <c r="BB29" s="484"/>
      <c r="BC29" s="74"/>
      <c r="BD29" s="65"/>
      <c r="BE29" s="248"/>
      <c r="BF29" s="249"/>
      <c r="BG29" s="250"/>
      <c r="BH29" s="250"/>
      <c r="BI29" s="250"/>
      <c r="BJ29" s="250"/>
      <c r="BK29" s="20"/>
      <c r="BL29" s="210"/>
      <c r="BM29" s="431"/>
      <c r="BN29" s="43"/>
      <c r="BO29" s="43"/>
      <c r="BP29" s="218"/>
      <c r="BQ29" s="453"/>
      <c r="BR29" s="32"/>
      <c r="BS29" s="500" t="s">
        <v>90</v>
      </c>
      <c r="BT29" s="202"/>
      <c r="BU29" s="202"/>
      <c r="BV29" s="264">
        <f>BW24/BW4</f>
        <v>182.05035964146083</v>
      </c>
      <c r="BW29" s="501">
        <f>BV29*(1+BU26)</f>
        <v>189.20493877537021</v>
      </c>
      <c r="BX29"/>
      <c r="BY29" s="431" t="s">
        <v>90</v>
      </c>
      <c r="BZ29" s="43"/>
      <c r="CA29" s="43"/>
      <c r="CB29" s="218">
        <f>CC24/CC5</f>
        <v>126.83548987385069</v>
      </c>
      <c r="CC29" s="452">
        <f>CB29*(1+CA26)+3.29</f>
        <v>135.11012462589301</v>
      </c>
      <c r="CE29" s="1300" t="s">
        <v>93</v>
      </c>
      <c r="CF29" s="1301"/>
      <c r="CG29" s="231"/>
      <c r="CH29" s="219">
        <v>4.5999999999999999E-2</v>
      </c>
      <c r="CI29" s="1329" t="s">
        <v>97</v>
      </c>
      <c r="CJ29" s="1329"/>
      <c r="CK29" s="1336"/>
      <c r="CL29" s="56"/>
      <c r="CM29" s="431" t="s">
        <v>90</v>
      </c>
      <c r="CN29" s="43"/>
      <c r="CO29" s="43"/>
      <c r="CP29" s="218">
        <f>CQ25/CQ4</f>
        <v>70.513545442701471</v>
      </c>
      <c r="CQ29" s="452">
        <f>CP29*(1+$CO$26)</f>
        <v>73.284727778599631</v>
      </c>
      <c r="CR29" s="32"/>
      <c r="CS29" s="133"/>
      <c r="CT29" s="259"/>
      <c r="CU29" s="260"/>
      <c r="CV29" s="250"/>
      <c r="CW29" s="31"/>
      <c r="CX29" s="31"/>
      <c r="CY29" s="31"/>
      <c r="CZ29" s="20"/>
      <c r="DA29" s="201"/>
      <c r="DB29" s="513"/>
      <c r="DC29" s="514"/>
      <c r="DD29" s="514"/>
      <c r="DE29" s="515"/>
      <c r="DF29" s="280"/>
      <c r="DG29" s="168"/>
      <c r="DH29"/>
      <c r="DI29"/>
      <c r="DJ29"/>
      <c r="DK29"/>
      <c r="DL29"/>
      <c r="DM29"/>
      <c r="DN29"/>
      <c r="DO29"/>
      <c r="DP29"/>
      <c r="DQ29" s="513"/>
      <c r="DR29" s="523"/>
      <c r="DS29" s="514"/>
      <c r="DT29" s="515"/>
      <c r="DU29" s="510"/>
      <c r="DV29" s="510"/>
      <c r="DW29" s="513"/>
      <c r="DX29" s="514"/>
      <c r="DY29" s="514"/>
      <c r="DZ29" s="515"/>
      <c r="EB29" s="32"/>
      <c r="EC29"/>
    </row>
    <row r="30" spans="1:133" ht="45.75" thickBot="1" x14ac:dyDescent="0.3">
      <c r="A30" s="1"/>
      <c r="E30" s="239"/>
      <c r="F30" s="227"/>
      <c r="G30" s="227"/>
      <c r="H30" s="227"/>
      <c r="I30" s="267"/>
      <c r="J30" s="404" t="s">
        <v>106</v>
      </c>
      <c r="K30" s="255">
        <v>17.88</v>
      </c>
      <c r="L30" s="416">
        <v>25.16</v>
      </c>
      <c r="M30" s="182"/>
      <c r="N30" s="383"/>
      <c r="O30" s="214"/>
      <c r="P30" s="364"/>
      <c r="Q30" s="234" t="s">
        <v>106</v>
      </c>
      <c r="R30" s="255">
        <v>17.88</v>
      </c>
      <c r="S30" s="351">
        <f>L30</f>
        <v>25.16</v>
      </c>
      <c r="T30" s="365"/>
      <c r="U30" s="26"/>
      <c r="V30" s="182"/>
      <c r="W30" s="182"/>
      <c r="X30" s="218"/>
      <c r="Y30" s="63"/>
      <c r="Z30" s="133"/>
      <c r="AA30" s="259"/>
      <c r="AB30" s="260"/>
      <c r="AC30" s="250"/>
      <c r="AD30" s="454"/>
      <c r="AE30" s="20"/>
      <c r="AF30" s="63"/>
      <c r="AG30" s="272"/>
      <c r="AH30" s="455"/>
      <c r="AI30" s="32"/>
      <c r="AJ30" s="343"/>
      <c r="AK30"/>
      <c r="AL30"/>
      <c r="AM30" s="133"/>
      <c r="AN30" s="259"/>
      <c r="AO30" s="260"/>
      <c r="AP30" s="250"/>
      <c r="AQ30" s="31"/>
      <c r="AR30" s="431"/>
      <c r="AS30" s="43"/>
      <c r="AT30" s="43"/>
      <c r="AU30" s="43"/>
      <c r="AV30" s="432"/>
      <c r="AW30" s="263"/>
      <c r="AX30" s="431" t="s">
        <v>90</v>
      </c>
      <c r="AY30" s="43"/>
      <c r="AZ30" s="43"/>
      <c r="BA30" s="218">
        <f>BB23/BB3</f>
        <v>97.608495228870311</v>
      </c>
      <c r="BB30" s="452">
        <f>BA30*(1+AZ25)+14</f>
        <v>115.44450909136491</v>
      </c>
      <c r="BC30" s="74"/>
      <c r="BD30" s="133"/>
      <c r="BE30" s="259"/>
      <c r="BF30" s="260"/>
      <c r="BG30" s="250"/>
      <c r="BH30" s="250"/>
      <c r="BI30" s="250"/>
      <c r="BJ30" s="250"/>
      <c r="BK30" s="31"/>
      <c r="BL30" s="201"/>
      <c r="BM30" s="431" t="s">
        <v>90</v>
      </c>
      <c r="BN30" s="43"/>
      <c r="BO30" s="43"/>
      <c r="BP30" s="218">
        <f>BQ26/BQ4</f>
        <v>105.65425825696047</v>
      </c>
      <c r="BQ30" s="452">
        <f>BP30*(1+BO27)</f>
        <v>109.80647060645902</v>
      </c>
      <c r="BR30" s="32"/>
      <c r="BS30" s="385" t="s">
        <v>636</v>
      </c>
      <c r="BT30" s="176"/>
      <c r="BU30" s="481">
        <v>2.6440000000000002E-2</v>
      </c>
      <c r="BV30" s="482"/>
      <c r="BW30" s="537">
        <f>BW29*(BU30+1)+2.91</f>
        <v>197.11751735659101</v>
      </c>
      <c r="BX30"/>
      <c r="BY30" s="385" t="s">
        <v>636</v>
      </c>
      <c r="BZ30" s="490"/>
      <c r="CA30" s="491">
        <f>BU30</f>
        <v>2.6440000000000002E-2</v>
      </c>
      <c r="CB30" s="492"/>
      <c r="CC30" s="536">
        <f>CC29*(CA30+1)</f>
        <v>138.68243632100163</v>
      </c>
      <c r="CE30" s="224"/>
      <c r="CF30" s="32"/>
      <c r="CG30" s="32"/>
      <c r="CH30" s="32"/>
      <c r="CI30" s="32"/>
      <c r="CJ30" s="32"/>
      <c r="CK30" s="32"/>
      <c r="CL30" s="145"/>
      <c r="CM30" s="385" t="s">
        <v>636</v>
      </c>
      <c r="CN30" s="176"/>
      <c r="CO30" s="481">
        <f>CA30</f>
        <v>2.6440000000000002E-2</v>
      </c>
      <c r="CP30" s="482"/>
      <c r="CQ30" s="537">
        <f>CQ29*(CO30+1) + 2.92</f>
        <v>78.142375981065811</v>
      </c>
      <c r="CR30" s="32"/>
      <c r="CS30" s="133"/>
      <c r="CT30" s="259"/>
      <c r="CU30" s="260"/>
      <c r="CV30" s="250"/>
      <c r="CW30" s="31"/>
      <c r="CX30" s="31"/>
      <c r="CY30" s="31"/>
      <c r="CZ30" s="60"/>
      <c r="DA30" s="201"/>
      <c r="DB30" s="510"/>
      <c r="DC30" s="510"/>
      <c r="DD30" s="510"/>
      <c r="DE30" s="510"/>
      <c r="DF30" s="510"/>
      <c r="DG30" s="168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</row>
    <row r="31" spans="1:133" ht="15.75" thickBot="1" x14ac:dyDescent="0.3">
      <c r="A31" s="1"/>
      <c r="E31" s="239"/>
      <c r="F31" s="213"/>
      <c r="G31" s="213"/>
      <c r="H31" s="213"/>
      <c r="I31" s="238"/>
      <c r="J31" s="401" t="s">
        <v>122</v>
      </c>
      <c r="K31" s="255">
        <f>K32-K30</f>
        <v>7.120000000000001</v>
      </c>
      <c r="L31" s="416">
        <f>K31*1.046*(D26+1)*(1.87%+1)</f>
        <v>7.7870798436736006</v>
      </c>
      <c r="M31" s="182"/>
      <c r="N31" s="383"/>
      <c r="O31" s="214"/>
      <c r="P31" s="364"/>
      <c r="Q31" s="268" t="s">
        <v>111</v>
      </c>
      <c r="R31" s="255">
        <f>R32-R30</f>
        <v>62.120000000000005</v>
      </c>
      <c r="S31" s="269">
        <f>R31*1.046*(D27+1)</f>
        <v>66.19259962400001</v>
      </c>
      <c r="T31" s="365"/>
      <c r="U31" s="218"/>
      <c r="V31" s="63"/>
      <c r="W31" s="32"/>
      <c r="X31" s="32"/>
      <c r="Y31" s="32"/>
      <c r="Z31" s="32"/>
      <c r="AA31" s="32"/>
      <c r="AB31" s="32"/>
      <c r="AD31" s="456"/>
      <c r="AE31" s="32"/>
      <c r="AF31" s="32"/>
      <c r="AG31" s="343"/>
      <c r="AH31" s="455"/>
      <c r="AI31"/>
      <c r="AJ31" s="133"/>
      <c r="AK31" s="259"/>
      <c r="AL31" s="260"/>
      <c r="AM31" s="250"/>
      <c r="AN31" s="31"/>
      <c r="AO31" s="31"/>
      <c r="AP31" s="31"/>
      <c r="AQ31" s="276"/>
      <c r="AR31" s="431"/>
      <c r="AS31" s="43"/>
      <c r="AT31" s="43"/>
      <c r="AU31" s="32"/>
      <c r="AV31" s="475" t="s">
        <v>83</v>
      </c>
      <c r="AW31" s="43"/>
      <c r="AX31" s="385" t="s">
        <v>636</v>
      </c>
      <c r="AY31" s="176"/>
      <c r="AZ31" s="481">
        <v>2.64E-2</v>
      </c>
      <c r="BA31" s="482"/>
      <c r="BB31" s="535">
        <f>BB30*(AZ31+1)</f>
        <v>118.49224413137694</v>
      </c>
      <c r="BC31" s="480"/>
      <c r="BD31"/>
      <c r="BE31" s="74"/>
      <c r="BF31" s="133"/>
      <c r="BG31" s="259"/>
      <c r="BH31" s="260"/>
      <c r="BI31" s="250"/>
      <c r="BJ31" s="250"/>
      <c r="BK31" s="31"/>
      <c r="BL31" s="276"/>
      <c r="BM31" s="385" t="s">
        <v>636</v>
      </c>
      <c r="BN31" s="490"/>
      <c r="BO31" s="491">
        <v>2.64E-2</v>
      </c>
      <c r="BP31" s="492"/>
      <c r="BQ31" s="536">
        <f>BQ30*(BO31+1)+2.91</f>
        <v>115.61536143046953</v>
      </c>
      <c r="BR31"/>
      <c r="BS31" s="362" t="s">
        <v>493</v>
      </c>
      <c r="BT31" s="18"/>
      <c r="BU31" s="530">
        <f>D27</f>
        <v>1.8700000000000001E-2</v>
      </c>
      <c r="BV31" s="531"/>
      <c r="BW31" s="529">
        <f>(BW30-D28)*(D27+1)+D28</f>
        <v>200.74919793115924</v>
      </c>
      <c r="BX31"/>
      <c r="BY31" s="362" t="s">
        <v>493</v>
      </c>
      <c r="BZ31" s="18"/>
      <c r="CA31" s="530">
        <f>D27</f>
        <v>1.8700000000000001E-2</v>
      </c>
      <c r="CB31" s="531"/>
      <c r="CC31" s="529">
        <f>CC30*(CA31+1)</f>
        <v>141.27579788020435</v>
      </c>
      <c r="CE31" s="1306"/>
      <c r="CF31" s="1306"/>
      <c r="CG31" s="1306"/>
      <c r="CH31" s="1306"/>
      <c r="CI31" s="1306"/>
      <c r="CJ31" s="10"/>
      <c r="CK31" s="10"/>
      <c r="CL31"/>
      <c r="CM31" s="362" t="s">
        <v>493</v>
      </c>
      <c r="CN31" s="18"/>
      <c r="CO31" s="530">
        <f>D27</f>
        <v>1.8700000000000001E-2</v>
      </c>
      <c r="CP31" s="531"/>
      <c r="CQ31" s="529">
        <f>(CQ30-D28)*(D27+1)+D28</f>
        <v>79.549221411911731</v>
      </c>
      <c r="CR31"/>
      <c r="CS31" s="133"/>
      <c r="CT31" s="259"/>
      <c r="CU31" s="260"/>
      <c r="CV31" s="250"/>
      <c r="CW31" s="20"/>
      <c r="CX31" s="20"/>
      <c r="CY31" s="20"/>
      <c r="CZ31" s="65"/>
      <c r="DA31" s="210"/>
      <c r="DB31"/>
      <c r="DC31"/>
      <c r="DD31"/>
      <c r="DE31"/>
      <c r="DF31"/>
      <c r="DG31" s="168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C31"/>
    </row>
    <row r="32" spans="1:133" ht="15.75" thickBot="1" x14ac:dyDescent="0.3">
      <c r="A32" s="1"/>
      <c r="E32" s="278"/>
      <c r="F32" s="267"/>
      <c r="G32" s="267"/>
      <c r="H32" s="267"/>
      <c r="I32" s="238"/>
      <c r="J32" s="417"/>
      <c r="K32" s="418">
        <v>25</v>
      </c>
      <c r="L32" s="419">
        <f>SUM(L30:L31)</f>
        <v>32.947079843673599</v>
      </c>
      <c r="M32" s="182"/>
      <c r="N32" s="383"/>
      <c r="O32" s="214"/>
      <c r="P32" s="364"/>
      <c r="Q32" s="274"/>
      <c r="R32" s="275">
        <v>80</v>
      </c>
      <c r="S32" s="352">
        <f>SUM(S30:S31)</f>
        <v>91.352599624000007</v>
      </c>
      <c r="T32" s="365"/>
      <c r="U32" s="166"/>
      <c r="AD32" s="456"/>
      <c r="AE32" s="32"/>
      <c r="AF32" s="32"/>
      <c r="AG32" s="343"/>
      <c r="AH32" s="455"/>
      <c r="AI32"/>
      <c r="AJ32" s="133"/>
      <c r="AK32" s="259"/>
      <c r="AL32" s="260"/>
      <c r="AM32" s="250"/>
      <c r="AN32" s="20"/>
      <c r="AO32" s="20"/>
      <c r="AP32" s="20"/>
      <c r="AQ32" s="145"/>
      <c r="AR32" s="431"/>
      <c r="AS32" s="43"/>
      <c r="AT32" s="43"/>
      <c r="AU32" s="32"/>
      <c r="AV32" s="476"/>
      <c r="AW32"/>
      <c r="AX32" s="362" t="s">
        <v>138</v>
      </c>
      <c r="AY32" s="18"/>
      <c r="AZ32" s="530">
        <f>D27</f>
        <v>1.8700000000000001E-2</v>
      </c>
      <c r="BA32" s="531"/>
      <c r="BB32" s="529">
        <f>(BB31-D28)*(D27+1)+D28+0.01</f>
        <v>120.66363209663368</v>
      </c>
      <c r="BC32" s="480"/>
      <c r="BD32"/>
      <c r="BE32" s="74"/>
      <c r="BF32" s="133"/>
      <c r="BG32" s="259"/>
      <c r="BH32" s="260"/>
      <c r="BI32" s="250"/>
      <c r="BJ32" s="250"/>
      <c r="BK32" s="20"/>
      <c r="BL32" s="145"/>
      <c r="BM32" s="362" t="s">
        <v>493</v>
      </c>
      <c r="BN32" s="18"/>
      <c r="BO32" s="530">
        <f>D27</f>
        <v>1.8700000000000001E-2</v>
      </c>
      <c r="BP32" s="531"/>
      <c r="BQ32" s="529">
        <f>(BQ31-D28)*(D27+1)+D28+0.01</f>
        <v>117.73295168921931</v>
      </c>
      <c r="BR32"/>
      <c r="BS32" s="431"/>
      <c r="BT32" s="43"/>
      <c r="BU32" s="43"/>
      <c r="BV32" s="218"/>
      <c r="BW32" s="452"/>
      <c r="BX32"/>
      <c r="BY32" s="431"/>
      <c r="BZ32" s="43"/>
      <c r="CA32" s="43"/>
      <c r="CB32" s="218"/>
      <c r="CC32" s="452"/>
      <c r="CE32" s="65"/>
      <c r="CF32" s="248"/>
      <c r="CG32" s="249"/>
      <c r="CH32" s="250"/>
      <c r="CI32" s="20"/>
      <c r="CJ32" s="20"/>
      <c r="CK32" s="20"/>
      <c r="CL32"/>
      <c r="CM32" s="431"/>
      <c r="CN32" s="43"/>
      <c r="CO32" s="43"/>
      <c r="CP32" s="218"/>
      <c r="CQ32" s="452"/>
      <c r="CR32"/>
      <c r="CS32" s="281"/>
      <c r="CT32" s="259"/>
      <c r="CU32" s="260"/>
      <c r="CV32" s="282"/>
      <c r="CW32" s="60"/>
      <c r="CX32" s="60"/>
      <c r="CY32" s="60"/>
      <c r="CZ32" s="65"/>
      <c r="DA32" s="201"/>
      <c r="DB32" s="211"/>
      <c r="DC32"/>
      <c r="DD32"/>
      <c r="DE32"/>
      <c r="DF32"/>
      <c r="DG32" s="168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C32"/>
    </row>
    <row r="33" spans="1:133" ht="24.75" customHeight="1" thickBot="1" x14ac:dyDescent="0.3">
      <c r="A33" s="1"/>
      <c r="E33" s="284"/>
      <c r="F33" s="238"/>
      <c r="G33" s="238"/>
      <c r="H33" s="238"/>
      <c r="I33" s="259"/>
      <c r="J33" s="397"/>
      <c r="K33" s="342"/>
      <c r="L33" s="26"/>
      <c r="M33" s="182"/>
      <c r="N33" s="383"/>
      <c r="O33" s="214"/>
      <c r="P33" s="364"/>
      <c r="Q33" s="26"/>
      <c r="R33" s="26"/>
      <c r="S33" s="182"/>
      <c r="T33" s="383"/>
      <c r="U33" s="217"/>
      <c r="AD33" s="1297" t="s">
        <v>133</v>
      </c>
      <c r="AE33" s="1298"/>
      <c r="AF33" s="1299"/>
      <c r="AG33" s="343"/>
      <c r="AH33" s="455"/>
      <c r="AI33"/>
      <c r="AJ33" s="281"/>
      <c r="AK33" s="259"/>
      <c r="AL33" s="260"/>
      <c r="AM33" s="282"/>
      <c r="AN33" s="60"/>
      <c r="AO33" s="60"/>
      <c r="AP33" s="60"/>
      <c r="AQ33" s="145"/>
      <c r="AR33" s="431" t="s">
        <v>90</v>
      </c>
      <c r="AS33" s="43"/>
      <c r="AT33" s="43"/>
      <c r="AU33" s="218">
        <f>AV26/AV4</f>
        <v>64.689383132998032</v>
      </c>
      <c r="AV33" s="452">
        <f>AU33*(1+AT28)</f>
        <v>67.231675890124848</v>
      </c>
      <c r="AW33" s="32"/>
      <c r="AX33" s="431"/>
      <c r="AY33" s="43"/>
      <c r="AZ33" s="43"/>
      <c r="BA33" s="218"/>
      <c r="BB33" s="452"/>
      <c r="BC33" s="480"/>
      <c r="BD33"/>
      <c r="BE33" s="74"/>
      <c r="BF33" s="281"/>
      <c r="BG33" s="259"/>
      <c r="BH33" s="260"/>
      <c r="BI33" s="282"/>
      <c r="BJ33" s="282"/>
      <c r="BK33" s="60"/>
      <c r="BL33" s="145"/>
      <c r="BM33" s="431"/>
      <c r="BN33" s="43"/>
      <c r="BO33" s="43"/>
      <c r="BP33" s="218"/>
      <c r="BQ33" s="452"/>
      <c r="BR33"/>
      <c r="BS33" s="431"/>
      <c r="BT33" s="43"/>
      <c r="BU33" s="43"/>
      <c r="BV33" s="218"/>
      <c r="BW33" s="452"/>
      <c r="BY33" s="431"/>
      <c r="BZ33" s="43"/>
      <c r="CA33" s="43"/>
      <c r="CB33" s="218"/>
      <c r="CC33" s="452"/>
      <c r="CE33" s="133"/>
      <c r="CF33" s="259"/>
      <c r="CG33" s="260"/>
      <c r="CH33" s="250"/>
      <c r="CI33" s="31"/>
      <c r="CJ33" s="31"/>
      <c r="CK33" s="31"/>
      <c r="CL33"/>
      <c r="CM33" s="456"/>
      <c r="CN33" s="32"/>
      <c r="CO33" s="32"/>
      <c r="CP33" s="273"/>
      <c r="CQ33" s="455"/>
      <c r="CR33"/>
      <c r="CS33"/>
      <c r="CT33"/>
      <c r="CU33"/>
      <c r="CV33"/>
      <c r="CW33"/>
      <c r="CX33"/>
      <c r="CY33"/>
      <c r="CZ33"/>
      <c r="DA33" s="276"/>
      <c r="DE33"/>
      <c r="DF33"/>
      <c r="DG33" s="168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C33"/>
    </row>
    <row r="34" spans="1:133" ht="23.25" customHeight="1" thickBot="1" x14ac:dyDescent="0.3">
      <c r="A34" s="1"/>
      <c r="B34" s="24"/>
      <c r="C34" s="253"/>
      <c r="D34" s="254"/>
      <c r="E34" s="284"/>
      <c r="F34" s="238"/>
      <c r="G34" s="238"/>
      <c r="H34" s="238"/>
      <c r="I34" s="32"/>
      <c r="J34" s="1307" t="s">
        <v>132</v>
      </c>
      <c r="K34" s="1291"/>
      <c r="L34" s="1292"/>
      <c r="M34" s="228"/>
      <c r="N34" s="399"/>
      <c r="O34" s="214"/>
      <c r="P34" s="388"/>
      <c r="Q34" s="389"/>
      <c r="R34" s="389"/>
      <c r="S34" s="390"/>
      <c r="T34" s="391"/>
      <c r="AD34" s="421"/>
      <c r="AE34" s="261" t="s">
        <v>102</v>
      </c>
      <c r="AF34" s="422" t="s">
        <v>103</v>
      </c>
      <c r="AG34" s="32"/>
      <c r="AH34" s="455"/>
      <c r="AI34"/>
      <c r="AJ34"/>
      <c r="AK34"/>
      <c r="AL34"/>
      <c r="AM34"/>
      <c r="AN34"/>
      <c r="AO34"/>
      <c r="AP34"/>
      <c r="AQ34"/>
      <c r="AR34" s="385" t="s">
        <v>636</v>
      </c>
      <c r="AS34" s="468"/>
      <c r="AT34" s="469">
        <v>2.64E-2</v>
      </c>
      <c r="AU34" s="470"/>
      <c r="AV34" s="534">
        <f>AV33*(AT34+1)+2.91</f>
        <v>71.916592133624135</v>
      </c>
      <c r="AW34" s="230"/>
      <c r="AX34" s="456"/>
      <c r="AY34" s="32"/>
      <c r="AZ34" s="32"/>
      <c r="BA34" s="273"/>
      <c r="BB34" s="455"/>
      <c r="BC34"/>
      <c r="BD34"/>
      <c r="BE34" s="74"/>
      <c r="BF34"/>
      <c r="BG34"/>
      <c r="BH34"/>
      <c r="BI34"/>
      <c r="BJ34"/>
      <c r="BK34"/>
      <c r="BL34"/>
      <c r="BM34" s="431"/>
      <c r="BN34" s="43"/>
      <c r="BO34" s="43"/>
      <c r="BP34" s="218"/>
      <c r="BQ34" s="452"/>
      <c r="BR34"/>
      <c r="BS34" s="431"/>
      <c r="BT34" s="43"/>
      <c r="BU34" s="43"/>
      <c r="BV34" s="218"/>
      <c r="BW34" s="452"/>
      <c r="BY34" s="431"/>
      <c r="BZ34" s="43"/>
      <c r="CA34" s="43"/>
      <c r="CB34" s="218"/>
      <c r="CC34" s="452"/>
      <c r="CE34" s="133"/>
      <c r="CF34" s="259"/>
      <c r="CG34" s="260"/>
      <c r="CH34" s="250"/>
      <c r="CI34" s="31"/>
      <c r="CJ34" s="31"/>
      <c r="CK34" s="31"/>
      <c r="CL34"/>
      <c r="CM34" s="456"/>
      <c r="CN34" s="32"/>
      <c r="CO34" s="32"/>
      <c r="CP34" s="32"/>
      <c r="CQ34" s="455"/>
      <c r="CR34"/>
      <c r="CS34"/>
      <c r="CT34"/>
      <c r="CU34"/>
      <c r="CV34"/>
      <c r="CW34"/>
      <c r="CX34"/>
      <c r="CY34"/>
      <c r="CZ34"/>
      <c r="DA34" s="145"/>
      <c r="DE34"/>
      <c r="DF34"/>
      <c r="DG34" s="32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C34"/>
    </row>
    <row r="35" spans="1:133" ht="29.45" customHeight="1" thickBot="1" x14ac:dyDescent="0.3">
      <c r="A35" s="1"/>
      <c r="B35" s="24"/>
      <c r="C35" s="253"/>
      <c r="D35" s="254"/>
      <c r="E35" s="284"/>
      <c r="F35" s="238"/>
      <c r="G35" s="238"/>
      <c r="H35" s="238"/>
      <c r="J35" s="398"/>
      <c r="K35" s="241" t="s">
        <v>102</v>
      </c>
      <c r="L35" s="242" t="s">
        <v>103</v>
      </c>
      <c r="M35" s="228"/>
      <c r="N35" s="399"/>
      <c r="O35" s="28"/>
      <c r="P35" s="186"/>
      <c r="Q35" s="28"/>
      <c r="R35" s="28"/>
      <c r="S35" s="215"/>
      <c r="T35" s="216"/>
      <c r="AD35" s="401" t="s">
        <v>112</v>
      </c>
      <c r="AE35" s="255">
        <v>17.88</v>
      </c>
      <c r="AF35" s="423">
        <f>S30</f>
        <v>25.16</v>
      </c>
      <c r="AG35" s="32"/>
      <c r="AH35" s="455"/>
      <c r="AI35"/>
      <c r="AJ35"/>
      <c r="AK35"/>
      <c r="AL35"/>
      <c r="AM35"/>
      <c r="AN35"/>
      <c r="AO35"/>
      <c r="AP35"/>
      <c r="AQ35"/>
      <c r="AR35" s="362" t="s">
        <v>138</v>
      </c>
      <c r="AS35" s="18"/>
      <c r="AT35" s="530">
        <f>D27</f>
        <v>1.8700000000000001E-2</v>
      </c>
      <c r="AU35" s="531"/>
      <c r="AV35" s="529">
        <f>(AV34-D28)*(D27+1)+D28</f>
        <v>73.207015406522899</v>
      </c>
      <c r="AW35" s="32"/>
      <c r="AX35" s="456"/>
      <c r="AY35" s="32"/>
      <c r="AZ35" s="32"/>
      <c r="BA35" s="32"/>
      <c r="BB35" s="455"/>
      <c r="BC35"/>
      <c r="BD35"/>
      <c r="BE35" s="74"/>
      <c r="BF35"/>
      <c r="BG35"/>
      <c r="BH35"/>
      <c r="BI35"/>
      <c r="BJ35"/>
      <c r="BK35"/>
      <c r="BL35"/>
      <c r="BM35" s="431"/>
      <c r="BN35" s="43"/>
      <c r="BO35" s="43"/>
      <c r="BP35" s="218"/>
      <c r="BQ35" s="452"/>
      <c r="BR35"/>
      <c r="BS35" s="1310" t="s">
        <v>136</v>
      </c>
      <c r="BT35" s="1311"/>
      <c r="BU35" s="1311"/>
      <c r="BV35" s="1311"/>
      <c r="BW35" s="455"/>
      <c r="BY35" s="1310" t="s">
        <v>137</v>
      </c>
      <c r="BZ35" s="1311"/>
      <c r="CA35" s="1311"/>
      <c r="CB35" s="1311"/>
      <c r="CC35" s="1312"/>
      <c r="CE35" s="133"/>
      <c r="CF35" s="259"/>
      <c r="CG35" s="260"/>
      <c r="CH35" s="250"/>
      <c r="CI35" s="20"/>
      <c r="CJ35" s="20"/>
      <c r="CK35" s="20"/>
      <c r="CL35"/>
      <c r="CM35" s="421"/>
      <c r="CN35" s="261" t="s">
        <v>102</v>
      </c>
      <c r="CO35" s="262" t="s">
        <v>103</v>
      </c>
      <c r="CP35" s="32"/>
      <c r="CQ35" s="455"/>
      <c r="CR35"/>
      <c r="CS35"/>
      <c r="CT35"/>
      <c r="CU35"/>
      <c r="CV35"/>
      <c r="CW35"/>
      <c r="CX35"/>
      <c r="CY35"/>
      <c r="CZ35"/>
      <c r="DA35" s="145"/>
      <c r="DE35"/>
      <c r="DF35"/>
      <c r="DG35" s="32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</row>
    <row r="36" spans="1:133" ht="26.25" x14ac:dyDescent="0.25">
      <c r="A36" s="1"/>
      <c r="B36" s="24"/>
      <c r="C36" s="253"/>
      <c r="D36" s="254"/>
      <c r="E36" s="239"/>
      <c r="F36" s="238"/>
      <c r="G36" s="238"/>
      <c r="H36" s="238"/>
      <c r="J36" s="400" t="s">
        <v>106</v>
      </c>
      <c r="K36" s="255">
        <v>17.88</v>
      </c>
      <c r="L36" s="351">
        <f>L30</f>
        <v>25.16</v>
      </c>
      <c r="M36" s="63"/>
      <c r="N36" s="402"/>
      <c r="O36" s="243"/>
      <c r="P36" s="1330" t="s">
        <v>96</v>
      </c>
      <c r="Q36" s="1331"/>
      <c r="R36" s="1332"/>
      <c r="AD36" s="401" t="s">
        <v>111</v>
      </c>
      <c r="AE36" s="255">
        <f>AE37-AE35</f>
        <v>52.120000000000005</v>
      </c>
      <c r="AF36" s="424">
        <f>AE36*1.046*(D27+1)</f>
        <v>55.536997624000001</v>
      </c>
      <c r="AG36" s="32"/>
      <c r="AH36" s="455"/>
      <c r="AI36"/>
      <c r="AJ36"/>
      <c r="AK36"/>
      <c r="AL36"/>
      <c r="AM36"/>
      <c r="AN36"/>
      <c r="AO36"/>
      <c r="AP36"/>
      <c r="AQ36"/>
      <c r="AR36" s="456"/>
      <c r="AS36" s="32"/>
      <c r="AT36" s="32"/>
      <c r="AU36" s="218"/>
      <c r="AV36" s="477"/>
      <c r="AW36"/>
      <c r="AX36" s="421"/>
      <c r="AY36" s="261" t="s">
        <v>102</v>
      </c>
      <c r="AZ36" s="262" t="s">
        <v>103</v>
      </c>
      <c r="BA36" s="32"/>
      <c r="BB36" s="455"/>
      <c r="BC36"/>
      <c r="BD36"/>
      <c r="BE36" s="34"/>
      <c r="BF36"/>
      <c r="BG36"/>
      <c r="BH36"/>
      <c r="BI36"/>
      <c r="BJ36"/>
      <c r="BK36"/>
      <c r="BL36"/>
      <c r="BM36" s="1310" t="s">
        <v>135</v>
      </c>
      <c r="BN36" s="1311"/>
      <c r="BO36" s="1311"/>
      <c r="BP36" s="1311"/>
      <c r="BQ36" s="455"/>
      <c r="BR36"/>
      <c r="BS36" s="421"/>
      <c r="BT36" s="261" t="s">
        <v>102</v>
      </c>
      <c r="BU36" s="262" t="s">
        <v>103</v>
      </c>
      <c r="BV36" s="32"/>
      <c r="BW36" s="455"/>
      <c r="BY36" s="421"/>
      <c r="BZ36" s="261" t="s">
        <v>102</v>
      </c>
      <c r="CA36" s="262" t="s">
        <v>103</v>
      </c>
      <c r="CB36" s="32"/>
      <c r="CC36" s="455"/>
      <c r="CM36" s="401" t="s">
        <v>112</v>
      </c>
      <c r="CN36" s="255">
        <v>17.88</v>
      </c>
      <c r="CO36" s="351">
        <f>CA37</f>
        <v>25.16</v>
      </c>
      <c r="CP36" s="32"/>
      <c r="CQ36" s="455"/>
      <c r="CR36"/>
      <c r="CS36"/>
      <c r="CT36"/>
      <c r="CU36"/>
      <c r="CV36"/>
      <c r="CW36"/>
      <c r="CX36"/>
      <c r="CY36"/>
      <c r="CZ36"/>
      <c r="DA36"/>
      <c r="DE36"/>
      <c r="DF36"/>
      <c r="DG36" s="32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</row>
    <row r="37" spans="1:133" ht="15.75" thickBot="1" x14ac:dyDescent="0.3">
      <c r="A37" s="1"/>
      <c r="B37" s="277"/>
      <c r="C37" s="253"/>
      <c r="D37" s="254"/>
      <c r="E37" s="26"/>
      <c r="F37" s="26"/>
      <c r="G37" s="26"/>
      <c r="H37" s="26"/>
      <c r="J37" s="401" t="s">
        <v>111</v>
      </c>
      <c r="K37" s="255">
        <f>K38-K36</f>
        <v>32.120000000000005</v>
      </c>
      <c r="L37" s="269">
        <f>K37*1.046*(D27+1)</f>
        <v>34.225793623999998</v>
      </c>
      <c r="M37" s="63"/>
      <c r="N37" s="402"/>
      <c r="P37" s="1324"/>
      <c r="Q37" s="1325"/>
      <c r="R37" s="229" t="s">
        <v>99</v>
      </c>
      <c r="AD37" s="417"/>
      <c r="AE37" s="418">
        <v>70</v>
      </c>
      <c r="AF37" s="425">
        <f>SUM(AF35:AF36)</f>
        <v>80.696997624000005</v>
      </c>
      <c r="AG37" s="32"/>
      <c r="AH37" s="455"/>
      <c r="AI37"/>
      <c r="AJ37"/>
      <c r="AK37"/>
      <c r="AL37"/>
      <c r="AM37"/>
      <c r="AN37"/>
      <c r="AO37"/>
      <c r="AP37"/>
      <c r="AR37" s="1308" t="s">
        <v>134</v>
      </c>
      <c r="AS37" s="1309"/>
      <c r="AT37" s="1309"/>
      <c r="AU37" s="32"/>
      <c r="AV37" s="455"/>
      <c r="AW37"/>
      <c r="AX37" s="401" t="s">
        <v>112</v>
      </c>
      <c r="AY37" s="255">
        <v>17.88</v>
      </c>
      <c r="AZ37" s="351">
        <f>AT39</f>
        <v>25.16</v>
      </c>
      <c r="BA37" s="32"/>
      <c r="BB37" s="455"/>
      <c r="BC37"/>
      <c r="BD37"/>
      <c r="BE37" s="34"/>
      <c r="BF37"/>
      <c r="BG37"/>
      <c r="BH37"/>
      <c r="BI37"/>
      <c r="BJ37"/>
      <c r="BK37"/>
      <c r="BL37"/>
      <c r="BM37" s="456"/>
      <c r="BN37" s="32"/>
      <c r="BO37" s="32"/>
      <c r="BP37" s="32"/>
      <c r="BQ37" s="455"/>
      <c r="BR37"/>
      <c r="BS37" s="401" t="s">
        <v>112</v>
      </c>
      <c r="BT37" s="255">
        <v>17.88</v>
      </c>
      <c r="BU37" s="351">
        <f>BO39</f>
        <v>25.16</v>
      </c>
      <c r="BV37" s="32"/>
      <c r="BW37" s="455"/>
      <c r="BX37"/>
      <c r="BY37" s="401" t="s">
        <v>112</v>
      </c>
      <c r="BZ37" s="255">
        <v>17.88</v>
      </c>
      <c r="CA37" s="351">
        <f>BU37</f>
        <v>25.16</v>
      </c>
      <c r="CB37" s="32"/>
      <c r="CC37" s="455"/>
      <c r="CM37" s="401" t="s">
        <v>111</v>
      </c>
      <c r="CN37" s="255">
        <f>CN38-CN36</f>
        <v>40.120000000000005</v>
      </c>
      <c r="CO37" s="269">
        <f>CN37*1.046*(D27+1)</f>
        <v>42.750275223999999</v>
      </c>
      <c r="CP37" s="32"/>
      <c r="CQ37" s="455"/>
      <c r="CR37"/>
      <c r="CS37"/>
      <c r="CT37"/>
      <c r="CU37"/>
      <c r="CV37"/>
      <c r="CW37"/>
      <c r="CX37"/>
      <c r="CY37"/>
      <c r="CZ37"/>
      <c r="DA37"/>
      <c r="DB37" s="211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</row>
    <row r="38" spans="1:133" ht="27" thickBot="1" x14ac:dyDescent="0.3">
      <c r="A38" s="1"/>
      <c r="B38" s="24"/>
      <c r="C38" s="283"/>
      <c r="D38" s="254"/>
      <c r="E38" s="294"/>
      <c r="F38" s="24"/>
      <c r="G38" s="24"/>
      <c r="H38" s="24"/>
      <c r="J38" s="403"/>
      <c r="K38" s="275">
        <v>50</v>
      </c>
      <c r="L38" s="352">
        <f>SUM(L36:L37)</f>
        <v>59.385793624000002</v>
      </c>
      <c r="M38" s="63"/>
      <c r="N38" s="402"/>
      <c r="P38" s="1316" t="s">
        <v>104</v>
      </c>
      <c r="Q38" s="1317"/>
      <c r="R38" s="1318"/>
      <c r="AD38" s="456"/>
      <c r="AE38" s="32"/>
      <c r="AF38" s="32"/>
      <c r="AG38" s="32"/>
      <c r="AH38" s="455"/>
      <c r="AI38"/>
      <c r="AJ38"/>
      <c r="AK38"/>
      <c r="AL38"/>
      <c r="AM38"/>
      <c r="AN38"/>
      <c r="AO38"/>
      <c r="AP38"/>
      <c r="AR38" s="421"/>
      <c r="AS38" s="292" t="s">
        <v>102</v>
      </c>
      <c r="AT38" s="293" t="s">
        <v>103</v>
      </c>
      <c r="AU38" s="32"/>
      <c r="AV38" s="455"/>
      <c r="AW38"/>
      <c r="AX38" s="401" t="s">
        <v>111</v>
      </c>
      <c r="AY38" s="255">
        <f>AY39-AY37</f>
        <v>82.12</v>
      </c>
      <c r="AZ38" s="269">
        <f>AY38*1.046*(D27+1)</f>
        <v>87.503803624000014</v>
      </c>
      <c r="BA38" s="32"/>
      <c r="BB38" s="455"/>
      <c r="BC38"/>
      <c r="BD38"/>
      <c r="BE38" s="34"/>
      <c r="BF38"/>
      <c r="BG38"/>
      <c r="BH38"/>
      <c r="BI38"/>
      <c r="BJ38"/>
      <c r="BK38"/>
      <c r="BL38"/>
      <c r="BM38" s="421"/>
      <c r="BN38" s="261" t="s">
        <v>102</v>
      </c>
      <c r="BO38" s="262" t="s">
        <v>103</v>
      </c>
      <c r="BP38" s="32"/>
      <c r="BQ38" s="455"/>
      <c r="BR38"/>
      <c r="BS38" s="401" t="s">
        <v>111</v>
      </c>
      <c r="BT38" s="255">
        <f>BT39-BT37</f>
        <v>78.010410958904117</v>
      </c>
      <c r="BU38" s="269">
        <f>BT38*1.046*(D27+1)</f>
        <v>83.124789103452059</v>
      </c>
      <c r="BV38" s="32"/>
      <c r="BW38" s="455"/>
      <c r="BY38" s="401" t="s">
        <v>111</v>
      </c>
      <c r="BZ38" s="255">
        <f>BZ39-BZ37</f>
        <v>33.400000000000006</v>
      </c>
      <c r="CA38" s="269">
        <f>BZ38*1.046*(D27+1)</f>
        <v>35.589710680000003</v>
      </c>
      <c r="CB38" s="32"/>
      <c r="CC38" s="455"/>
      <c r="CM38" s="403"/>
      <c r="CN38" s="275">
        <v>58</v>
      </c>
      <c r="CO38" s="420">
        <f>SUM(CO36:CO37)</f>
        <v>67.910275224000003</v>
      </c>
      <c r="CP38" s="32"/>
      <c r="CQ38" s="455"/>
      <c r="CR38"/>
      <c r="CS38"/>
      <c r="CT38"/>
      <c r="CU38"/>
      <c r="CV38"/>
      <c r="CW38"/>
      <c r="CX38"/>
      <c r="CY38"/>
      <c r="CZ38"/>
      <c r="DA38"/>
      <c r="DB38" s="211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</row>
    <row r="39" spans="1:133" ht="24" thickBot="1" x14ac:dyDescent="0.3">
      <c r="A39" s="1"/>
      <c r="B39" s="24"/>
      <c r="C39" s="283"/>
      <c r="D39" s="254"/>
      <c r="E39" s="299"/>
      <c r="F39" s="45"/>
      <c r="G39" s="45"/>
      <c r="H39" s="45"/>
      <c r="J39" s="386"/>
      <c r="K39" s="28"/>
      <c r="L39" s="28"/>
      <c r="M39" s="63"/>
      <c r="N39" s="402"/>
      <c r="P39" s="256" t="s">
        <v>107</v>
      </c>
      <c r="Q39" s="257" t="s">
        <v>108</v>
      </c>
      <c r="R39" s="258" t="s">
        <v>109</v>
      </c>
      <c r="AD39" s="457" t="s">
        <v>119</v>
      </c>
      <c r="AE39" s="225" t="s">
        <v>98</v>
      </c>
      <c r="AF39" s="225" t="s">
        <v>99</v>
      </c>
      <c r="AG39" s="226"/>
      <c r="AH39" s="458"/>
      <c r="AI39" s="34"/>
      <c r="AJ39"/>
      <c r="AK39"/>
      <c r="AL39"/>
      <c r="AM39"/>
      <c r="AN39"/>
      <c r="AO39"/>
      <c r="AP39"/>
      <c r="AR39" s="401" t="s">
        <v>112</v>
      </c>
      <c r="AS39" s="255">
        <v>17.88</v>
      </c>
      <c r="AT39" s="351">
        <f>AF35</f>
        <v>25.16</v>
      </c>
      <c r="AU39" s="32"/>
      <c r="AV39" s="455"/>
      <c r="AW39"/>
      <c r="AX39" s="403"/>
      <c r="AY39" s="275">
        <v>100</v>
      </c>
      <c r="AZ39" s="420">
        <f>SUM(AZ37:AZ38)</f>
        <v>112.66380362400001</v>
      </c>
      <c r="BA39" s="32"/>
      <c r="BB39" s="455"/>
      <c r="BC39"/>
      <c r="BD39"/>
      <c r="BE39" s="34"/>
      <c r="BF39"/>
      <c r="BG39"/>
      <c r="BH39"/>
      <c r="BI39"/>
      <c r="BJ39"/>
      <c r="BK39"/>
      <c r="BL39"/>
      <c r="BM39" s="401" t="s">
        <v>112</v>
      </c>
      <c r="BN39" s="255">
        <v>17.88</v>
      </c>
      <c r="BO39" s="351">
        <f>AZ37</f>
        <v>25.16</v>
      </c>
      <c r="BP39" s="32"/>
      <c r="BQ39" s="455"/>
      <c r="BR39"/>
      <c r="BS39" s="403"/>
      <c r="BT39" s="275">
        <f>BH18</f>
        <v>95.890410958904113</v>
      </c>
      <c r="BU39" s="420">
        <f>SUM(BU37:BU38)</f>
        <v>108.28478910345206</v>
      </c>
      <c r="BV39" s="32"/>
      <c r="BW39" s="455"/>
      <c r="BY39" s="403"/>
      <c r="BZ39" s="288">
        <v>51.28</v>
      </c>
      <c r="CA39" s="420">
        <f>SUM(CA37:CA38)</f>
        <v>60.749710680000007</v>
      </c>
      <c r="CB39" s="32"/>
      <c r="CC39" s="455"/>
      <c r="CM39" s="506"/>
      <c r="CN39" s="63"/>
      <c r="CO39" s="63"/>
      <c r="CP39" s="63"/>
      <c r="CQ39" s="455"/>
      <c r="CR39"/>
      <c r="CS39"/>
      <c r="CT39"/>
      <c r="CU39"/>
      <c r="CV39"/>
      <c r="CW39"/>
      <c r="CX39"/>
      <c r="CY39"/>
      <c r="CZ39"/>
      <c r="DA39"/>
      <c r="DB39" s="211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</row>
    <row r="40" spans="1:133" ht="15.75" thickBot="1" x14ac:dyDescent="0.3">
      <c r="A40" s="1"/>
      <c r="B40" s="24"/>
      <c r="C40" s="283"/>
      <c r="D40" s="254"/>
      <c r="E40" s="299"/>
      <c r="F40" s="45"/>
      <c r="G40" s="45"/>
      <c r="H40" s="45"/>
      <c r="J40" s="1307" t="s">
        <v>117</v>
      </c>
      <c r="K40" s="1291"/>
      <c r="L40" s="1292"/>
      <c r="M40" s="63"/>
      <c r="N40" s="402"/>
      <c r="P40" s="270">
        <f>O24</f>
        <v>0</v>
      </c>
      <c r="Q40" s="271">
        <v>66.87</v>
      </c>
      <c r="R40" s="814">
        <f>(Q40-D28)*(D27+1)+D28</f>
        <v>68.066051999999999</v>
      </c>
      <c r="T40" s="540"/>
      <c r="U40" s="217"/>
      <c r="V40" s="280"/>
      <c r="AD40" s="400" t="s">
        <v>101</v>
      </c>
      <c r="AE40" s="235">
        <f>AJ28</f>
        <v>0</v>
      </c>
      <c r="AF40" s="236">
        <f>AH29</f>
        <v>74.020262669363973</v>
      </c>
      <c r="AG40" s="237"/>
      <c r="AH40" s="458"/>
      <c r="AI40" s="34"/>
      <c r="AJ40"/>
      <c r="AK40"/>
      <c r="AL40"/>
      <c r="AM40"/>
      <c r="AN40"/>
      <c r="AO40"/>
      <c r="AP40"/>
      <c r="AR40" s="401" t="s">
        <v>111</v>
      </c>
      <c r="AS40" s="255">
        <f>49.62+0.5</f>
        <v>50.12</v>
      </c>
      <c r="AT40" s="269">
        <f>AS40*1.046*(D27+1)</f>
        <v>53.405877223999994</v>
      </c>
      <c r="AU40" s="32"/>
      <c r="AV40" s="455"/>
      <c r="AW40"/>
      <c r="AX40" s="456"/>
      <c r="AY40" s="32"/>
      <c r="AZ40" s="32"/>
      <c r="BA40" s="32"/>
      <c r="BB40" s="455"/>
      <c r="BC40"/>
      <c r="BD40"/>
      <c r="BE40" s="34"/>
      <c r="BF40"/>
      <c r="BG40"/>
      <c r="BH40"/>
      <c r="BI40"/>
      <c r="BJ40"/>
      <c r="BK40"/>
      <c r="BL40"/>
      <c r="BM40" s="401" t="s">
        <v>111</v>
      </c>
      <c r="BN40" s="255">
        <f>BN41-BN39</f>
        <v>78.010410958904117</v>
      </c>
      <c r="BO40" s="269">
        <f>BN40*1.046*(D27+1)</f>
        <v>83.124789103452059</v>
      </c>
      <c r="BP40" s="32"/>
      <c r="BQ40" s="455"/>
      <c r="BR40"/>
      <c r="BS40" s="456"/>
      <c r="BT40" s="32"/>
      <c r="BU40" s="32"/>
      <c r="BV40" s="32"/>
      <c r="BW40" s="455"/>
      <c r="BY40" s="456"/>
      <c r="BZ40" s="32"/>
      <c r="CA40" s="32"/>
      <c r="CB40" s="32"/>
      <c r="CC40" s="455"/>
      <c r="CL40"/>
      <c r="CM40" s="496" t="s">
        <v>124</v>
      </c>
      <c r="CN40" s="225" t="s">
        <v>98</v>
      </c>
      <c r="CO40" s="225" t="s">
        <v>99</v>
      </c>
      <c r="CP40" s="226"/>
      <c r="CQ40" s="455"/>
      <c r="CR40"/>
      <c r="CS40"/>
      <c r="CT40"/>
      <c r="CU40"/>
      <c r="CV40"/>
      <c r="CW40"/>
      <c r="CX40"/>
      <c r="CY40"/>
      <c r="CZ40"/>
      <c r="DA40"/>
      <c r="DB40" s="211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</row>
    <row r="41" spans="1:133" ht="27" thickBot="1" x14ac:dyDescent="0.3">
      <c r="A41" s="1"/>
      <c r="B41" s="24"/>
      <c r="C41" s="283"/>
      <c r="D41" s="289"/>
      <c r="E41" s="299"/>
      <c r="F41" s="45"/>
      <c r="G41" s="45"/>
      <c r="H41" s="45"/>
      <c r="J41" s="398"/>
      <c r="K41" s="285" t="s">
        <v>102</v>
      </c>
      <c r="L41" s="286" t="s">
        <v>103</v>
      </c>
      <c r="M41" s="63"/>
      <c r="N41" s="402"/>
      <c r="P41" s="1303" t="s">
        <v>113</v>
      </c>
      <c r="Q41" s="1304"/>
      <c r="R41" s="1305"/>
      <c r="T41" s="217"/>
      <c r="AC41" s="34"/>
      <c r="AD41" s="400" t="s">
        <v>105</v>
      </c>
      <c r="AE41" s="251">
        <f>AE37</f>
        <v>70</v>
      </c>
      <c r="AF41" s="252">
        <f>AF37</f>
        <v>80.696997624000005</v>
      </c>
      <c r="AG41" s="237"/>
      <c r="AH41" s="458"/>
      <c r="AI41" s="34"/>
      <c r="AJ41"/>
      <c r="AK41"/>
      <c r="AL41"/>
      <c r="AM41"/>
      <c r="AN41"/>
      <c r="AO41"/>
      <c r="AP41"/>
      <c r="AQ41"/>
      <c r="AR41" s="403"/>
      <c r="AS41" s="303">
        <f>AS40+AS39</f>
        <v>68</v>
      </c>
      <c r="AT41" s="420">
        <f>SUM(AT39:AT40)</f>
        <v>78.565877223999991</v>
      </c>
      <c r="AU41" s="32"/>
      <c r="AV41" s="455"/>
      <c r="AW41"/>
      <c r="AX41" s="478" t="s">
        <v>130</v>
      </c>
      <c r="AY41" s="225" t="s">
        <v>98</v>
      </c>
      <c r="AZ41" s="225" t="s">
        <v>99</v>
      </c>
      <c r="BA41" s="226"/>
      <c r="BB41" s="455"/>
      <c r="BC41"/>
      <c r="BD41"/>
      <c r="BE41" s="34"/>
      <c r="BF41"/>
      <c r="BG41"/>
      <c r="BH41"/>
      <c r="BI41"/>
      <c r="BJ41"/>
      <c r="BK41"/>
      <c r="BL41"/>
      <c r="BM41" s="403"/>
      <c r="BN41" s="275">
        <f>BH18</f>
        <v>95.890410958904113</v>
      </c>
      <c r="BO41" s="420">
        <f>SUM(BO39:BO40)</f>
        <v>108.28478910345206</v>
      </c>
      <c r="BP41" s="32"/>
      <c r="BQ41" s="455"/>
      <c r="BR41"/>
      <c r="BS41" s="457" t="s">
        <v>9</v>
      </c>
      <c r="BT41" s="225" t="s">
        <v>98</v>
      </c>
      <c r="BU41" s="225" t="s">
        <v>99</v>
      </c>
      <c r="BV41" s="226"/>
      <c r="BW41" s="455"/>
      <c r="BY41" s="496" t="s">
        <v>123</v>
      </c>
      <c r="BZ41" s="225" t="s">
        <v>98</v>
      </c>
      <c r="CA41" s="225" t="s">
        <v>99</v>
      </c>
      <c r="CB41" s="226"/>
      <c r="CC41" s="455"/>
      <c r="CM41" s="400" t="s">
        <v>101</v>
      </c>
      <c r="CN41" s="235">
        <f>CP33</f>
        <v>0</v>
      </c>
      <c r="CO41" s="236">
        <f>CQ31</f>
        <v>79.549221411911731</v>
      </c>
      <c r="CP41" s="237"/>
      <c r="CQ41" s="455"/>
      <c r="CR41"/>
      <c r="CS41"/>
      <c r="CT41"/>
      <c r="CU41"/>
      <c r="CV41"/>
      <c r="CW41"/>
      <c r="CX41"/>
      <c r="CY41"/>
      <c r="CZ41"/>
      <c r="DA41"/>
      <c r="DB41" s="21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</row>
    <row r="42" spans="1:133" ht="15.75" thickBot="1" x14ac:dyDescent="0.3">
      <c r="A42" s="1"/>
      <c r="B42" s="26"/>
      <c r="C42" s="26"/>
      <c r="D42" s="26"/>
      <c r="E42" s="299"/>
      <c r="F42" s="45"/>
      <c r="G42" s="45"/>
      <c r="H42" s="45"/>
      <c r="J42" s="404" t="s">
        <v>106</v>
      </c>
      <c r="K42" s="255">
        <v>17.88</v>
      </c>
      <c r="L42" s="351">
        <f>L30</f>
        <v>25.16</v>
      </c>
      <c r="M42" s="63"/>
      <c r="N42" s="374"/>
      <c r="P42" s="256" t="s">
        <v>114</v>
      </c>
      <c r="Q42" s="279" t="s">
        <v>115</v>
      </c>
      <c r="R42" s="269" t="s">
        <v>116</v>
      </c>
      <c r="AC42" s="34"/>
      <c r="AD42" s="459" t="s">
        <v>110</v>
      </c>
      <c r="AE42" s="460">
        <f>SUM(AE40:AE41)</f>
        <v>70</v>
      </c>
      <c r="AF42" s="1198">
        <f>SUM(AF40:AF41)</f>
        <v>154.71726029336398</v>
      </c>
      <c r="AG42" s="461">
        <f>(AF42-AE42)/AE42</f>
        <v>1.2102465756194853</v>
      </c>
      <c r="AH42" s="462"/>
      <c r="AI42" s="34"/>
      <c r="AJ42"/>
      <c r="AK42"/>
      <c r="AL42"/>
      <c r="AM42"/>
      <c r="AN42"/>
      <c r="AO42"/>
      <c r="AP42"/>
      <c r="AR42" s="456"/>
      <c r="AS42" s="32"/>
      <c r="AT42" s="32"/>
      <c r="AU42" s="32"/>
      <c r="AV42" s="455"/>
      <c r="AW42"/>
      <c r="AX42" s="400" t="s">
        <v>101</v>
      </c>
      <c r="AY42" s="235">
        <v>100</v>
      </c>
      <c r="AZ42" s="236">
        <f>BB32</f>
        <v>120.66363209663368</v>
      </c>
      <c r="BA42" s="237"/>
      <c r="BB42" s="455"/>
      <c r="BC42"/>
      <c r="BD42"/>
      <c r="BE42" s="34"/>
      <c r="BF42"/>
      <c r="BG42"/>
      <c r="BH42"/>
      <c r="BI42"/>
      <c r="BJ42"/>
      <c r="BK42"/>
      <c r="BL42"/>
      <c r="BM42" s="456"/>
      <c r="BN42" s="32"/>
      <c r="BO42" s="32"/>
      <c r="BP42" s="32"/>
      <c r="BQ42" s="455"/>
      <c r="BR42"/>
      <c r="BS42" s="400" t="s">
        <v>101</v>
      </c>
      <c r="BT42" s="235">
        <f>BT44-BT43</f>
        <v>158.78958904109589</v>
      </c>
      <c r="BU42" s="236">
        <f>BW31</f>
        <v>200.74919793115924</v>
      </c>
      <c r="BV42" s="237"/>
      <c r="BW42" s="455"/>
      <c r="BX42"/>
      <c r="BY42" s="400" t="s">
        <v>101</v>
      </c>
      <c r="BZ42" s="252">
        <f>BZ44-BZ43</f>
        <v>129.72</v>
      </c>
      <c r="CA42" s="236">
        <f>CC31</f>
        <v>141.27579788020435</v>
      </c>
      <c r="CB42" s="237"/>
      <c r="CC42" s="455"/>
      <c r="CM42" s="400" t="s">
        <v>105</v>
      </c>
      <c r="CN42" s="251">
        <f>CN38</f>
        <v>58</v>
      </c>
      <c r="CO42" s="252">
        <f>CO38</f>
        <v>67.910275224000003</v>
      </c>
      <c r="CP42" s="237"/>
      <c r="CQ42" s="455"/>
      <c r="CR42"/>
      <c r="CS42"/>
      <c r="CT42"/>
      <c r="CU42"/>
      <c r="CV42"/>
      <c r="CW42"/>
      <c r="CX42"/>
      <c r="CY42"/>
      <c r="CZ42"/>
      <c r="DA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</row>
    <row r="43" spans="1:133" ht="25.5" thickBot="1" x14ac:dyDescent="0.3">
      <c r="A43" s="1"/>
      <c r="B43" s="18"/>
      <c r="C43" s="18"/>
      <c r="D43" s="18"/>
      <c r="E43" s="299"/>
      <c r="F43" s="45"/>
      <c r="G43" s="45"/>
      <c r="H43" s="45"/>
      <c r="J43" s="405" t="s">
        <v>120</v>
      </c>
      <c r="K43" s="290">
        <v>10</v>
      </c>
      <c r="L43" s="291">
        <f>K43*1.046*(D27+1)</f>
        <v>10.655602</v>
      </c>
      <c r="M43" s="63"/>
      <c r="N43" s="402"/>
      <c r="O43" s="28"/>
      <c r="P43" s="783">
        <f>L38</f>
        <v>59.385793624000002</v>
      </c>
      <c r="Q43" s="354">
        <f>L30</f>
        <v>25.16</v>
      </c>
      <c r="R43" s="353">
        <f>P43+Q43</f>
        <v>84.545793623999998</v>
      </c>
      <c r="AC43" s="34"/>
      <c r="AD43" s="211"/>
      <c r="AE43"/>
      <c r="AF43"/>
      <c r="AG43"/>
      <c r="AH43" s="34"/>
      <c r="AI43" s="34"/>
      <c r="AJ43"/>
      <c r="AK43"/>
      <c r="AL43"/>
      <c r="AM43"/>
      <c r="AN43"/>
      <c r="AO43"/>
      <c r="AP43"/>
      <c r="AR43" s="478" t="s">
        <v>129</v>
      </c>
      <c r="AS43" s="225" t="s">
        <v>98</v>
      </c>
      <c r="AT43" s="225" t="s">
        <v>99</v>
      </c>
      <c r="AU43" s="226"/>
      <c r="AV43" s="455"/>
      <c r="AW43"/>
      <c r="AX43" s="400" t="s">
        <v>105</v>
      </c>
      <c r="AY43" s="251">
        <v>100</v>
      </c>
      <c r="AZ43" s="252">
        <f>AZ39</f>
        <v>112.66380362400001</v>
      </c>
      <c r="BA43" s="237"/>
      <c r="BB43" s="455"/>
      <c r="BC43"/>
      <c r="BD43" s="34"/>
      <c r="BE43" s="34"/>
      <c r="BF43"/>
      <c r="BG43"/>
      <c r="BH43"/>
      <c r="BI43"/>
      <c r="BJ43"/>
      <c r="BK43"/>
      <c r="BL43"/>
      <c r="BM43" s="496" t="s">
        <v>127</v>
      </c>
      <c r="BN43" s="225" t="s">
        <v>98</v>
      </c>
      <c r="BO43" s="225" t="s">
        <v>99</v>
      </c>
      <c r="BP43" s="226"/>
      <c r="BQ43" s="455"/>
      <c r="BR43"/>
      <c r="BS43" s="400" t="s">
        <v>105</v>
      </c>
      <c r="BT43" s="251">
        <f>BT39</f>
        <v>95.890410958904113</v>
      </c>
      <c r="BU43" s="252">
        <f>BU39</f>
        <v>108.28478910345206</v>
      </c>
      <c r="BV43" s="237"/>
      <c r="BW43" s="455"/>
      <c r="BX43"/>
      <c r="BY43" s="400" t="s">
        <v>105</v>
      </c>
      <c r="BZ43" s="252">
        <f>BZ39</f>
        <v>51.28</v>
      </c>
      <c r="CA43" s="252">
        <f>CA39</f>
        <v>60.749710680000007</v>
      </c>
      <c r="CB43" s="237"/>
      <c r="CC43" s="455"/>
      <c r="CM43" s="485" t="s">
        <v>110</v>
      </c>
      <c r="CN43" s="265">
        <f>SUM(CN41:CN42)</f>
        <v>58</v>
      </c>
      <c r="CO43" s="1202">
        <f>SUM(CO41:CO42)</f>
        <v>147.45949663591173</v>
      </c>
      <c r="CP43" s="266">
        <f>(CO43-CN43)/CN43</f>
        <v>1.5424051144122712</v>
      </c>
      <c r="CQ43" s="455"/>
      <c r="CR43"/>
      <c r="CS43"/>
      <c r="CT43"/>
      <c r="CU43"/>
      <c r="CV43"/>
      <c r="CW43"/>
      <c r="CX43"/>
      <c r="CY43"/>
      <c r="CZ43"/>
      <c r="DA43"/>
      <c r="DG43"/>
      <c r="DH43"/>
      <c r="DI43"/>
      <c r="DJ43"/>
      <c r="DK43"/>
      <c r="DL43"/>
      <c r="DM43"/>
      <c r="DN43"/>
      <c r="DO43"/>
      <c r="DP43"/>
      <c r="EB43"/>
      <c r="EC43"/>
    </row>
    <row r="44" spans="1:133" ht="15.75" thickBot="1" x14ac:dyDescent="0.3">
      <c r="A44" s="1"/>
      <c r="B44" s="297"/>
      <c r="C44" s="298"/>
      <c r="D44" s="298"/>
      <c r="E44" s="299"/>
      <c r="F44" s="45"/>
      <c r="G44" s="45"/>
      <c r="H44" s="45"/>
      <c r="J44" s="401" t="s">
        <v>111</v>
      </c>
      <c r="K44" s="255">
        <v>32.119999999999997</v>
      </c>
      <c r="L44" s="269">
        <f>K44*1.046*(D27+1)</f>
        <v>34.225793623999991</v>
      </c>
      <c r="M44" s="63"/>
      <c r="N44" s="402"/>
      <c r="P44" s="1293" t="s">
        <v>96</v>
      </c>
      <c r="Q44" s="1294"/>
      <c r="R44" s="287">
        <f>R40+R43</f>
        <v>152.61184562400001</v>
      </c>
      <c r="AC44" s="280"/>
      <c r="AD44" s="34"/>
      <c r="AE44" s="34"/>
      <c r="AF44" s="34"/>
      <c r="AG44" s="34"/>
      <c r="AH44" s="280"/>
      <c r="AI44" s="280"/>
      <c r="AJ44"/>
      <c r="AK44"/>
      <c r="AL44"/>
      <c r="AM44"/>
      <c r="AN44"/>
      <c r="AO44"/>
      <c r="AP44"/>
      <c r="AR44" s="400" t="s">
        <v>101</v>
      </c>
      <c r="AS44" s="235">
        <f>AU36</f>
        <v>0</v>
      </c>
      <c r="AT44" s="236">
        <f>AV35</f>
        <v>73.207015406522899</v>
      </c>
      <c r="AU44" s="237"/>
      <c r="AV44" s="455"/>
      <c r="AW44"/>
      <c r="AX44" s="485" t="s">
        <v>110</v>
      </c>
      <c r="AY44" s="265">
        <v>200</v>
      </c>
      <c r="AZ44" s="1199">
        <f>SUM(AZ42:AZ43)-0.01</f>
        <v>233.31743572063368</v>
      </c>
      <c r="BA44" s="266">
        <f>(AZ44-AY44)/AY44</f>
        <v>0.16658717860316841</v>
      </c>
      <c r="BB44" s="455"/>
      <c r="BC44"/>
      <c r="BD44" s="34"/>
      <c r="BE44" s="34"/>
      <c r="BF44"/>
      <c r="BG44"/>
      <c r="BH44"/>
      <c r="BI44"/>
      <c r="BJ44"/>
      <c r="BK44"/>
      <c r="BL44"/>
      <c r="BM44" s="400" t="s">
        <v>101</v>
      </c>
      <c r="BN44" s="235">
        <f>BN46-BN45</f>
        <v>123.58958904109588</v>
      </c>
      <c r="BO44" s="236">
        <f>BQ32</f>
        <v>117.73295168921931</v>
      </c>
      <c r="BP44" s="304">
        <f>(BO44-BN44)/BN44</f>
        <v>-4.7387788868924301E-2</v>
      </c>
      <c r="BQ44" s="455"/>
      <c r="BR44"/>
      <c r="BS44" s="485" t="s">
        <v>110</v>
      </c>
      <c r="BT44" s="265">
        <v>254.68</v>
      </c>
      <c r="BU44" s="1202">
        <f>SUM(BU42:BU43)</f>
        <v>309.0339870346113</v>
      </c>
      <c r="BV44" s="266">
        <f>(BU44-BT44)/BT44</f>
        <v>0.21342071240227459</v>
      </c>
      <c r="BW44" s="455"/>
      <c r="BX44"/>
      <c r="BY44" s="485" t="s">
        <v>110</v>
      </c>
      <c r="BZ44" s="265">
        <v>181</v>
      </c>
      <c r="CA44" s="1202">
        <f>SUM(CA42:CA43)</f>
        <v>202.02550856020434</v>
      </c>
      <c r="CB44" s="266">
        <f>(CA44-BZ44)/BZ44</f>
        <v>0.11616303071936102</v>
      </c>
      <c r="CC44" s="455"/>
      <c r="CM44" s="502"/>
      <c r="CN44" s="503"/>
      <c r="CO44" s="503"/>
      <c r="CP44" s="503"/>
      <c r="CQ44" s="479"/>
      <c r="CR44"/>
      <c r="CS44"/>
      <c r="CT44"/>
      <c r="CU44"/>
      <c r="CV44"/>
      <c r="CW44"/>
      <c r="CX44"/>
      <c r="CY44"/>
      <c r="CZ44"/>
      <c r="DA44"/>
      <c r="DG44"/>
      <c r="DH44"/>
      <c r="DI44"/>
      <c r="DJ44"/>
      <c r="DK44"/>
      <c r="DL44"/>
      <c r="DM44"/>
      <c r="DN44"/>
      <c r="DO44"/>
      <c r="DP44"/>
      <c r="EB44"/>
      <c r="EC44"/>
    </row>
    <row r="45" spans="1:133" ht="30.75" thickBot="1" x14ac:dyDescent="0.3">
      <c r="A45" s="1"/>
      <c r="B45" s="297"/>
      <c r="C45" s="298"/>
      <c r="D45" s="305"/>
      <c r="E45" s="299"/>
      <c r="F45" s="45"/>
      <c r="G45" s="45"/>
      <c r="H45" s="45"/>
      <c r="J45" s="406" t="s">
        <v>125</v>
      </c>
      <c r="K45" s="275">
        <f>SUM(K42:K44)</f>
        <v>60</v>
      </c>
      <c r="L45" s="352">
        <f>SUM(L42:L44)</f>
        <v>70.041395623999989</v>
      </c>
      <c r="M45" s="63"/>
      <c r="N45" s="402"/>
      <c r="AC45" s="280"/>
      <c r="AD45" s="34"/>
      <c r="AE45" s="34"/>
      <c r="AF45" s="34"/>
      <c r="AG45" s="34"/>
      <c r="AH45" s="280"/>
      <c r="AI45" s="280"/>
      <c r="AJ45"/>
      <c r="AK45"/>
      <c r="AL45"/>
      <c r="AM45"/>
      <c r="AN45"/>
      <c r="AO45"/>
      <c r="AP45"/>
      <c r="AR45" s="400" t="s">
        <v>105</v>
      </c>
      <c r="AS45" s="309">
        <f>AS41</f>
        <v>68</v>
      </c>
      <c r="AT45" s="252">
        <f>AT41</f>
        <v>78.565877223999991</v>
      </c>
      <c r="AU45" s="237"/>
      <c r="AV45" s="455"/>
      <c r="AW45"/>
      <c r="AX45" s="486"/>
      <c r="AY45" s="32"/>
      <c r="AZ45" s="32"/>
      <c r="BA45" s="32"/>
      <c r="BB45" s="455"/>
      <c r="BC45"/>
      <c r="BD45" s="34"/>
      <c r="BE45" s="34"/>
      <c r="BF45"/>
      <c r="BG45"/>
      <c r="BH45"/>
      <c r="BI45"/>
      <c r="BJ45"/>
      <c r="BK45"/>
      <c r="BL45"/>
      <c r="BM45" s="400" t="s">
        <v>105</v>
      </c>
      <c r="BN45" s="251">
        <f>BH18</f>
        <v>95.890410958904113</v>
      </c>
      <c r="BO45" s="252">
        <f>BO41</f>
        <v>108.28478910345206</v>
      </c>
      <c r="BP45" s="237"/>
      <c r="BQ45" s="455"/>
      <c r="BR45"/>
      <c r="BS45" s="456"/>
      <c r="BT45" s="32"/>
      <c r="BU45" s="32"/>
      <c r="BV45" s="32"/>
      <c r="BW45" s="455"/>
      <c r="BX45"/>
      <c r="BY45" s="486"/>
      <c r="BZ45" s="32"/>
      <c r="CA45" s="32"/>
      <c r="CB45" s="32"/>
      <c r="CC45" s="45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G45"/>
      <c r="DH45"/>
      <c r="DI45"/>
      <c r="DJ45"/>
      <c r="DK45"/>
      <c r="DL45"/>
      <c r="DM45"/>
      <c r="DN45"/>
      <c r="DO45"/>
      <c r="DP45"/>
      <c r="EB45"/>
      <c r="EC45"/>
    </row>
    <row r="46" spans="1:133" ht="15.75" thickBot="1" x14ac:dyDescent="0.3">
      <c r="A46" s="1"/>
      <c r="B46" s="297"/>
      <c r="C46" s="298"/>
      <c r="D46" s="305"/>
      <c r="E46" s="45"/>
      <c r="F46" s="45"/>
      <c r="G46" s="45"/>
      <c r="H46" s="45"/>
      <c r="J46" s="407"/>
      <c r="K46" s="301"/>
      <c r="L46" s="215"/>
      <c r="M46" s="63"/>
      <c r="N46" s="402"/>
      <c r="P46" s="1290" t="s">
        <v>121</v>
      </c>
      <c r="Q46" s="1291"/>
      <c r="R46" s="1292"/>
      <c r="U46" s="217"/>
      <c r="V46" s="280"/>
      <c r="AC46" s="280"/>
      <c r="AD46" s="34"/>
      <c r="AE46" s="34"/>
      <c r="AF46" s="34"/>
      <c r="AG46" s="34"/>
      <c r="AH46" s="280"/>
      <c r="AI46" s="280"/>
      <c r="AJ46"/>
      <c r="AK46" s="34"/>
      <c r="AO46" s="34"/>
      <c r="AP46" s="34"/>
      <c r="AQ46" s="34"/>
      <c r="AR46" s="459" t="s">
        <v>110</v>
      </c>
      <c r="AS46" s="460">
        <f>SUM(AS44:AS45)</f>
        <v>68</v>
      </c>
      <c r="AT46" s="1200">
        <f>SUM(AT44:AT45)+0.01</f>
        <v>151.78289263052289</v>
      </c>
      <c r="AU46" s="461">
        <f>(AT46-AS46)/AS46</f>
        <v>1.2321013622135719</v>
      </c>
      <c r="AV46" s="479"/>
      <c r="AW46" s="34"/>
      <c r="AX46" s="487"/>
      <c r="AY46" s="488"/>
      <c r="AZ46" s="488"/>
      <c r="BA46" s="488"/>
      <c r="BB46" s="462"/>
      <c r="BC46" s="34"/>
      <c r="BD46" s="34"/>
      <c r="BE46" s="34"/>
      <c r="BF46"/>
      <c r="BG46"/>
      <c r="BH46"/>
      <c r="BI46"/>
      <c r="BJ46"/>
      <c r="BK46"/>
      <c r="BL46"/>
      <c r="BM46" s="459" t="s">
        <v>110</v>
      </c>
      <c r="BN46" s="460">
        <v>219.48</v>
      </c>
      <c r="BO46" s="1201">
        <f>117.73+108.28</f>
        <v>226.01</v>
      </c>
      <c r="BP46" s="461">
        <f>(BO46-BN46)/BN46</f>
        <v>2.9752141425186812E-2</v>
      </c>
      <c r="BQ46" s="479"/>
      <c r="BR46"/>
      <c r="BS46" s="486"/>
      <c r="BT46" s="32"/>
      <c r="BU46" s="32"/>
      <c r="BV46" s="32"/>
      <c r="BW46" s="455"/>
      <c r="BX46"/>
      <c r="BY46" s="486"/>
      <c r="BZ46" s="32"/>
      <c r="CA46" s="63"/>
      <c r="CB46" s="63"/>
      <c r="CC46" s="402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G46"/>
      <c r="DH46"/>
      <c r="DI46"/>
      <c r="DJ46"/>
      <c r="DK46"/>
      <c r="DL46"/>
      <c r="DM46"/>
      <c r="DN46"/>
      <c r="DO46"/>
      <c r="DP46"/>
      <c r="EB46"/>
      <c r="EC46"/>
    </row>
    <row r="47" spans="1:133" ht="27" thickBot="1" x14ac:dyDescent="0.3">
      <c r="A47" s="1"/>
      <c r="B47" s="297"/>
      <c r="C47" s="298"/>
      <c r="D47" s="305"/>
      <c r="E47" s="311"/>
      <c r="F47" s="311"/>
      <c r="G47" s="311"/>
      <c r="H47" s="311"/>
      <c r="J47" s="408"/>
      <c r="K47" s="47"/>
      <c r="L47" s="70"/>
      <c r="M47" s="63"/>
      <c r="N47" s="402"/>
      <c r="P47" s="240"/>
      <c r="Q47" s="241" t="s">
        <v>102</v>
      </c>
      <c r="R47" s="242" t="s">
        <v>103</v>
      </c>
      <c r="S47" s="296"/>
      <c r="T47" s="28"/>
      <c r="U47" s="217"/>
      <c r="V47" s="280"/>
      <c r="AC47" s="280"/>
      <c r="AD47" s="34"/>
      <c r="AE47" s="34"/>
      <c r="AF47" s="34"/>
      <c r="AG47" s="34"/>
      <c r="AH47" s="280"/>
      <c r="AI47" s="280"/>
      <c r="AJ47"/>
      <c r="AK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211"/>
      <c r="BN47"/>
      <c r="BO47"/>
      <c r="BP47"/>
      <c r="BQ47"/>
      <c r="BR47"/>
      <c r="BS47" s="502"/>
      <c r="BT47" s="503"/>
      <c r="BU47" s="503"/>
      <c r="BV47" s="503"/>
      <c r="BW47" s="479"/>
      <c r="BX47"/>
      <c r="BY47" s="502"/>
      <c r="BZ47" s="503"/>
      <c r="CA47" s="410"/>
      <c r="CB47" s="410"/>
      <c r="CC47" s="411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G47"/>
      <c r="DH47"/>
      <c r="DI47"/>
      <c r="DJ47"/>
      <c r="DK47"/>
      <c r="DL47"/>
      <c r="DM47"/>
      <c r="DN47"/>
      <c r="DO47"/>
      <c r="DP47"/>
      <c r="EB47"/>
      <c r="EC47"/>
    </row>
    <row r="48" spans="1:133" ht="15.75" thickBot="1" x14ac:dyDescent="0.3">
      <c r="B48" s="306"/>
      <c r="C48" s="307"/>
      <c r="D48" s="305"/>
      <c r="E48" s="315"/>
      <c r="F48" s="316"/>
      <c r="G48" s="316"/>
      <c r="H48" s="316"/>
      <c r="J48" s="409"/>
      <c r="K48" s="410"/>
      <c r="L48" s="410"/>
      <c r="M48" s="410"/>
      <c r="N48" s="411"/>
      <c r="O48" s="28"/>
      <c r="P48" s="268" t="s">
        <v>126</v>
      </c>
      <c r="Q48" s="255">
        <v>25.16</v>
      </c>
      <c r="R48" s="295">
        <v>25.16</v>
      </c>
      <c r="S48" s="296"/>
      <c r="T48" s="217"/>
      <c r="U48" s="217"/>
      <c r="V48" s="280"/>
      <c r="W48" s="280"/>
      <c r="X48" s="34"/>
      <c r="Y48" s="34"/>
      <c r="Z48" s="34"/>
      <c r="AA48" s="34"/>
      <c r="AB48" s="34"/>
      <c r="AC48" s="280"/>
      <c r="AD48" s="34"/>
      <c r="AE48" s="34"/>
      <c r="AF48" s="34"/>
      <c r="AG48" s="34"/>
      <c r="AH48" s="280"/>
      <c r="AI48" s="280"/>
      <c r="AJ48"/>
      <c r="AK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G48"/>
      <c r="DH48"/>
      <c r="DI48"/>
      <c r="DJ48"/>
      <c r="DK48"/>
      <c r="DL48"/>
      <c r="DM48"/>
      <c r="DN48"/>
      <c r="DO48"/>
      <c r="DP48"/>
      <c r="EC48"/>
    </row>
    <row r="49" spans="1:133" ht="15.75" thickBot="1" x14ac:dyDescent="0.3">
      <c r="B49" s="306"/>
      <c r="C49" s="307"/>
      <c r="D49" s="305"/>
      <c r="E49" s="317"/>
      <c r="F49" s="317"/>
      <c r="G49" s="317"/>
      <c r="H49" s="317"/>
      <c r="O49" s="28"/>
      <c r="P49" s="274"/>
      <c r="Q49" s="275"/>
      <c r="R49" s="302">
        <f>SUM(R48:R48)</f>
        <v>25.16</v>
      </c>
      <c r="S49" s="28"/>
      <c r="T49" s="217"/>
      <c r="U49" s="217"/>
      <c r="V49" s="280"/>
      <c r="W49" s="280"/>
      <c r="X49" s="34"/>
      <c r="Y49" s="34"/>
      <c r="Z49" s="34"/>
      <c r="AA49" s="34"/>
      <c r="AB49" s="34"/>
      <c r="AC49" s="280"/>
      <c r="AD49" s="280"/>
      <c r="AE49" s="280"/>
      <c r="AF49" s="280"/>
      <c r="AG49" s="280"/>
      <c r="AH49" s="280"/>
      <c r="AI49" s="280"/>
      <c r="AJ49" s="34"/>
      <c r="AK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G49"/>
      <c r="DH49"/>
      <c r="DI49"/>
      <c r="DJ49"/>
      <c r="DK49"/>
      <c r="DL49"/>
      <c r="DM49"/>
      <c r="DN49"/>
      <c r="DO49"/>
      <c r="DP49"/>
      <c r="EC49"/>
    </row>
    <row r="50" spans="1:133" ht="15.75" thickBot="1" x14ac:dyDescent="0.3">
      <c r="B50" s="297"/>
      <c r="C50" s="298"/>
      <c r="D50" s="305"/>
      <c r="E50" s="113"/>
      <c r="F50" s="113"/>
      <c r="G50" s="113"/>
      <c r="H50" s="113"/>
      <c r="Q50" s="28"/>
      <c r="R50" s="28"/>
      <c r="S50" s="28"/>
      <c r="T50" s="216"/>
      <c r="U50" s="217"/>
      <c r="V50" s="280"/>
      <c r="W50" s="280"/>
      <c r="X50" s="34"/>
      <c r="Y50" s="34"/>
      <c r="Z50" s="34"/>
      <c r="AA50" s="34"/>
      <c r="AB50" s="34"/>
      <c r="AC50" s="280"/>
      <c r="AD50" s="280"/>
      <c r="AE50" s="280"/>
      <c r="AF50" s="280"/>
      <c r="AG50" s="280"/>
      <c r="AH50" s="280"/>
      <c r="AI50" s="280"/>
      <c r="AJ50" s="34"/>
      <c r="AK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G50"/>
      <c r="DH50"/>
      <c r="DI50"/>
      <c r="DJ50"/>
      <c r="DK50"/>
      <c r="DL50"/>
      <c r="DM50"/>
      <c r="DN50"/>
      <c r="DO50"/>
      <c r="DP50"/>
      <c r="EC50"/>
    </row>
    <row r="51" spans="1:133" ht="35.25" customHeight="1" thickBot="1" x14ac:dyDescent="0.3">
      <c r="B51" s="298"/>
      <c r="C51" s="298"/>
      <c r="D51" s="310"/>
      <c r="E51" s="113"/>
      <c r="F51" s="113"/>
      <c r="G51" s="113"/>
      <c r="H51" s="113"/>
      <c r="I51" s="34"/>
      <c r="P51" s="1290" t="s">
        <v>128</v>
      </c>
      <c r="Q51" s="1291"/>
      <c r="R51" s="1292"/>
      <c r="S51" s="28"/>
      <c r="T51" s="28"/>
      <c r="U51" s="217"/>
      <c r="V51" s="280"/>
      <c r="W51" s="280"/>
      <c r="X51" s="280"/>
      <c r="Y51" s="280"/>
      <c r="Z51" s="280"/>
      <c r="AA51" s="280"/>
      <c r="AB51" s="280"/>
      <c r="AC51" s="280"/>
      <c r="AD51" s="280"/>
      <c r="AE51" s="280"/>
      <c r="AF51" s="280"/>
      <c r="AG51" s="280"/>
      <c r="AH51" s="280"/>
      <c r="AI51" s="280"/>
      <c r="AJ51" s="34"/>
      <c r="AK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G51"/>
      <c r="DH51"/>
      <c r="DI51"/>
      <c r="DJ51"/>
      <c r="DK51"/>
      <c r="DL51"/>
      <c r="DM51"/>
      <c r="DN51"/>
      <c r="DO51"/>
      <c r="DP51"/>
      <c r="EC51"/>
    </row>
    <row r="52" spans="1:133" ht="26.25" x14ac:dyDescent="0.25">
      <c r="A52" s="1"/>
      <c r="B52" s="298"/>
      <c r="C52" s="298"/>
      <c r="D52" s="311"/>
      <c r="E52" s="113"/>
      <c r="F52" s="113"/>
      <c r="G52" s="113"/>
      <c r="H52" s="113"/>
      <c r="I52" s="34"/>
      <c r="P52" s="240"/>
      <c r="Q52" s="241" t="s">
        <v>102</v>
      </c>
      <c r="R52" s="242" t="s">
        <v>103</v>
      </c>
      <c r="S52" s="28"/>
      <c r="T52" s="217"/>
      <c r="U52" s="217"/>
      <c r="V52" s="280"/>
      <c r="W52" s="280"/>
      <c r="X52" s="280"/>
      <c r="Y52" s="280"/>
      <c r="Z52" s="280"/>
      <c r="AA52" s="280"/>
      <c r="AB52" s="280"/>
      <c r="AC52" s="280"/>
      <c r="AD52" s="280"/>
      <c r="AE52" s="280"/>
      <c r="AF52" s="280"/>
      <c r="AG52" s="280"/>
      <c r="AH52" s="280"/>
      <c r="AI52" s="280"/>
      <c r="AJ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L52"/>
      <c r="CM52"/>
      <c r="CN52"/>
      <c r="CO52"/>
      <c r="CP52"/>
      <c r="CQ52"/>
      <c r="CR52"/>
      <c r="DA52"/>
      <c r="DG52"/>
      <c r="DH52"/>
      <c r="DI52"/>
      <c r="DJ52"/>
      <c r="DK52"/>
      <c r="DL52"/>
      <c r="DM52"/>
      <c r="DN52"/>
      <c r="DO52"/>
      <c r="DP52"/>
      <c r="EC52"/>
    </row>
    <row r="53" spans="1:133" ht="15" x14ac:dyDescent="0.25">
      <c r="A53" s="1"/>
      <c r="B53" s="305"/>
      <c r="C53" s="313"/>
      <c r="D53" s="314"/>
      <c r="E53" s="317"/>
      <c r="F53" s="317"/>
      <c r="G53" s="317"/>
      <c r="H53" s="317"/>
      <c r="I53" s="280"/>
      <c r="P53" s="268" t="s">
        <v>131</v>
      </c>
      <c r="Q53" s="63"/>
      <c r="R53" s="308">
        <f>+L38</f>
        <v>59.385793624000002</v>
      </c>
      <c r="S53" s="28"/>
      <c r="T53" s="217"/>
      <c r="U53" s="217"/>
      <c r="V53" s="280"/>
      <c r="W53" s="280"/>
      <c r="X53" s="280"/>
      <c r="Y53" s="280"/>
      <c r="Z53" s="280"/>
      <c r="AA53" s="280"/>
      <c r="AB53" s="280"/>
      <c r="AC53" s="280"/>
      <c r="AD53" s="280"/>
      <c r="AE53" s="280"/>
      <c r="AF53" s="280"/>
      <c r="AG53" s="280"/>
      <c r="AH53" s="280"/>
      <c r="AI53" s="280"/>
      <c r="AJ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L53"/>
      <c r="CM53"/>
      <c r="CN53"/>
      <c r="CO53"/>
      <c r="CP53"/>
      <c r="CQ53"/>
      <c r="CR53"/>
      <c r="DA53"/>
      <c r="DG53"/>
      <c r="DP53"/>
      <c r="EC53"/>
    </row>
    <row r="54" spans="1:133" ht="15" x14ac:dyDescent="0.25">
      <c r="A54" s="1"/>
      <c r="B54" s="297"/>
      <c r="C54" s="298"/>
      <c r="D54" s="317"/>
      <c r="E54" s="323"/>
      <c r="F54" s="323"/>
      <c r="G54" s="323"/>
      <c r="H54" s="323"/>
      <c r="I54" s="280"/>
      <c r="P54" s="268" t="s">
        <v>126</v>
      </c>
      <c r="Q54" s="255">
        <v>25.16</v>
      </c>
      <c r="R54" s="295">
        <f>R48</f>
        <v>25.16</v>
      </c>
      <c r="S54" s="215"/>
      <c r="T54" s="216"/>
      <c r="V54" s="280"/>
      <c r="W54" s="280"/>
      <c r="X54" s="280"/>
      <c r="Y54" s="280"/>
      <c r="Z54" s="280"/>
      <c r="AA54" s="280"/>
      <c r="AB54" s="280"/>
      <c r="AC54" s="280"/>
      <c r="AD54" s="280"/>
      <c r="AE54" s="280"/>
      <c r="AF54" s="280"/>
      <c r="AG54" s="280"/>
      <c r="AH54" s="280"/>
      <c r="AI54" s="280"/>
      <c r="AJ54" s="280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L54"/>
      <c r="CM54"/>
      <c r="CN54"/>
      <c r="CO54"/>
      <c r="CP54"/>
      <c r="CQ54"/>
      <c r="CR54"/>
      <c r="DA54"/>
      <c r="DG54"/>
      <c r="DP54"/>
    </row>
    <row r="55" spans="1:133" ht="15.75" thickBot="1" x14ac:dyDescent="0.3">
      <c r="A55" s="1"/>
      <c r="B55" s="297"/>
      <c r="C55" s="298"/>
      <c r="D55" s="113"/>
      <c r="E55" s="113"/>
      <c r="F55" s="113"/>
      <c r="G55" s="113"/>
      <c r="H55" s="113"/>
      <c r="I55" s="280"/>
      <c r="M55" s="312"/>
      <c r="N55" s="136"/>
      <c r="O55" s="136"/>
      <c r="P55" s="274"/>
      <c r="Q55" s="275"/>
      <c r="R55" s="352">
        <f>SUM(R53:R54)</f>
        <v>84.545793623999998</v>
      </c>
      <c r="S55" s="215"/>
      <c r="T55" s="228"/>
      <c r="V55" s="280"/>
      <c r="W55" s="280"/>
      <c r="X55" s="280"/>
      <c r="Y55" s="280"/>
      <c r="Z55" s="280"/>
      <c r="AA55" s="280"/>
      <c r="AB55" s="280"/>
      <c r="AC55" s="280"/>
      <c r="AD55" s="280"/>
      <c r="AE55" s="280"/>
      <c r="AF55" s="280"/>
      <c r="AG55" s="280"/>
      <c r="AH55" s="280"/>
      <c r="AI55" s="280"/>
      <c r="AJ55" s="280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E55" s="281"/>
      <c r="CF55" s="259"/>
      <c r="CG55" s="260"/>
      <c r="CH55" s="282"/>
      <c r="CI55" s="60"/>
      <c r="CJ55" s="60"/>
      <c r="CK55" s="60"/>
      <c r="CL55"/>
      <c r="CM55"/>
      <c r="CN55"/>
      <c r="CO55"/>
      <c r="CP55"/>
      <c r="CQ55"/>
      <c r="CR55"/>
    </row>
    <row r="56" spans="1:133" ht="15" x14ac:dyDescent="0.25">
      <c r="A56" s="1"/>
      <c r="B56" s="297"/>
      <c r="C56" s="298"/>
      <c r="D56" s="113"/>
      <c r="E56" s="328"/>
      <c r="F56" s="328"/>
      <c r="G56" s="328"/>
      <c r="H56" s="328"/>
      <c r="I56" s="45"/>
      <c r="M56" s="28"/>
      <c r="N56" s="28"/>
      <c r="O56" s="28"/>
      <c r="P56" s="280"/>
      <c r="Q56" s="300"/>
      <c r="R56" s="301"/>
      <c r="S56" s="215"/>
      <c r="T56" s="228"/>
      <c r="V56" s="280"/>
      <c r="W56" s="280"/>
      <c r="X56" s="280"/>
      <c r="Y56" s="280"/>
      <c r="Z56" s="280"/>
      <c r="AA56" s="280"/>
      <c r="AB56" s="280"/>
      <c r="AC56" s="280"/>
      <c r="AD56" s="280"/>
      <c r="AE56" s="280"/>
      <c r="AF56" s="280"/>
      <c r="AG56" s="280"/>
      <c r="AH56" s="280"/>
      <c r="AI56" s="280"/>
      <c r="AJ56" s="280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J56"/>
      <c r="CK56"/>
      <c r="CL56"/>
      <c r="CM56"/>
      <c r="CN56"/>
      <c r="CO56"/>
      <c r="CP56"/>
      <c r="CQ56"/>
      <c r="CR56"/>
    </row>
    <row r="57" spans="1:133" ht="15.75" thickBot="1" x14ac:dyDescent="0.3">
      <c r="A57" s="1"/>
      <c r="B57" s="306"/>
      <c r="C57" s="298"/>
      <c r="D57" s="113"/>
      <c r="E57" s="45"/>
      <c r="F57" s="45"/>
      <c r="G57" s="45"/>
      <c r="H57" s="45"/>
      <c r="I57" s="45"/>
      <c r="M57" s="28"/>
      <c r="N57" s="212"/>
      <c r="O57" s="28"/>
      <c r="P57" s="280"/>
      <c r="Q57" s="300"/>
      <c r="R57" s="301"/>
      <c r="S57" s="280"/>
      <c r="T57" s="280"/>
      <c r="V57" s="280"/>
      <c r="W57" s="280"/>
      <c r="X57" s="280"/>
      <c r="Y57" s="280"/>
      <c r="Z57" s="280"/>
      <c r="AA57" s="280"/>
      <c r="AB57" s="280"/>
      <c r="AC57" s="280"/>
      <c r="AD57" s="280"/>
      <c r="AE57" s="280"/>
      <c r="AF57" s="280"/>
      <c r="AG57" s="280"/>
      <c r="AH57" s="280"/>
      <c r="AI57" s="280"/>
      <c r="AJ57" s="280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J57"/>
      <c r="CK57"/>
      <c r="CL57"/>
      <c r="CM57"/>
      <c r="CN57"/>
      <c r="CO57"/>
      <c r="CP57"/>
      <c r="CQ57"/>
      <c r="CR57"/>
    </row>
    <row r="58" spans="1:133" ht="15.75" thickBot="1" x14ac:dyDescent="0.3">
      <c r="A58" s="1"/>
      <c r="B58" s="306"/>
      <c r="C58" s="298"/>
      <c r="D58" s="317"/>
      <c r="E58" s="162"/>
      <c r="F58" s="45"/>
      <c r="G58" s="45"/>
      <c r="H58" s="45"/>
      <c r="I58" s="45"/>
      <c r="M58" s="318"/>
      <c r="N58" s="28"/>
      <c r="O58" s="319"/>
      <c r="P58" s="1290" t="s">
        <v>139</v>
      </c>
      <c r="Q58" s="1291"/>
      <c r="R58" s="1292"/>
      <c r="S58" s="280"/>
      <c r="T58" s="280"/>
      <c r="V58" s="280"/>
      <c r="W58" s="280"/>
      <c r="X58" s="280"/>
      <c r="Y58" s="280"/>
      <c r="Z58" s="280"/>
      <c r="AA58" s="280"/>
      <c r="AB58" s="280"/>
      <c r="AC58" s="280"/>
      <c r="AD58" s="280"/>
      <c r="AE58" s="280"/>
      <c r="AF58" s="280"/>
      <c r="AG58" s="280"/>
      <c r="AH58" s="280"/>
      <c r="AI58" s="280"/>
      <c r="AJ58" s="280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  <c r="BG58" s="34"/>
      <c r="BH58" s="34"/>
      <c r="BI58" s="34"/>
      <c r="BJ58" s="34"/>
      <c r="BK58" s="34"/>
      <c r="BL58" s="34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J58"/>
      <c r="CK58"/>
      <c r="CL58"/>
      <c r="CM58"/>
      <c r="CN58"/>
      <c r="CO58"/>
      <c r="CP58"/>
      <c r="CQ58"/>
      <c r="CR58"/>
    </row>
    <row r="59" spans="1:133" ht="26.25" x14ac:dyDescent="0.25">
      <c r="A59" s="1"/>
      <c r="B59" s="306"/>
      <c r="C59" s="298"/>
      <c r="D59" s="323"/>
      <c r="E59" s="162"/>
      <c r="F59" s="45"/>
      <c r="G59" s="45"/>
      <c r="H59" s="45"/>
      <c r="I59" s="45"/>
      <c r="J59" s="28"/>
      <c r="K59" s="28"/>
      <c r="L59" s="28"/>
      <c r="M59" s="28"/>
      <c r="N59" s="127"/>
      <c r="O59" s="320"/>
      <c r="P59" s="240"/>
      <c r="Q59" s="241" t="s">
        <v>102</v>
      </c>
      <c r="R59" s="242" t="s">
        <v>103</v>
      </c>
      <c r="S59" s="280"/>
      <c r="T59" s="280"/>
      <c r="U59" s="280"/>
      <c r="V59" s="280"/>
      <c r="W59" s="280"/>
      <c r="X59" s="280"/>
      <c r="Y59" s="280"/>
      <c r="Z59" s="280"/>
      <c r="AA59" s="280"/>
      <c r="AB59" s="280"/>
      <c r="AC59" s="280"/>
      <c r="AD59" s="280"/>
      <c r="AE59" s="280"/>
      <c r="AF59" s="280"/>
      <c r="AG59" s="280"/>
      <c r="AH59" s="280"/>
      <c r="AI59" s="280"/>
      <c r="AJ59" s="280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  <c r="BG59" s="34"/>
      <c r="BH59" s="34"/>
      <c r="BI59" s="34"/>
      <c r="BJ59" s="34"/>
      <c r="BK59" s="34"/>
      <c r="BL59" s="34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J59"/>
      <c r="CK59"/>
      <c r="CL59"/>
      <c r="CM59"/>
      <c r="CN59"/>
      <c r="CO59"/>
      <c r="CP59"/>
      <c r="CQ59"/>
      <c r="CR59"/>
    </row>
    <row r="60" spans="1:133" ht="15" x14ac:dyDescent="0.25">
      <c r="A60" s="1"/>
      <c r="B60" s="297"/>
      <c r="C60" s="298"/>
      <c r="D60" s="113"/>
      <c r="E60" s="162"/>
      <c r="F60" s="45"/>
      <c r="G60" s="45"/>
      <c r="H60" s="45"/>
      <c r="I60" s="45"/>
      <c r="J60" s="318"/>
      <c r="K60" s="318"/>
      <c r="L60" s="322"/>
      <c r="M60" s="321"/>
      <c r="N60" s="136"/>
      <c r="O60" s="127"/>
      <c r="P60" s="268" t="s">
        <v>140</v>
      </c>
      <c r="Q60" s="63"/>
      <c r="R60" s="308">
        <v>62.38</v>
      </c>
      <c r="S60" s="280"/>
      <c r="T60" s="280"/>
      <c r="U60" s="280"/>
      <c r="V60" s="280"/>
      <c r="W60" s="280"/>
      <c r="X60" s="280"/>
      <c r="Y60" s="280"/>
      <c r="Z60" s="280"/>
      <c r="AA60" s="280"/>
      <c r="AB60" s="280"/>
      <c r="AC60" s="280"/>
      <c r="AD60" s="280"/>
      <c r="AE60" s="280"/>
      <c r="AF60" s="280"/>
      <c r="AG60" s="280"/>
      <c r="AH60" s="280"/>
      <c r="AI60" s="280"/>
      <c r="AJ60" s="280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  <c r="BG60" s="34"/>
      <c r="BH60" s="34"/>
      <c r="BI60" s="34"/>
      <c r="BJ60" s="34"/>
      <c r="BK60" s="34"/>
      <c r="BL60" s="34"/>
      <c r="BM60"/>
      <c r="BN60"/>
      <c r="BO60"/>
      <c r="BP60"/>
      <c r="BQ60"/>
      <c r="BR60"/>
      <c r="BS60"/>
      <c r="BT60"/>
      <c r="BU60"/>
      <c r="BV60"/>
      <c r="BW60"/>
      <c r="BY60"/>
      <c r="BZ60"/>
      <c r="CJ60"/>
      <c r="CK60"/>
      <c r="CL60"/>
      <c r="CM60"/>
      <c r="CN60"/>
      <c r="CO60"/>
      <c r="CP60"/>
      <c r="CQ60"/>
      <c r="CR60"/>
    </row>
    <row r="61" spans="1:133" ht="15" x14ac:dyDescent="0.25">
      <c r="A61" s="1"/>
      <c r="B61" s="298"/>
      <c r="C61" s="298"/>
      <c r="D61" s="328"/>
      <c r="E61" s="332"/>
      <c r="F61" s="45"/>
      <c r="G61" s="45"/>
      <c r="H61" s="45"/>
      <c r="I61" s="45"/>
      <c r="J61" s="28"/>
      <c r="K61" s="318"/>
      <c r="L61" s="324"/>
      <c r="M61" s="28"/>
      <c r="N61" s="28"/>
      <c r="O61" s="136"/>
      <c r="P61" s="268" t="s">
        <v>126</v>
      </c>
      <c r="Q61" s="255">
        <v>25.16</v>
      </c>
      <c r="R61" s="295">
        <f>R55</f>
        <v>84.545793623999998</v>
      </c>
      <c r="S61" s="280"/>
      <c r="T61" s="280"/>
      <c r="U61" s="280"/>
      <c r="V61" s="280"/>
      <c r="W61" s="280"/>
      <c r="X61" s="280"/>
      <c r="Y61" s="280"/>
      <c r="Z61" s="280"/>
      <c r="AA61" s="280"/>
      <c r="AB61" s="280"/>
      <c r="AC61" s="280"/>
      <c r="AD61" s="280"/>
      <c r="AE61" s="280"/>
      <c r="AF61" s="280"/>
      <c r="AG61" s="280"/>
      <c r="AH61" s="280"/>
      <c r="AI61" s="280"/>
      <c r="AJ61" s="280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/>
      <c r="BN61"/>
      <c r="BO61"/>
      <c r="BP61"/>
      <c r="BQ61"/>
      <c r="BS61"/>
      <c r="BT61"/>
      <c r="BU61"/>
      <c r="BV61"/>
      <c r="BW61"/>
      <c r="BY61"/>
      <c r="BZ61"/>
      <c r="CJ61"/>
      <c r="CK61"/>
      <c r="CL61"/>
      <c r="CM61"/>
      <c r="CN61"/>
      <c r="CO61"/>
      <c r="CP61"/>
      <c r="CQ61"/>
      <c r="CR61"/>
    </row>
    <row r="62" spans="1:133" ht="15.75" thickBot="1" x14ac:dyDescent="0.3">
      <c r="A62" s="1"/>
      <c r="B62" s="318"/>
      <c r="C62" s="318"/>
      <c r="D62" s="298"/>
      <c r="E62" s="334"/>
      <c r="F62" s="45"/>
      <c r="G62" s="45"/>
      <c r="H62" s="45"/>
      <c r="I62" s="45"/>
      <c r="J62" s="28"/>
      <c r="K62" s="318"/>
      <c r="L62" s="324"/>
      <c r="M62" s="325"/>
      <c r="N62" s="326"/>
      <c r="O62" s="28"/>
      <c r="P62" s="274"/>
      <c r="Q62" s="275"/>
      <c r="R62" s="352">
        <f>SUM(R60:R61)</f>
        <v>146.92579362399999</v>
      </c>
      <c r="S62" s="280"/>
      <c r="T62" s="280"/>
      <c r="U62" s="280"/>
      <c r="V62" s="280"/>
      <c r="W62" s="280"/>
      <c r="X62" s="280"/>
      <c r="Y62" s="280"/>
      <c r="Z62" s="280"/>
      <c r="AA62" s="280"/>
      <c r="AB62" s="280"/>
      <c r="AC62" s="280"/>
      <c r="AD62" s="280"/>
      <c r="AE62" s="280"/>
      <c r="AF62" s="280"/>
      <c r="AG62" s="280"/>
      <c r="AH62" s="280"/>
      <c r="AI62" s="280"/>
      <c r="AJ62" s="280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/>
      <c r="BN62"/>
      <c r="BO62"/>
      <c r="BP62"/>
      <c r="BQ62"/>
      <c r="BS62"/>
      <c r="BT62"/>
      <c r="BU62"/>
      <c r="BV62"/>
      <c r="BW62"/>
      <c r="BY62"/>
      <c r="BZ62"/>
      <c r="CJ62"/>
      <c r="CK62"/>
      <c r="CL62"/>
      <c r="CM62"/>
      <c r="CN62"/>
      <c r="CO62"/>
      <c r="CP62"/>
      <c r="CQ62"/>
      <c r="CR62"/>
    </row>
    <row r="63" spans="1:133" ht="15" x14ac:dyDescent="0.25">
      <c r="A63" s="1"/>
      <c r="B63" s="45"/>
      <c r="C63" s="45"/>
      <c r="D63" s="329"/>
      <c r="E63" s="334"/>
      <c r="F63" s="45"/>
      <c r="G63" s="45"/>
      <c r="H63" s="45"/>
      <c r="I63" s="45"/>
      <c r="J63" s="318"/>
      <c r="K63" s="28"/>
      <c r="L63" s="28"/>
      <c r="M63" s="327"/>
      <c r="N63" s="127"/>
      <c r="O63" s="136"/>
      <c r="P63" s="280"/>
      <c r="Q63" s="280"/>
      <c r="R63" s="280"/>
      <c r="S63" s="280"/>
      <c r="T63" s="280"/>
      <c r="U63" s="280"/>
      <c r="V63" s="280"/>
      <c r="W63" s="280"/>
      <c r="X63" s="280"/>
      <c r="Y63" s="280"/>
      <c r="Z63" s="280"/>
      <c r="AA63" s="280"/>
      <c r="AB63" s="280"/>
      <c r="AC63" s="280"/>
      <c r="AD63" s="280"/>
      <c r="AE63" s="280"/>
      <c r="AF63" s="280"/>
      <c r="AG63" s="280"/>
      <c r="AH63" s="280"/>
      <c r="AI63" s="280"/>
      <c r="AJ63" s="280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  <c r="BL63" s="34"/>
      <c r="BM63"/>
      <c r="BN63"/>
      <c r="BO63"/>
      <c r="BP63"/>
      <c r="BQ63"/>
      <c r="BS63"/>
      <c r="BT63"/>
      <c r="BU63"/>
      <c r="BV63"/>
      <c r="BW63"/>
      <c r="CJ63"/>
      <c r="CK63"/>
      <c r="CL63"/>
      <c r="CM63"/>
      <c r="CN63"/>
      <c r="CO63"/>
      <c r="CP63"/>
      <c r="CQ63"/>
      <c r="CR63"/>
    </row>
    <row r="64" spans="1:133" ht="15" x14ac:dyDescent="0.25">
      <c r="A64" s="1">
        <v>1</v>
      </c>
      <c r="B64" s="45"/>
      <c r="C64" s="45"/>
      <c r="D64" s="161"/>
      <c r="E64" s="334"/>
      <c r="F64" s="45"/>
      <c r="G64" s="45"/>
      <c r="H64" s="45"/>
      <c r="I64" s="45"/>
      <c r="J64" s="28"/>
      <c r="K64" s="28"/>
      <c r="L64" s="28"/>
      <c r="M64" s="327"/>
      <c r="N64" s="127"/>
      <c r="O64" s="136"/>
      <c r="P64" s="280"/>
      <c r="Q64" s="280"/>
      <c r="R64" s="280"/>
      <c r="S64" s="280"/>
      <c r="T64" s="280"/>
      <c r="U64" s="280"/>
      <c r="V64" s="280"/>
      <c r="W64" s="280"/>
      <c r="X64" s="280"/>
      <c r="Y64" s="280"/>
      <c r="Z64" s="280"/>
      <c r="AA64" s="280"/>
      <c r="AB64" s="280"/>
      <c r="AC64" s="280"/>
      <c r="AD64" s="280"/>
      <c r="AE64" s="280"/>
      <c r="AF64" s="280"/>
      <c r="AG64" s="280"/>
      <c r="AH64" s="280"/>
      <c r="AI64" s="280"/>
      <c r="AJ64" s="280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  <c r="BF64" s="34"/>
      <c r="BG64" s="34"/>
      <c r="BH64" s="34"/>
      <c r="BI64" s="34"/>
      <c r="BJ64" s="34"/>
      <c r="BK64" s="34"/>
      <c r="BL64" s="34"/>
      <c r="BM64"/>
      <c r="BN64"/>
      <c r="BO64"/>
      <c r="BP64"/>
      <c r="BQ64"/>
      <c r="CJ64"/>
      <c r="CK64"/>
      <c r="CL64"/>
      <c r="CM64"/>
      <c r="CN64"/>
      <c r="CO64"/>
      <c r="CP64"/>
      <c r="CQ64"/>
      <c r="CR64"/>
    </row>
    <row r="65" spans="1:96" ht="15" x14ac:dyDescent="0.25">
      <c r="A65" s="1"/>
      <c r="B65" s="45"/>
      <c r="C65" s="45"/>
      <c r="D65" s="161"/>
      <c r="E65" s="334"/>
      <c r="F65" s="45"/>
      <c r="G65" s="45"/>
      <c r="H65" s="45"/>
      <c r="I65" s="45"/>
      <c r="J65" s="28"/>
      <c r="K65" s="28"/>
      <c r="L65" s="28"/>
      <c r="M65" s="28"/>
      <c r="N65" s="136"/>
      <c r="O65" s="136"/>
      <c r="P65" s="280"/>
      <c r="Q65" s="280"/>
      <c r="R65" s="280"/>
      <c r="S65" s="280"/>
      <c r="T65" s="280"/>
      <c r="U65" s="280"/>
      <c r="V65" s="280"/>
      <c r="W65" s="280"/>
      <c r="X65" s="280"/>
      <c r="Y65" s="280"/>
      <c r="Z65" s="280"/>
      <c r="AA65" s="280"/>
      <c r="AB65" s="280"/>
      <c r="AC65" s="280"/>
      <c r="AD65" s="280"/>
      <c r="AE65" s="280"/>
      <c r="AF65" s="280"/>
      <c r="AG65" s="280"/>
      <c r="AH65" s="280"/>
      <c r="AI65" s="280"/>
      <c r="AJ65" s="280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  <c r="BF65" s="34"/>
      <c r="BG65" s="34"/>
      <c r="BH65" s="34"/>
      <c r="BI65" s="34"/>
      <c r="BJ65" s="34"/>
      <c r="BK65" s="34"/>
      <c r="BL65" s="34"/>
      <c r="BM65"/>
      <c r="BN65"/>
      <c r="BO65"/>
      <c r="BP65"/>
      <c r="BQ65"/>
      <c r="CJ65"/>
      <c r="CK65"/>
      <c r="CL65"/>
      <c r="CM65"/>
      <c r="CN65"/>
      <c r="CO65"/>
      <c r="CP65"/>
      <c r="CQ65"/>
      <c r="CR65"/>
    </row>
    <row r="66" spans="1:96" ht="15" x14ac:dyDescent="0.25">
      <c r="A66" s="1"/>
      <c r="B66" s="45"/>
      <c r="C66" s="45"/>
      <c r="D66" s="331"/>
      <c r="E66" s="334"/>
      <c r="F66" s="45"/>
      <c r="G66" s="45"/>
      <c r="H66" s="45"/>
      <c r="I66" s="45"/>
      <c r="J66" s="28"/>
      <c r="K66" s="28"/>
      <c r="L66" s="28"/>
      <c r="M66" s="28"/>
      <c r="N66" s="28"/>
      <c r="O66" s="136"/>
      <c r="P66" s="280"/>
      <c r="Q66" s="280"/>
      <c r="R66" s="280"/>
      <c r="S66" s="280"/>
      <c r="T66" s="280"/>
      <c r="U66" s="280"/>
      <c r="V66" s="280"/>
      <c r="W66" s="280"/>
      <c r="X66" s="280"/>
      <c r="Y66" s="280"/>
      <c r="Z66" s="280"/>
      <c r="AA66" s="280"/>
      <c r="AB66" s="280"/>
      <c r="AC66" s="280"/>
      <c r="AD66" s="280"/>
      <c r="AE66" s="280"/>
      <c r="AF66" s="280"/>
      <c r="AG66" s="280"/>
      <c r="AH66" s="280"/>
      <c r="AI66" s="280"/>
      <c r="AJ66" s="280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  <c r="BF66" s="34"/>
      <c r="BG66" s="34"/>
      <c r="BH66" s="34"/>
      <c r="BI66" s="34"/>
      <c r="BJ66" s="34"/>
      <c r="BK66" s="34"/>
      <c r="BL66" s="34"/>
      <c r="CJ66"/>
      <c r="CK66"/>
      <c r="CL66"/>
      <c r="CM66"/>
      <c r="CN66"/>
      <c r="CO66"/>
      <c r="CP66"/>
      <c r="CQ66"/>
    </row>
    <row r="67" spans="1:96" ht="15" x14ac:dyDescent="0.25">
      <c r="A67" s="1"/>
      <c r="B67" s="45"/>
      <c r="C67" s="45"/>
      <c r="D67" s="333"/>
      <c r="E67" s="334"/>
      <c r="F67" s="45"/>
      <c r="G67" s="45"/>
      <c r="H67" s="45"/>
      <c r="I67" s="305"/>
      <c r="J67" s="28"/>
      <c r="K67" s="28"/>
      <c r="L67" s="28"/>
      <c r="M67" s="330"/>
      <c r="N67" s="166"/>
      <c r="O67" s="28"/>
      <c r="P67" s="280"/>
      <c r="Q67" s="280"/>
      <c r="R67" s="280"/>
      <c r="S67" s="280"/>
      <c r="T67" s="280"/>
      <c r="U67" s="280"/>
      <c r="V67" s="280"/>
      <c r="W67" s="280"/>
      <c r="X67" s="280"/>
      <c r="Y67" s="280"/>
      <c r="Z67" s="280"/>
      <c r="AA67" s="280"/>
      <c r="AB67" s="280"/>
      <c r="AC67" s="280"/>
      <c r="AD67" s="280"/>
      <c r="AE67" s="280"/>
      <c r="AF67" s="280"/>
      <c r="AG67" s="280"/>
      <c r="AH67" s="280"/>
      <c r="AI67" s="280"/>
      <c r="AJ67" s="280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CJ67"/>
      <c r="CK67"/>
      <c r="CL67"/>
      <c r="CM67"/>
      <c r="CN67"/>
      <c r="CO67"/>
      <c r="CP67"/>
      <c r="CQ67"/>
    </row>
    <row r="68" spans="1:96" ht="15" x14ac:dyDescent="0.25">
      <c r="A68" s="1"/>
      <c r="B68" s="45"/>
      <c r="C68" s="45"/>
      <c r="D68" s="333"/>
      <c r="E68" s="334"/>
      <c r="F68" s="45"/>
      <c r="G68" s="45"/>
      <c r="H68" s="45"/>
      <c r="I68" s="305"/>
      <c r="J68" s="28"/>
      <c r="K68" s="28"/>
      <c r="L68" s="28"/>
      <c r="M68" s="330"/>
      <c r="N68" s="166"/>
      <c r="O68" s="166"/>
      <c r="P68" s="280"/>
      <c r="Q68" s="280"/>
      <c r="R68" s="280"/>
      <c r="S68" s="280"/>
      <c r="T68" s="280"/>
      <c r="U68" s="280"/>
      <c r="V68" s="280"/>
      <c r="W68" s="280"/>
      <c r="X68" s="280"/>
      <c r="Y68" s="280"/>
      <c r="Z68" s="280"/>
      <c r="AA68" s="280"/>
      <c r="AB68" s="280"/>
      <c r="AC68" s="280"/>
      <c r="AD68" s="280"/>
      <c r="AE68" s="280"/>
      <c r="AF68" s="280"/>
      <c r="AG68" s="280"/>
      <c r="AH68" s="280"/>
      <c r="AI68" s="280"/>
      <c r="AJ68" s="280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  <c r="BF68" s="34"/>
      <c r="BG68" s="34"/>
      <c r="BH68" s="34"/>
      <c r="BI68" s="34"/>
      <c r="BJ68" s="34"/>
      <c r="BK68" s="34"/>
      <c r="BL68" s="34"/>
      <c r="CJ68"/>
      <c r="CK68"/>
      <c r="CL68"/>
      <c r="CM68"/>
      <c r="CN68"/>
      <c r="CO68"/>
      <c r="CP68"/>
      <c r="CQ68"/>
    </row>
    <row r="69" spans="1:96" ht="15" x14ac:dyDescent="0.25">
      <c r="A69" s="1"/>
      <c r="B69" s="45"/>
      <c r="C69" s="45"/>
      <c r="D69" s="335"/>
      <c r="E69" s="162"/>
      <c r="F69" s="305"/>
      <c r="G69" s="305"/>
      <c r="H69" s="305"/>
      <c r="I69" s="305"/>
      <c r="J69" s="28"/>
      <c r="K69" s="28"/>
      <c r="L69" s="28"/>
      <c r="M69" s="330"/>
      <c r="N69" s="166"/>
      <c r="O69" s="166"/>
      <c r="P69" s="280"/>
      <c r="Q69" s="280"/>
      <c r="R69" s="280"/>
      <c r="S69" s="280"/>
      <c r="T69" s="280"/>
      <c r="U69" s="280"/>
      <c r="V69" s="280"/>
      <c r="W69" s="280"/>
      <c r="X69" s="280"/>
      <c r="Y69" s="280"/>
      <c r="Z69" s="280"/>
      <c r="AA69" s="280"/>
      <c r="AB69" s="280"/>
      <c r="AC69" s="280"/>
      <c r="AD69" s="280"/>
      <c r="AE69" s="280"/>
      <c r="AF69" s="280"/>
      <c r="AG69" s="280"/>
      <c r="AH69" s="280"/>
      <c r="AI69" s="280"/>
      <c r="AJ69" s="280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  <c r="BF69" s="34"/>
      <c r="BG69" s="34"/>
      <c r="BH69" s="34"/>
      <c r="BI69" s="34"/>
      <c r="BJ69" s="34"/>
      <c r="BK69" s="34"/>
      <c r="BL69" s="34"/>
      <c r="CJ69"/>
      <c r="CK69"/>
      <c r="CL69"/>
    </row>
    <row r="70" spans="1:96" x14ac:dyDescent="0.2">
      <c r="A70" s="1"/>
      <c r="B70" s="45"/>
      <c r="C70" s="45"/>
      <c r="D70" s="336"/>
      <c r="E70" s="338"/>
      <c r="F70" s="305"/>
      <c r="G70" s="305"/>
      <c r="H70" s="305"/>
      <c r="J70" s="28"/>
      <c r="K70" s="28"/>
      <c r="L70" s="28"/>
      <c r="M70" s="330"/>
      <c r="N70" s="166"/>
      <c r="O70" s="166"/>
      <c r="P70" s="280"/>
      <c r="Q70" s="280"/>
      <c r="R70" s="280"/>
      <c r="S70" s="280"/>
      <c r="T70" s="280"/>
      <c r="U70" s="280"/>
      <c r="V70" s="280"/>
      <c r="W70" s="280"/>
      <c r="X70" s="280"/>
      <c r="Y70" s="280"/>
      <c r="Z70" s="280"/>
      <c r="AA70" s="280"/>
      <c r="AB70" s="280"/>
      <c r="AC70" s="280"/>
      <c r="AD70" s="280"/>
      <c r="AE70" s="280"/>
      <c r="AF70" s="280"/>
      <c r="AG70" s="280"/>
      <c r="AH70" s="280"/>
      <c r="AI70" s="280"/>
      <c r="AJ70" s="280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  <c r="BG70" s="34"/>
      <c r="BH70" s="34"/>
      <c r="BI70" s="34"/>
      <c r="BJ70" s="34"/>
      <c r="BK70" s="34"/>
      <c r="BL70" s="34"/>
    </row>
    <row r="71" spans="1:96" x14ac:dyDescent="0.2">
      <c r="A71" s="1"/>
      <c r="B71" s="305"/>
      <c r="C71" s="45"/>
      <c r="D71" s="331"/>
      <c r="E71" s="63"/>
      <c r="F71" s="305"/>
      <c r="G71" s="305"/>
      <c r="H71" s="305"/>
      <c r="J71" s="28"/>
      <c r="K71" s="28"/>
      <c r="L71" s="28"/>
      <c r="M71" s="330"/>
      <c r="N71" s="166"/>
      <c r="O71" s="166"/>
      <c r="P71" s="280"/>
      <c r="Q71" s="280"/>
      <c r="R71" s="280"/>
      <c r="S71" s="280"/>
      <c r="T71" s="280"/>
      <c r="V71" s="280"/>
      <c r="W71" s="280"/>
      <c r="X71" s="280"/>
      <c r="Y71" s="280"/>
      <c r="Z71" s="280"/>
      <c r="AA71" s="280"/>
      <c r="AB71" s="280"/>
      <c r="AC71" s="280"/>
      <c r="AD71" s="280"/>
      <c r="AE71" s="280"/>
      <c r="AF71" s="280"/>
      <c r="AG71" s="280"/>
      <c r="AH71" s="280"/>
      <c r="AI71" s="280"/>
      <c r="AJ71" s="280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  <c r="BF71" s="34"/>
      <c r="BG71" s="34"/>
      <c r="BH71" s="34"/>
      <c r="BI71" s="34"/>
      <c r="BJ71" s="34"/>
      <c r="BK71" s="34"/>
      <c r="BL71" s="34"/>
    </row>
    <row r="72" spans="1:96" x14ac:dyDescent="0.2">
      <c r="A72" s="1"/>
      <c r="B72" s="45"/>
      <c r="C72" s="45"/>
      <c r="D72" s="335"/>
      <c r="J72" s="28"/>
      <c r="K72" s="28"/>
      <c r="L72" s="28"/>
      <c r="M72" s="330"/>
      <c r="N72" s="166"/>
      <c r="O72" s="166"/>
      <c r="P72" s="280"/>
      <c r="Q72" s="280"/>
      <c r="R72" s="280"/>
      <c r="S72" s="280"/>
      <c r="T72" s="280"/>
      <c r="V72" s="280"/>
      <c r="W72" s="280"/>
      <c r="X72" s="280"/>
      <c r="Y72" s="280"/>
      <c r="Z72" s="280"/>
      <c r="AA72" s="280"/>
      <c r="AB72" s="280"/>
      <c r="AC72" s="280"/>
      <c r="AD72" s="280"/>
      <c r="AE72" s="280"/>
      <c r="AF72" s="280"/>
      <c r="AG72" s="280"/>
      <c r="AH72" s="280"/>
      <c r="AI72" s="280"/>
      <c r="AJ72" s="280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  <c r="BF72" s="34"/>
      <c r="BG72" s="34"/>
      <c r="BH72" s="34"/>
      <c r="BI72" s="34"/>
      <c r="BJ72" s="34"/>
      <c r="BK72" s="34"/>
      <c r="BL72" s="34"/>
    </row>
    <row r="73" spans="1:96" ht="15" customHeight="1" x14ac:dyDescent="0.2">
      <c r="A73" s="1"/>
      <c r="B73" s="45"/>
      <c r="C73" s="45"/>
      <c r="D73" s="337"/>
      <c r="J73" s="28"/>
      <c r="K73" s="28"/>
      <c r="L73" s="28"/>
      <c r="M73" s="330"/>
      <c r="N73" s="166"/>
      <c r="O73" s="166"/>
      <c r="P73" s="280"/>
      <c r="Q73" s="280"/>
      <c r="R73" s="280"/>
      <c r="V73" s="280"/>
      <c r="W73" s="280"/>
      <c r="X73" s="280"/>
      <c r="Y73" s="280"/>
      <c r="Z73" s="280"/>
      <c r="AA73" s="280"/>
      <c r="AB73" s="280"/>
      <c r="AC73" s="280"/>
      <c r="AD73" s="280"/>
      <c r="AE73" s="280"/>
      <c r="AF73" s="280"/>
      <c r="AG73" s="280"/>
      <c r="AH73" s="280"/>
      <c r="AI73" s="280"/>
      <c r="AJ73" s="280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  <c r="BF73" s="34"/>
      <c r="BG73" s="34"/>
      <c r="BH73" s="34"/>
      <c r="BI73" s="34"/>
      <c r="BJ73" s="34"/>
      <c r="BK73" s="34"/>
      <c r="BL73" s="34"/>
    </row>
    <row r="74" spans="1:96" x14ac:dyDescent="0.2">
      <c r="A74" s="1"/>
      <c r="B74" s="45"/>
      <c r="C74" s="45"/>
      <c r="D74" s="329"/>
      <c r="J74" s="318"/>
      <c r="K74" s="318"/>
      <c r="L74" s="318"/>
      <c r="M74" s="321"/>
      <c r="N74" s="136"/>
      <c r="O74" s="166"/>
      <c r="V74" s="280"/>
      <c r="W74" s="280"/>
      <c r="X74" s="280"/>
      <c r="Y74" s="280"/>
      <c r="Z74" s="280"/>
      <c r="AA74" s="280"/>
      <c r="AB74" s="280"/>
      <c r="AC74" s="280"/>
      <c r="AD74" s="280"/>
      <c r="AE74" s="280"/>
      <c r="AF74" s="280"/>
      <c r="AG74" s="280"/>
      <c r="AH74" s="280"/>
      <c r="AI74" s="280"/>
      <c r="AJ74" s="280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  <c r="BF74" s="34"/>
      <c r="BG74" s="34"/>
      <c r="BH74" s="34"/>
      <c r="BI74" s="34"/>
      <c r="BJ74" s="34"/>
      <c r="BK74" s="34"/>
      <c r="BL74" s="34"/>
    </row>
    <row r="75" spans="1:96" x14ac:dyDescent="0.2">
      <c r="A75" s="1"/>
      <c r="B75" s="24"/>
      <c r="C75" s="24"/>
      <c r="D75" s="329"/>
      <c r="J75" s="318"/>
      <c r="K75" s="318"/>
      <c r="L75" s="318"/>
      <c r="M75" s="28"/>
      <c r="N75" s="28"/>
      <c r="O75" s="136"/>
      <c r="V75" s="280"/>
      <c r="W75" s="280"/>
      <c r="X75" s="280"/>
      <c r="Y75" s="280"/>
      <c r="Z75" s="280"/>
      <c r="AA75" s="280"/>
      <c r="AB75" s="280"/>
      <c r="AC75" s="280"/>
      <c r="AD75" s="280"/>
      <c r="AE75" s="280"/>
      <c r="AF75" s="280"/>
      <c r="AG75" s="280"/>
      <c r="AH75" s="280"/>
      <c r="AI75" s="280"/>
      <c r="AJ75" s="280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  <c r="BF75" s="34"/>
      <c r="BG75" s="34"/>
      <c r="BH75" s="34"/>
      <c r="BI75" s="34"/>
      <c r="BJ75" s="34"/>
      <c r="BK75" s="34"/>
      <c r="BL75" s="34"/>
    </row>
    <row r="76" spans="1:96" x14ac:dyDescent="0.2">
      <c r="A76" s="1"/>
      <c r="B76" s="24"/>
      <c r="C76" s="24"/>
      <c r="D76" s="24"/>
      <c r="J76" s="28"/>
      <c r="K76" s="28"/>
      <c r="L76" s="28"/>
      <c r="M76" s="318"/>
      <c r="N76" s="186"/>
      <c r="O76" s="28"/>
      <c r="V76" s="280"/>
      <c r="W76" s="280"/>
      <c r="X76" s="280"/>
      <c r="Y76" s="280"/>
      <c r="Z76" s="280"/>
      <c r="AA76" s="280"/>
      <c r="AB76" s="280"/>
      <c r="AC76" s="280"/>
      <c r="AD76" s="280"/>
      <c r="AE76" s="280"/>
      <c r="AF76" s="280"/>
      <c r="AG76" s="280"/>
      <c r="AH76" s="280"/>
      <c r="AI76" s="280"/>
      <c r="AJ76" s="280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  <c r="BF76" s="34"/>
      <c r="BG76" s="34"/>
      <c r="BH76" s="34"/>
      <c r="BI76" s="34"/>
      <c r="BJ76" s="34"/>
      <c r="BK76" s="34"/>
      <c r="BL76" s="34"/>
    </row>
    <row r="77" spans="1:96" x14ac:dyDescent="0.2">
      <c r="A77" s="1"/>
      <c r="J77" s="28"/>
      <c r="K77" s="28"/>
      <c r="L77" s="329"/>
      <c r="M77" s="318"/>
      <c r="N77" s="186"/>
      <c r="O77" s="186"/>
      <c r="V77" s="280"/>
      <c r="W77" s="280"/>
      <c r="X77" s="280"/>
      <c r="Y77" s="280"/>
      <c r="Z77" s="280"/>
      <c r="AA77" s="280"/>
      <c r="AB77" s="280"/>
      <c r="AC77" s="280"/>
      <c r="AD77" s="280"/>
      <c r="AE77" s="280"/>
      <c r="AF77" s="280"/>
      <c r="AG77" s="280"/>
      <c r="AH77" s="280"/>
      <c r="AI77" s="280"/>
      <c r="AJ77" s="280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</row>
    <row r="78" spans="1:96" x14ac:dyDescent="0.2">
      <c r="A78" s="1"/>
      <c r="J78" s="28"/>
      <c r="K78" s="28"/>
      <c r="L78" s="28"/>
      <c r="M78" s="28"/>
      <c r="N78" s="28"/>
      <c r="O78" s="186"/>
      <c r="V78" s="280"/>
      <c r="W78" s="280"/>
      <c r="X78" s="280"/>
      <c r="Y78" s="280"/>
      <c r="Z78" s="280"/>
      <c r="AA78" s="280"/>
      <c r="AB78" s="280"/>
      <c r="AC78" s="280"/>
      <c r="AD78" s="280"/>
      <c r="AE78" s="280"/>
      <c r="AF78" s="280"/>
      <c r="AG78" s="280"/>
      <c r="AH78" s="280"/>
      <c r="AI78" s="280"/>
      <c r="AJ78" s="280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  <c r="BF78" s="34"/>
      <c r="BG78" s="34"/>
      <c r="BH78" s="34"/>
      <c r="BI78" s="34"/>
      <c r="BJ78" s="34"/>
      <c r="BK78" s="34"/>
      <c r="BL78" s="34"/>
    </row>
    <row r="79" spans="1:96" x14ac:dyDescent="0.2">
      <c r="A79" s="1"/>
      <c r="J79" s="318"/>
      <c r="K79" s="28"/>
      <c r="L79" s="28"/>
      <c r="M79" s="28"/>
      <c r="N79" s="127"/>
      <c r="O79" s="28"/>
      <c r="V79" s="280"/>
      <c r="W79" s="280"/>
      <c r="X79" s="280"/>
      <c r="Y79" s="280"/>
      <c r="Z79" s="280"/>
      <c r="AA79" s="280"/>
      <c r="AB79" s="280"/>
      <c r="AC79" s="280"/>
      <c r="AD79" s="280"/>
      <c r="AE79" s="280"/>
      <c r="AF79" s="280"/>
      <c r="AG79" s="280"/>
      <c r="AH79" s="280"/>
      <c r="AI79" s="280"/>
      <c r="AJ79" s="280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4"/>
    </row>
    <row r="80" spans="1:96" x14ac:dyDescent="0.2">
      <c r="A80" s="1"/>
      <c r="J80" s="28"/>
      <c r="K80" s="28"/>
      <c r="L80" s="28"/>
      <c r="M80" s="28"/>
      <c r="N80" s="28"/>
      <c r="O80" s="127"/>
      <c r="V80" s="280"/>
      <c r="W80" s="280"/>
      <c r="X80" s="280"/>
      <c r="Y80" s="280"/>
      <c r="Z80" s="280"/>
      <c r="AA80" s="280"/>
      <c r="AB80" s="280"/>
      <c r="AC80" s="280"/>
      <c r="AD80" s="280"/>
      <c r="AE80" s="280"/>
      <c r="AF80" s="280"/>
      <c r="AG80" s="280"/>
      <c r="AH80" s="280"/>
      <c r="AI80" s="280"/>
      <c r="AJ80" s="280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</row>
    <row r="81" spans="1:64" x14ac:dyDescent="0.2">
      <c r="A81" s="1"/>
      <c r="J81" s="28"/>
      <c r="K81" s="28"/>
      <c r="L81" s="296"/>
      <c r="M81" s="28"/>
      <c r="N81" s="136"/>
      <c r="O81" s="28"/>
      <c r="V81" s="280"/>
      <c r="W81" s="280"/>
      <c r="X81" s="280"/>
      <c r="Y81" s="280"/>
      <c r="Z81" s="280"/>
      <c r="AA81" s="280"/>
      <c r="AB81" s="280"/>
      <c r="AC81" s="280"/>
      <c r="AD81" s="280"/>
      <c r="AE81" s="280"/>
      <c r="AF81" s="280"/>
      <c r="AG81" s="280"/>
      <c r="AH81" s="280"/>
      <c r="AI81" s="280"/>
      <c r="AJ81" s="280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  <c r="BF81" s="34"/>
      <c r="BG81" s="34"/>
      <c r="BH81" s="34"/>
      <c r="BI81" s="34"/>
      <c r="BJ81" s="34"/>
      <c r="BK81" s="34"/>
      <c r="BL81" s="34"/>
    </row>
    <row r="82" spans="1:64" x14ac:dyDescent="0.2">
      <c r="A82" s="1"/>
      <c r="J82" s="28"/>
      <c r="K82" s="28"/>
      <c r="L82" s="296"/>
      <c r="M82" s="28"/>
      <c r="N82" s="28"/>
      <c r="O82" s="136"/>
      <c r="V82" s="280"/>
      <c r="W82" s="280"/>
      <c r="X82" s="280"/>
      <c r="Y82" s="280"/>
      <c r="Z82" s="280"/>
      <c r="AA82" s="280"/>
      <c r="AB82" s="280"/>
      <c r="AC82" s="280"/>
      <c r="AD82" s="280"/>
      <c r="AE82" s="280"/>
      <c r="AF82" s="280"/>
      <c r="AG82" s="280"/>
      <c r="AH82" s="280"/>
      <c r="AI82" s="280"/>
      <c r="AJ82" s="280"/>
      <c r="AO82" s="34"/>
      <c r="AP82" s="34"/>
      <c r="AQ82" s="34"/>
      <c r="AR82" s="34"/>
      <c r="AS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</row>
    <row r="83" spans="1:64" x14ac:dyDescent="0.2">
      <c r="A83" s="1"/>
      <c r="J83" s="28"/>
      <c r="K83" s="28"/>
      <c r="L83" s="28"/>
      <c r="M83" s="28"/>
      <c r="N83" s="339"/>
      <c r="O83" s="28"/>
      <c r="V83" s="280"/>
      <c r="W83" s="280"/>
      <c r="X83" s="280"/>
      <c r="Y83" s="280"/>
      <c r="Z83" s="280"/>
      <c r="AA83" s="280"/>
      <c r="AB83" s="280"/>
      <c r="AC83" s="280"/>
      <c r="AD83" s="280"/>
      <c r="AE83" s="280"/>
      <c r="AF83" s="280"/>
      <c r="AG83" s="280"/>
      <c r="AH83" s="280"/>
      <c r="AI83" s="280"/>
      <c r="AJ83" s="280"/>
      <c r="AO83" s="34"/>
      <c r="AP83" s="34"/>
      <c r="AQ83" s="34"/>
      <c r="AR83" s="34"/>
      <c r="AS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</row>
    <row r="84" spans="1:64" x14ac:dyDescent="0.2">
      <c r="A84" s="1"/>
      <c r="J84" s="28"/>
      <c r="K84" s="28"/>
      <c r="L84" s="28"/>
      <c r="M84" s="28"/>
      <c r="N84" s="339"/>
      <c r="O84" s="339"/>
      <c r="V84" s="280"/>
      <c r="W84" s="280"/>
      <c r="X84" s="280"/>
      <c r="Y84" s="280"/>
      <c r="Z84" s="280"/>
      <c r="AA84" s="280"/>
      <c r="AB84" s="280"/>
      <c r="AC84" s="280"/>
      <c r="AD84" s="280"/>
      <c r="AE84" s="280"/>
      <c r="AF84" s="280"/>
      <c r="AG84" s="280"/>
      <c r="AH84" s="280"/>
      <c r="AI84" s="280"/>
      <c r="AJ84" s="280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</row>
    <row r="85" spans="1:64" x14ac:dyDescent="0.2">
      <c r="A85" s="1"/>
      <c r="J85" s="28"/>
      <c r="K85" s="28"/>
      <c r="L85" s="28"/>
      <c r="M85" s="28"/>
      <c r="N85" s="28"/>
      <c r="O85" s="339"/>
      <c r="V85" s="280"/>
      <c r="W85" s="280"/>
      <c r="X85" s="280"/>
      <c r="Y85" s="280"/>
      <c r="Z85" s="280"/>
      <c r="AA85" s="280"/>
      <c r="AB85" s="280"/>
      <c r="AC85" s="280"/>
      <c r="AD85" s="280"/>
      <c r="AE85" s="280"/>
      <c r="AF85" s="280"/>
      <c r="AG85" s="280"/>
      <c r="AH85" s="280"/>
      <c r="AI85" s="280"/>
      <c r="AJ85" s="280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</row>
    <row r="86" spans="1:64" x14ac:dyDescent="0.2">
      <c r="A86" s="1"/>
      <c r="J86" s="28"/>
      <c r="K86" s="28"/>
      <c r="L86" s="28"/>
      <c r="M86" s="28"/>
      <c r="N86" s="340"/>
      <c r="O86" s="28"/>
      <c r="V86" s="280"/>
      <c r="W86" s="280"/>
      <c r="X86" s="280"/>
      <c r="Y86" s="280"/>
      <c r="Z86" s="280"/>
      <c r="AA86" s="280"/>
      <c r="AB86" s="280"/>
      <c r="AC86" s="280"/>
      <c r="AD86" s="280"/>
      <c r="AE86" s="280"/>
      <c r="AF86" s="280"/>
      <c r="AG86" s="280"/>
      <c r="AH86" s="280"/>
      <c r="AI86" s="280"/>
      <c r="AJ86" s="280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</row>
    <row r="87" spans="1:64" x14ac:dyDescent="0.2">
      <c r="A87" s="1"/>
      <c r="J87" s="300"/>
      <c r="K87" s="341"/>
      <c r="L87" s="28"/>
      <c r="M87" s="28"/>
      <c r="N87" s="340"/>
      <c r="O87" s="340"/>
      <c r="V87" s="280"/>
      <c r="W87" s="280"/>
      <c r="X87" s="280"/>
      <c r="Y87" s="280"/>
      <c r="Z87" s="280"/>
      <c r="AA87" s="280"/>
      <c r="AB87" s="280"/>
      <c r="AC87" s="280"/>
      <c r="AD87" s="280"/>
      <c r="AE87" s="280"/>
      <c r="AF87" s="280"/>
      <c r="AG87" s="280"/>
      <c r="AH87" s="280"/>
      <c r="AI87" s="280"/>
      <c r="AJ87" s="280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  <c r="BK87" s="34"/>
      <c r="BL87" s="34"/>
    </row>
    <row r="88" spans="1:64" x14ac:dyDescent="0.2">
      <c r="A88" s="1"/>
      <c r="J88" s="300"/>
      <c r="K88" s="301"/>
      <c r="L88" s="215"/>
      <c r="M88" s="217"/>
      <c r="N88" s="217"/>
      <c r="O88" s="340"/>
      <c r="V88" s="280"/>
      <c r="W88" s="280"/>
      <c r="X88" s="280"/>
      <c r="Y88" s="280"/>
      <c r="Z88" s="280"/>
      <c r="AA88" s="280"/>
      <c r="AB88" s="280"/>
      <c r="AC88" s="280"/>
      <c r="AD88" s="280"/>
      <c r="AE88" s="280"/>
      <c r="AF88" s="280"/>
      <c r="AG88" s="280"/>
      <c r="AH88" s="280"/>
      <c r="AI88" s="280"/>
      <c r="AJ88" s="280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  <c r="BF88" s="34"/>
      <c r="BG88" s="34"/>
      <c r="BH88" s="34"/>
      <c r="BI88" s="34"/>
      <c r="BJ88" s="34"/>
      <c r="BK88" s="34"/>
      <c r="BL88" s="34"/>
    </row>
    <row r="89" spans="1:64" x14ac:dyDescent="0.2">
      <c r="A89" s="1"/>
      <c r="J89" s="300"/>
      <c r="K89" s="301"/>
      <c r="L89" s="215"/>
      <c r="M89" s="217"/>
      <c r="N89" s="217"/>
      <c r="O89" s="217"/>
      <c r="V89" s="280"/>
      <c r="W89" s="280"/>
      <c r="X89" s="280"/>
      <c r="Y89" s="280"/>
      <c r="Z89" s="280"/>
      <c r="AA89" s="280"/>
      <c r="AB89" s="280"/>
      <c r="AC89" s="280"/>
      <c r="AD89" s="280"/>
      <c r="AE89" s="280"/>
      <c r="AF89" s="280"/>
      <c r="AG89" s="280"/>
      <c r="AH89" s="280"/>
      <c r="AI89" s="280"/>
      <c r="AJ89" s="280"/>
      <c r="AO89" s="34"/>
      <c r="AP89" s="34"/>
      <c r="AQ89" s="34"/>
      <c r="AR89" s="34"/>
      <c r="AS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  <c r="BF89" s="34"/>
      <c r="BG89" s="34"/>
      <c r="BH89" s="34"/>
      <c r="BI89" s="34"/>
      <c r="BJ89" s="34"/>
      <c r="BK89" s="34"/>
      <c r="BL89" s="34"/>
    </row>
    <row r="90" spans="1:64" x14ac:dyDescent="0.2">
      <c r="A90" s="1"/>
      <c r="J90" s="300"/>
      <c r="K90" s="301"/>
      <c r="L90" s="215"/>
      <c r="M90" s="216"/>
      <c r="N90" s="217"/>
      <c r="O90" s="217"/>
      <c r="V90" s="280"/>
      <c r="W90" s="280"/>
      <c r="X90" s="280"/>
      <c r="Y90" s="280"/>
      <c r="Z90" s="280"/>
      <c r="AA90" s="280"/>
      <c r="AB90" s="280"/>
      <c r="AC90" s="280"/>
      <c r="AD90" s="280"/>
      <c r="AE90" s="280"/>
      <c r="AF90" s="280"/>
      <c r="AG90" s="280"/>
      <c r="AH90" s="280"/>
      <c r="AI90" s="280"/>
      <c r="AJ90" s="280"/>
      <c r="AO90" s="34"/>
      <c r="AP90" s="34"/>
      <c r="AQ90" s="34"/>
      <c r="AR90" s="34"/>
      <c r="AS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  <c r="BF90" s="34"/>
      <c r="BG90" s="34"/>
      <c r="BH90" s="34"/>
      <c r="BI90" s="34"/>
      <c r="BJ90" s="34"/>
      <c r="BK90" s="34"/>
      <c r="BL90" s="34"/>
    </row>
    <row r="91" spans="1:64" x14ac:dyDescent="0.2">
      <c r="A91" s="1"/>
      <c r="J91" s="280"/>
      <c r="K91" s="280"/>
      <c r="L91" s="280"/>
      <c r="M91" s="228"/>
      <c r="N91" s="217"/>
      <c r="O91" s="217"/>
      <c r="V91" s="280"/>
      <c r="W91" s="280"/>
      <c r="X91" s="280"/>
      <c r="Y91" s="280"/>
      <c r="Z91" s="280"/>
      <c r="AA91" s="280"/>
      <c r="AB91" s="280"/>
      <c r="AC91" s="280"/>
      <c r="AD91" s="280"/>
      <c r="AE91" s="280"/>
      <c r="AF91" s="280"/>
      <c r="AG91" s="280"/>
      <c r="AH91" s="280"/>
      <c r="AI91" s="280"/>
      <c r="AJ91" s="280"/>
      <c r="AO91" s="34"/>
      <c r="AP91" s="34"/>
      <c r="AQ91" s="34"/>
      <c r="AR91" s="34"/>
      <c r="AS91" s="3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  <c r="BF91" s="34"/>
      <c r="BG91" s="34"/>
      <c r="BH91" s="34"/>
      <c r="BI91" s="34"/>
      <c r="BJ91" s="34"/>
      <c r="BK91" s="34"/>
      <c r="BL91" s="34"/>
    </row>
    <row r="92" spans="1:64" x14ac:dyDescent="0.2">
      <c r="A92" s="1"/>
      <c r="J92" s="280"/>
      <c r="K92" s="280"/>
      <c r="L92" s="280"/>
      <c r="M92" s="228"/>
      <c r="N92" s="217"/>
      <c r="O92" s="217"/>
      <c r="V92" s="280"/>
      <c r="W92" s="280"/>
      <c r="X92" s="280"/>
      <c r="Y92" s="280"/>
      <c r="Z92" s="280"/>
      <c r="AA92" s="280"/>
      <c r="AB92" s="280"/>
      <c r="AC92" s="280"/>
      <c r="AD92" s="280"/>
      <c r="AE92" s="280"/>
      <c r="AF92" s="280"/>
      <c r="AG92" s="280"/>
      <c r="AH92" s="280"/>
      <c r="AI92" s="280"/>
      <c r="AJ92" s="280"/>
      <c r="AO92" s="34"/>
      <c r="AP92" s="34"/>
      <c r="AQ92" s="34"/>
      <c r="AR92" s="34"/>
      <c r="AS92" s="3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  <c r="BF92" s="34"/>
      <c r="BG92" s="34"/>
      <c r="BH92" s="34"/>
      <c r="BI92" s="34"/>
      <c r="BJ92" s="34"/>
      <c r="BK92" s="34"/>
      <c r="BL92" s="34"/>
    </row>
    <row r="93" spans="1:64" x14ac:dyDescent="0.2">
      <c r="A93" s="1"/>
      <c r="J93" s="280"/>
      <c r="K93" s="280"/>
      <c r="L93" s="280"/>
      <c r="M93" s="280"/>
      <c r="N93" s="280"/>
      <c r="O93" s="217"/>
      <c r="V93" s="280"/>
      <c r="W93" s="280"/>
      <c r="X93" s="280"/>
      <c r="Y93" s="280"/>
      <c r="Z93" s="280"/>
      <c r="AA93" s="280"/>
      <c r="AB93" s="280"/>
      <c r="AC93" s="280"/>
      <c r="AD93" s="280"/>
      <c r="AE93" s="280"/>
      <c r="AF93" s="280"/>
      <c r="AG93" s="280"/>
      <c r="AH93" s="280"/>
      <c r="AI93" s="280"/>
      <c r="AJ93" s="280"/>
      <c r="AO93" s="34"/>
      <c r="AP93" s="34"/>
      <c r="AQ93" s="34"/>
      <c r="AR93" s="34"/>
      <c r="AS93" s="3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  <c r="BF93" s="34"/>
      <c r="BG93" s="34"/>
      <c r="BH93" s="34"/>
      <c r="BI93" s="34"/>
      <c r="BJ93" s="34"/>
      <c r="BK93" s="34"/>
      <c r="BL93" s="34"/>
    </row>
    <row r="94" spans="1:64" x14ac:dyDescent="0.2">
      <c r="A94" s="1"/>
      <c r="J94" s="280"/>
      <c r="K94" s="280"/>
      <c r="L94" s="280"/>
      <c r="M94" s="280"/>
      <c r="N94" s="280"/>
      <c r="O94" s="280"/>
      <c r="V94" s="280"/>
      <c r="W94" s="280"/>
      <c r="X94" s="280"/>
      <c r="Y94" s="280"/>
      <c r="Z94" s="280"/>
      <c r="AA94" s="280"/>
      <c r="AB94" s="280"/>
      <c r="AC94" s="280"/>
      <c r="AD94" s="280"/>
      <c r="AE94" s="280"/>
      <c r="AF94" s="280"/>
      <c r="AG94" s="280"/>
      <c r="AH94" s="280"/>
      <c r="AI94" s="280"/>
      <c r="AJ94" s="280"/>
      <c r="AO94" s="34"/>
      <c r="AP94" s="34"/>
      <c r="AQ94" s="34"/>
      <c r="AR94" s="34"/>
      <c r="AS94" s="34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E94" s="34"/>
      <c r="BF94" s="34"/>
      <c r="BG94" s="34"/>
      <c r="BH94" s="34"/>
      <c r="BI94" s="34"/>
      <c r="BJ94" s="34"/>
      <c r="BK94" s="34"/>
      <c r="BL94" s="34"/>
    </row>
    <row r="95" spans="1:64" x14ac:dyDescent="0.2">
      <c r="A95" s="1"/>
      <c r="J95" s="280"/>
      <c r="K95" s="280"/>
      <c r="L95" s="280"/>
      <c r="M95" s="280"/>
      <c r="N95" s="280"/>
      <c r="O95" s="280"/>
      <c r="V95" s="280"/>
      <c r="W95" s="280"/>
      <c r="X95" s="280"/>
      <c r="Y95" s="280"/>
      <c r="Z95" s="280"/>
      <c r="AA95" s="280"/>
      <c r="AB95" s="280"/>
      <c r="AC95" s="280"/>
      <c r="AD95" s="280"/>
      <c r="AE95" s="280"/>
      <c r="AF95" s="280"/>
      <c r="AG95" s="280"/>
      <c r="AH95" s="280"/>
      <c r="AI95" s="280"/>
      <c r="AJ95" s="280"/>
      <c r="AO95" s="34"/>
      <c r="AP95" s="34"/>
      <c r="AQ95" s="34"/>
      <c r="AR95" s="34"/>
      <c r="AS95" s="3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E95" s="34"/>
      <c r="BF95" s="34"/>
      <c r="BG95" s="34"/>
      <c r="BH95" s="34"/>
      <c r="BI95" s="34"/>
      <c r="BJ95" s="34"/>
      <c r="BK95" s="34"/>
      <c r="BL95" s="34"/>
    </row>
    <row r="96" spans="1:64" x14ac:dyDescent="0.2">
      <c r="A96" s="1"/>
      <c r="J96" s="280"/>
      <c r="K96" s="280"/>
      <c r="L96" s="280"/>
      <c r="M96" s="280"/>
      <c r="N96" s="280"/>
      <c r="O96" s="280"/>
      <c r="V96" s="280"/>
      <c r="W96" s="280"/>
      <c r="X96" s="280"/>
      <c r="Y96" s="280"/>
      <c r="Z96" s="280"/>
      <c r="AA96" s="280"/>
      <c r="AB96" s="280"/>
      <c r="AC96" s="280"/>
      <c r="AD96" s="280"/>
      <c r="AE96" s="280"/>
      <c r="AF96" s="280"/>
      <c r="AG96" s="280"/>
      <c r="AH96" s="280"/>
      <c r="AI96" s="280"/>
      <c r="AJ96" s="280"/>
      <c r="AO96" s="34"/>
      <c r="AP96" s="34"/>
      <c r="AQ96" s="34"/>
      <c r="AR96" s="34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E96" s="34"/>
      <c r="BF96" s="34"/>
      <c r="BG96" s="34"/>
      <c r="BH96" s="34"/>
      <c r="BI96" s="34"/>
      <c r="BJ96" s="34"/>
      <c r="BK96" s="34"/>
      <c r="BL96" s="34"/>
    </row>
    <row r="97" spans="1:64" x14ac:dyDescent="0.2">
      <c r="A97" s="1"/>
      <c r="J97" s="280"/>
      <c r="K97" s="280"/>
      <c r="L97" s="280"/>
      <c r="M97" s="280"/>
      <c r="N97" s="280"/>
      <c r="O97" s="280"/>
      <c r="V97" s="280"/>
      <c r="W97" s="280"/>
      <c r="X97" s="280"/>
      <c r="Y97" s="280"/>
      <c r="Z97" s="280"/>
      <c r="AA97" s="280"/>
      <c r="AB97" s="280"/>
      <c r="AC97" s="280"/>
      <c r="AD97" s="280"/>
      <c r="AE97" s="280"/>
      <c r="AF97" s="280"/>
      <c r="AG97" s="280"/>
      <c r="AH97" s="280"/>
      <c r="AI97" s="280"/>
      <c r="AJ97" s="280"/>
      <c r="AO97" s="34"/>
      <c r="AP97" s="34"/>
      <c r="AQ97" s="34"/>
      <c r="AR97" s="34"/>
      <c r="AS97" s="34"/>
      <c r="AT97" s="34"/>
      <c r="AU97" s="34"/>
      <c r="AV97" s="34"/>
      <c r="AW97" s="34"/>
      <c r="BE97" s="34"/>
      <c r="BF97" s="34"/>
      <c r="BG97" s="34"/>
      <c r="BH97" s="34"/>
      <c r="BI97" s="34"/>
      <c r="BJ97" s="34"/>
      <c r="BK97" s="34"/>
      <c r="BL97" s="34"/>
    </row>
    <row r="98" spans="1:64" x14ac:dyDescent="0.2">
      <c r="A98" s="1"/>
      <c r="J98" s="280"/>
      <c r="K98" s="280"/>
      <c r="L98" s="280"/>
      <c r="M98" s="280"/>
      <c r="N98" s="280"/>
      <c r="O98" s="280"/>
      <c r="V98" s="280"/>
      <c r="W98" s="280"/>
      <c r="X98" s="280"/>
      <c r="Y98" s="280"/>
      <c r="Z98" s="280"/>
      <c r="AA98" s="280"/>
      <c r="AB98" s="280"/>
      <c r="AC98" s="280"/>
      <c r="AD98" s="280"/>
      <c r="AE98" s="280"/>
      <c r="AF98" s="280"/>
      <c r="AG98" s="280"/>
      <c r="AH98" s="280"/>
      <c r="AI98" s="280"/>
      <c r="AJ98" s="280"/>
      <c r="AR98" s="34"/>
      <c r="AS98" s="34"/>
      <c r="AT98" s="34"/>
      <c r="AU98" s="34"/>
      <c r="AV98" s="34"/>
      <c r="BE98" s="34"/>
      <c r="BF98" s="34"/>
      <c r="BG98" s="34"/>
      <c r="BH98" s="34"/>
      <c r="BI98" s="34"/>
      <c r="BJ98" s="34"/>
      <c r="BK98" s="34"/>
      <c r="BL98" s="34"/>
    </row>
    <row r="99" spans="1:64" x14ac:dyDescent="0.2">
      <c r="J99" s="280"/>
      <c r="K99" s="280"/>
      <c r="L99" s="280"/>
      <c r="M99" s="280"/>
      <c r="N99" s="280"/>
      <c r="O99" s="280"/>
      <c r="V99" s="280"/>
      <c r="W99" s="280"/>
      <c r="X99" s="280"/>
      <c r="Y99" s="280"/>
      <c r="Z99" s="280"/>
      <c r="AA99" s="280"/>
      <c r="AB99" s="280"/>
      <c r="AC99" s="280"/>
      <c r="AD99" s="280"/>
      <c r="AE99" s="280"/>
      <c r="AF99" s="280"/>
      <c r="AG99" s="280"/>
      <c r="AH99" s="280"/>
      <c r="AI99" s="280"/>
      <c r="AJ99" s="280"/>
      <c r="BE99" s="34"/>
      <c r="BF99" s="34"/>
      <c r="BG99" s="34"/>
      <c r="BH99" s="34"/>
      <c r="BI99" s="34"/>
      <c r="BJ99" s="34"/>
      <c r="BK99" s="34"/>
      <c r="BL99" s="34"/>
    </row>
    <row r="100" spans="1:64" x14ac:dyDescent="0.2">
      <c r="J100" s="280"/>
      <c r="K100" s="280"/>
      <c r="L100" s="280"/>
      <c r="M100" s="280"/>
      <c r="N100" s="280"/>
      <c r="O100" s="280"/>
      <c r="V100" s="280"/>
      <c r="W100" s="280"/>
      <c r="X100" s="280"/>
      <c r="Y100" s="280"/>
      <c r="Z100" s="280"/>
      <c r="AA100" s="280"/>
      <c r="AB100" s="280"/>
      <c r="AC100" s="280"/>
      <c r="AD100" s="280"/>
      <c r="AE100" s="280"/>
      <c r="AF100" s="280"/>
      <c r="AG100" s="280"/>
      <c r="AH100" s="280"/>
      <c r="AI100" s="280"/>
      <c r="AJ100" s="280"/>
    </row>
    <row r="101" spans="1:64" x14ac:dyDescent="0.2">
      <c r="J101" s="280"/>
      <c r="K101" s="280"/>
      <c r="L101" s="280"/>
      <c r="M101" s="280"/>
      <c r="N101" s="280"/>
      <c r="O101" s="280"/>
      <c r="V101" s="280"/>
      <c r="W101" s="280"/>
      <c r="X101" s="280"/>
      <c r="Y101" s="280"/>
      <c r="Z101" s="280"/>
      <c r="AA101" s="280"/>
      <c r="AB101" s="280"/>
      <c r="AC101" s="280"/>
      <c r="AD101" s="280"/>
      <c r="AE101" s="280"/>
      <c r="AF101" s="280"/>
      <c r="AG101" s="280"/>
      <c r="AH101" s="280"/>
      <c r="AI101" s="280"/>
      <c r="AJ101" s="280"/>
    </row>
    <row r="102" spans="1:64" x14ac:dyDescent="0.2">
      <c r="J102" s="280"/>
      <c r="K102" s="280"/>
      <c r="L102" s="280"/>
      <c r="M102" s="280"/>
      <c r="N102" s="280"/>
      <c r="O102" s="280"/>
      <c r="V102" s="280"/>
      <c r="W102" s="280"/>
      <c r="X102" s="280"/>
      <c r="Y102" s="280"/>
      <c r="Z102" s="280"/>
      <c r="AA102" s="280"/>
      <c r="AB102" s="280"/>
      <c r="AC102" s="280"/>
      <c r="AD102" s="280"/>
      <c r="AE102" s="280"/>
      <c r="AF102" s="280"/>
      <c r="AG102" s="280"/>
      <c r="AH102" s="280"/>
      <c r="AI102" s="280"/>
      <c r="AJ102" s="280"/>
    </row>
    <row r="103" spans="1:64" x14ac:dyDescent="0.2">
      <c r="J103" s="280"/>
      <c r="K103" s="280"/>
      <c r="L103" s="280"/>
      <c r="M103" s="280"/>
      <c r="N103" s="280"/>
      <c r="O103" s="280"/>
      <c r="V103" s="280"/>
      <c r="W103" s="280"/>
      <c r="X103" s="280"/>
      <c r="Y103" s="280"/>
      <c r="Z103" s="280"/>
      <c r="AA103" s="280"/>
      <c r="AB103" s="280"/>
      <c r="AC103" s="280"/>
      <c r="AD103" s="280"/>
      <c r="AE103" s="280"/>
      <c r="AF103" s="280"/>
      <c r="AG103" s="280"/>
      <c r="AH103" s="280"/>
      <c r="AI103" s="280"/>
      <c r="AJ103" s="280"/>
    </row>
    <row r="104" spans="1:64" x14ac:dyDescent="0.2">
      <c r="J104" s="280"/>
      <c r="K104" s="280"/>
      <c r="L104" s="280"/>
      <c r="M104" s="280"/>
      <c r="N104" s="280"/>
      <c r="O104" s="280"/>
      <c r="V104" s="280"/>
      <c r="W104" s="280"/>
      <c r="X104" s="280"/>
      <c r="Y104" s="280"/>
      <c r="Z104" s="280"/>
      <c r="AA104" s="280"/>
      <c r="AB104" s="280"/>
      <c r="AC104" s="280"/>
      <c r="AD104" s="280"/>
      <c r="AE104" s="280"/>
      <c r="AF104" s="280"/>
      <c r="AG104" s="280"/>
      <c r="AH104" s="280"/>
      <c r="AI104" s="280"/>
      <c r="AJ104" s="280"/>
    </row>
    <row r="105" spans="1:64" x14ac:dyDescent="0.2">
      <c r="J105" s="280"/>
      <c r="K105" s="280"/>
      <c r="L105" s="280"/>
      <c r="M105" s="280"/>
      <c r="N105" s="280"/>
      <c r="O105" s="280"/>
      <c r="V105" s="280"/>
      <c r="W105" s="280"/>
      <c r="X105" s="280"/>
      <c r="Y105" s="280"/>
      <c r="Z105" s="280"/>
      <c r="AA105" s="280"/>
      <c r="AB105" s="280"/>
      <c r="AC105" s="280"/>
      <c r="AD105" s="280"/>
      <c r="AE105" s="280"/>
      <c r="AF105" s="280"/>
      <c r="AG105" s="280"/>
      <c r="AH105" s="280"/>
      <c r="AI105" s="280"/>
      <c r="AJ105" s="280"/>
    </row>
    <row r="106" spans="1:64" x14ac:dyDescent="0.2">
      <c r="J106" s="280"/>
      <c r="K106" s="280"/>
      <c r="L106" s="280"/>
      <c r="M106" s="280"/>
      <c r="N106" s="280"/>
      <c r="O106" s="280"/>
      <c r="V106" s="280"/>
      <c r="W106" s="280"/>
      <c r="X106" s="280"/>
      <c r="Y106" s="280"/>
      <c r="Z106" s="280"/>
      <c r="AA106" s="280"/>
      <c r="AB106" s="280"/>
      <c r="AC106" s="280"/>
      <c r="AD106" s="280"/>
      <c r="AE106" s="280"/>
      <c r="AF106" s="280"/>
      <c r="AG106" s="280"/>
      <c r="AH106" s="280"/>
      <c r="AI106" s="280"/>
      <c r="AJ106" s="280"/>
    </row>
    <row r="107" spans="1:64" x14ac:dyDescent="0.2">
      <c r="J107" s="280"/>
      <c r="K107" s="280"/>
      <c r="L107" s="280"/>
      <c r="M107" s="280"/>
      <c r="N107" s="280"/>
      <c r="O107" s="280"/>
      <c r="V107" s="280"/>
      <c r="W107" s="280"/>
      <c r="X107" s="280"/>
      <c r="Y107" s="280"/>
      <c r="Z107" s="280"/>
      <c r="AA107" s="280"/>
      <c r="AB107" s="280"/>
      <c r="AC107" s="280"/>
      <c r="AD107" s="280"/>
      <c r="AE107" s="280"/>
      <c r="AF107" s="280"/>
      <c r="AG107" s="280"/>
      <c r="AH107" s="280"/>
      <c r="AI107" s="280"/>
      <c r="AJ107" s="280"/>
    </row>
    <row r="108" spans="1:64" x14ac:dyDescent="0.2">
      <c r="J108" s="280"/>
      <c r="K108" s="280"/>
      <c r="L108" s="280"/>
      <c r="M108" s="280"/>
      <c r="N108" s="280"/>
      <c r="O108" s="280"/>
      <c r="V108" s="280"/>
      <c r="W108" s="280"/>
      <c r="X108" s="280"/>
      <c r="Y108" s="280"/>
      <c r="Z108" s="280"/>
      <c r="AA108" s="280"/>
      <c r="AB108" s="280"/>
      <c r="AC108" s="280"/>
      <c r="AD108" s="280"/>
      <c r="AE108" s="280"/>
      <c r="AF108" s="280"/>
      <c r="AG108" s="280"/>
      <c r="AH108" s="280"/>
      <c r="AI108" s="280"/>
      <c r="AJ108" s="280"/>
    </row>
    <row r="109" spans="1:64" x14ac:dyDescent="0.2">
      <c r="J109" s="280"/>
      <c r="K109" s="280"/>
      <c r="L109" s="280"/>
      <c r="M109" s="280"/>
      <c r="N109" s="280"/>
      <c r="O109" s="280"/>
      <c r="V109" s="280"/>
      <c r="W109" s="280"/>
      <c r="X109" s="280"/>
      <c r="Y109" s="280"/>
      <c r="Z109" s="280"/>
      <c r="AA109" s="280"/>
      <c r="AB109" s="280"/>
      <c r="AC109" s="280"/>
      <c r="AD109" s="280"/>
      <c r="AE109" s="280"/>
      <c r="AF109" s="280"/>
      <c r="AG109" s="280"/>
      <c r="AH109" s="280"/>
      <c r="AI109" s="280"/>
      <c r="AJ109" s="280"/>
    </row>
    <row r="110" spans="1:64" x14ac:dyDescent="0.2">
      <c r="J110" s="280"/>
      <c r="K110" s="280"/>
      <c r="L110" s="280"/>
      <c r="M110" s="280"/>
      <c r="N110" s="280"/>
      <c r="O110" s="280"/>
      <c r="V110" s="280"/>
      <c r="W110" s="280"/>
      <c r="X110" s="280"/>
      <c r="Y110" s="280"/>
      <c r="Z110" s="280"/>
      <c r="AA110" s="280"/>
      <c r="AB110" s="280"/>
      <c r="AC110" s="280"/>
      <c r="AD110" s="280"/>
      <c r="AE110" s="280"/>
      <c r="AF110" s="280"/>
      <c r="AG110" s="280"/>
      <c r="AH110" s="280"/>
      <c r="AI110" s="280"/>
      <c r="AJ110" s="280"/>
    </row>
    <row r="111" spans="1:64" x14ac:dyDescent="0.2">
      <c r="J111" s="280"/>
      <c r="K111" s="280"/>
      <c r="L111" s="280"/>
      <c r="M111" s="280"/>
      <c r="N111" s="280"/>
      <c r="O111" s="280"/>
      <c r="V111" s="280"/>
      <c r="W111" s="280"/>
      <c r="X111" s="280"/>
      <c r="Y111" s="280"/>
      <c r="Z111" s="280"/>
      <c r="AA111" s="280"/>
      <c r="AB111" s="280"/>
      <c r="AC111" s="280"/>
      <c r="AD111" s="280"/>
      <c r="AE111" s="280"/>
      <c r="AF111" s="280"/>
      <c r="AG111" s="280"/>
      <c r="AH111" s="280"/>
      <c r="AI111" s="280"/>
      <c r="AJ111" s="280"/>
    </row>
    <row r="112" spans="1:64" x14ac:dyDescent="0.2">
      <c r="J112" s="280"/>
      <c r="K112" s="280"/>
      <c r="L112" s="280"/>
      <c r="M112" s="280"/>
      <c r="N112" s="280"/>
      <c r="O112" s="280"/>
      <c r="V112" s="280"/>
      <c r="W112" s="280"/>
      <c r="X112" s="280"/>
      <c r="Y112" s="280"/>
      <c r="Z112" s="280"/>
      <c r="AA112" s="280"/>
      <c r="AB112" s="280"/>
      <c r="AC112" s="280"/>
      <c r="AD112" s="280"/>
      <c r="AE112" s="280"/>
      <c r="AF112" s="280"/>
      <c r="AG112" s="280"/>
      <c r="AH112" s="280"/>
      <c r="AI112" s="280"/>
      <c r="AJ112" s="280"/>
    </row>
    <row r="113" spans="10:36" x14ac:dyDescent="0.2">
      <c r="J113" s="280"/>
      <c r="K113" s="280"/>
      <c r="L113" s="280"/>
      <c r="M113" s="280"/>
      <c r="N113" s="280"/>
      <c r="O113" s="280"/>
      <c r="V113" s="280"/>
      <c r="W113" s="280"/>
      <c r="X113" s="280"/>
      <c r="Y113" s="280"/>
      <c r="Z113" s="280"/>
      <c r="AA113" s="280"/>
      <c r="AB113" s="280"/>
      <c r="AC113" s="280"/>
      <c r="AD113" s="280"/>
      <c r="AE113" s="280"/>
      <c r="AF113" s="280"/>
      <c r="AG113" s="280"/>
      <c r="AH113" s="280"/>
      <c r="AI113" s="280"/>
      <c r="AJ113" s="280"/>
    </row>
    <row r="114" spans="10:36" x14ac:dyDescent="0.2">
      <c r="J114" s="280"/>
      <c r="K114" s="280"/>
      <c r="L114" s="280"/>
      <c r="M114" s="280"/>
      <c r="N114" s="280"/>
      <c r="O114" s="280"/>
      <c r="V114" s="280"/>
      <c r="W114" s="280"/>
      <c r="X114" s="280"/>
      <c r="Y114" s="280"/>
      <c r="Z114" s="280"/>
      <c r="AA114" s="280"/>
      <c r="AB114" s="280"/>
      <c r="AC114" s="280"/>
      <c r="AD114" s="280"/>
      <c r="AE114" s="280"/>
      <c r="AF114" s="280"/>
      <c r="AG114" s="280"/>
      <c r="AH114" s="280"/>
      <c r="AI114" s="280"/>
      <c r="AJ114" s="280"/>
    </row>
    <row r="115" spans="10:36" x14ac:dyDescent="0.2">
      <c r="J115" s="280"/>
      <c r="K115" s="280"/>
      <c r="L115" s="280"/>
      <c r="M115" s="280"/>
      <c r="N115" s="280"/>
      <c r="O115" s="280"/>
      <c r="V115" s="280"/>
      <c r="W115" s="280"/>
      <c r="X115" s="280"/>
      <c r="Y115" s="280"/>
      <c r="Z115" s="280"/>
      <c r="AA115" s="280"/>
      <c r="AB115" s="280"/>
      <c r="AD115" s="280"/>
      <c r="AE115" s="280"/>
      <c r="AF115" s="280"/>
      <c r="AG115" s="280"/>
      <c r="AJ115" s="280"/>
    </row>
    <row r="116" spans="10:36" x14ac:dyDescent="0.2">
      <c r="J116" s="280"/>
      <c r="K116" s="280"/>
      <c r="L116" s="280"/>
      <c r="M116" s="280"/>
      <c r="N116" s="280"/>
      <c r="O116" s="280"/>
      <c r="V116" s="280"/>
      <c r="W116" s="280"/>
      <c r="X116" s="280"/>
      <c r="Y116" s="280"/>
      <c r="Z116" s="280"/>
      <c r="AA116" s="280"/>
      <c r="AB116" s="280"/>
      <c r="AD116" s="280"/>
      <c r="AE116" s="280"/>
      <c r="AF116" s="280"/>
      <c r="AG116" s="280"/>
      <c r="AJ116" s="280"/>
    </row>
    <row r="117" spans="10:36" x14ac:dyDescent="0.2">
      <c r="J117" s="280"/>
      <c r="K117" s="280"/>
      <c r="L117" s="280"/>
      <c r="M117" s="280"/>
      <c r="N117" s="280"/>
      <c r="O117" s="280"/>
      <c r="V117" s="280"/>
      <c r="W117" s="280"/>
      <c r="X117" s="280"/>
      <c r="Y117" s="280"/>
      <c r="Z117" s="280"/>
      <c r="AA117" s="280"/>
      <c r="AB117" s="280"/>
      <c r="AD117" s="280"/>
      <c r="AE117" s="280"/>
      <c r="AF117" s="280"/>
      <c r="AG117" s="280"/>
      <c r="AJ117" s="280"/>
    </row>
    <row r="118" spans="10:36" x14ac:dyDescent="0.2">
      <c r="J118" s="280"/>
      <c r="K118" s="280"/>
      <c r="L118" s="280"/>
      <c r="M118" s="280"/>
      <c r="N118" s="280"/>
      <c r="O118" s="280"/>
      <c r="V118" s="280"/>
      <c r="W118" s="280"/>
      <c r="X118" s="280"/>
      <c r="Y118" s="280"/>
      <c r="Z118" s="280"/>
      <c r="AA118" s="280"/>
      <c r="AB118" s="280"/>
      <c r="AD118" s="280"/>
      <c r="AE118" s="280"/>
      <c r="AF118" s="280"/>
      <c r="AG118" s="280"/>
      <c r="AJ118" s="280"/>
    </row>
    <row r="119" spans="10:36" x14ac:dyDescent="0.2">
      <c r="J119" s="280"/>
      <c r="K119" s="280"/>
      <c r="L119" s="280"/>
      <c r="M119" s="280"/>
      <c r="N119" s="280"/>
      <c r="O119" s="280"/>
      <c r="V119" s="280"/>
      <c r="W119" s="280"/>
      <c r="X119" s="280"/>
      <c r="Y119" s="280"/>
      <c r="Z119" s="280"/>
      <c r="AA119" s="280"/>
      <c r="AB119" s="280"/>
      <c r="AD119" s="280"/>
      <c r="AE119" s="280"/>
      <c r="AF119" s="280"/>
      <c r="AG119" s="280"/>
      <c r="AJ119" s="280"/>
    </row>
    <row r="120" spans="10:36" x14ac:dyDescent="0.2">
      <c r="J120" s="280"/>
      <c r="K120" s="280"/>
      <c r="L120" s="280"/>
      <c r="M120" s="280"/>
      <c r="N120" s="280"/>
      <c r="O120" s="280"/>
      <c r="V120" s="280"/>
      <c r="W120" s="280"/>
      <c r="X120" s="280"/>
      <c r="Y120" s="280"/>
      <c r="Z120" s="280"/>
      <c r="AA120" s="280"/>
      <c r="AB120" s="280"/>
      <c r="AJ120" s="280"/>
    </row>
    <row r="121" spans="10:36" x14ac:dyDescent="0.2">
      <c r="J121" s="280"/>
      <c r="K121" s="280"/>
      <c r="L121" s="280"/>
      <c r="M121" s="280"/>
      <c r="N121" s="280"/>
      <c r="O121" s="280"/>
      <c r="V121" s="280"/>
      <c r="W121" s="280"/>
      <c r="X121" s="280"/>
      <c r="Y121" s="280"/>
      <c r="Z121" s="280"/>
      <c r="AA121" s="280"/>
      <c r="AB121" s="280"/>
      <c r="AJ121" s="280"/>
    </row>
    <row r="122" spans="10:36" x14ac:dyDescent="0.2">
      <c r="M122" s="280"/>
      <c r="N122" s="280"/>
      <c r="O122" s="280"/>
      <c r="V122" s="280"/>
      <c r="AJ122" s="280"/>
    </row>
    <row r="123" spans="10:36" x14ac:dyDescent="0.2">
      <c r="M123" s="280"/>
      <c r="N123" s="280"/>
      <c r="O123" s="280"/>
      <c r="AJ123" s="280"/>
    </row>
    <row r="124" spans="10:36" x14ac:dyDescent="0.2">
      <c r="AJ124" s="280"/>
    </row>
  </sheetData>
  <mergeCells count="392">
    <mergeCell ref="B1:F2"/>
    <mergeCell ref="BF1:BK3"/>
    <mergeCell ref="CE1:CK3"/>
    <mergeCell ref="J2:N2"/>
    <mergeCell ref="P2:T2"/>
    <mergeCell ref="W2:AB3"/>
    <mergeCell ref="AJ2:AP3"/>
    <mergeCell ref="AD3:AH3"/>
    <mergeCell ref="AR3:AV3"/>
    <mergeCell ref="BM3:BQ3"/>
    <mergeCell ref="AX2:BB2"/>
    <mergeCell ref="DQ4:DU4"/>
    <mergeCell ref="DW4:EA4"/>
    <mergeCell ref="B5:C5"/>
    <mergeCell ref="D5:E5"/>
    <mergeCell ref="Y5:Z5"/>
    <mergeCell ref="AA5:AB5"/>
    <mergeCell ref="AJ5:AL5"/>
    <mergeCell ref="AM5:AN5"/>
    <mergeCell ref="BS3:BW3"/>
    <mergeCell ref="CM3:CQ3"/>
    <mergeCell ref="CS3:CZ4"/>
    <mergeCell ref="B4:C4"/>
    <mergeCell ref="D4:E4"/>
    <mergeCell ref="W4:AB4"/>
    <mergeCell ref="AJ4:AP4"/>
    <mergeCell ref="BF4:BK4"/>
    <mergeCell ref="BY4:CC4"/>
    <mergeCell ref="CE4:CK4"/>
    <mergeCell ref="DM5:DO5"/>
    <mergeCell ref="AO5:AP5"/>
    <mergeCell ref="BF5:BG5"/>
    <mergeCell ref="BH5:BI5"/>
    <mergeCell ref="BJ5:BK5"/>
    <mergeCell ref="CE5:CF5"/>
    <mergeCell ref="B6:C6"/>
    <mergeCell ref="D6:E6"/>
    <mergeCell ref="DB4:DF4"/>
    <mergeCell ref="DH4:DO4"/>
    <mergeCell ref="W6:X6"/>
    <mergeCell ref="Y6:Z6"/>
    <mergeCell ref="AA6:AB6"/>
    <mergeCell ref="AJ6:AL6"/>
    <mergeCell ref="CG5:CH5"/>
    <mergeCell ref="CI5:CK5"/>
    <mergeCell ref="CS5:CZ5"/>
    <mergeCell ref="DH5:DJ5"/>
    <mergeCell ref="DK5:DL5"/>
    <mergeCell ref="DK6:DL6"/>
    <mergeCell ref="DM6:DO6"/>
    <mergeCell ref="CI6:CK6"/>
    <mergeCell ref="CS6:CU6"/>
    <mergeCell ref="CV6:CW6"/>
    <mergeCell ref="CX6:CZ6"/>
    <mergeCell ref="DH6:DJ6"/>
    <mergeCell ref="D7:E7"/>
    <mergeCell ref="Y7:Z7"/>
    <mergeCell ref="AA7:AB7"/>
    <mergeCell ref="AJ7:AL7"/>
    <mergeCell ref="AM7:AN7"/>
    <mergeCell ref="AO7:AP7"/>
    <mergeCell ref="BF7:BG7"/>
    <mergeCell ref="CG6:CH6"/>
    <mergeCell ref="AM6:AN6"/>
    <mergeCell ref="AO6:AP6"/>
    <mergeCell ref="BF6:BG6"/>
    <mergeCell ref="BH6:BI6"/>
    <mergeCell ref="BJ6:BK6"/>
    <mergeCell ref="CE6:CF6"/>
    <mergeCell ref="CV7:CW7"/>
    <mergeCell ref="CX7:CZ7"/>
    <mergeCell ref="DH7:DJ7"/>
    <mergeCell ref="DK7:DL7"/>
    <mergeCell ref="DM7:DO7"/>
    <mergeCell ref="B8:C8"/>
    <mergeCell ref="D8:E8"/>
    <mergeCell ref="W8:X8"/>
    <mergeCell ref="Y8:Z8"/>
    <mergeCell ref="AA8:AB8"/>
    <mergeCell ref="BH7:BI7"/>
    <mergeCell ref="BJ7:BK7"/>
    <mergeCell ref="CE7:CF7"/>
    <mergeCell ref="CG7:CH7"/>
    <mergeCell ref="CI7:CK7"/>
    <mergeCell ref="CS7:CU7"/>
    <mergeCell ref="DH8:DJ8"/>
    <mergeCell ref="DK8:DL8"/>
    <mergeCell ref="DM8:DO8"/>
    <mergeCell ref="CI8:CK8"/>
    <mergeCell ref="CS8:CU8"/>
    <mergeCell ref="CV8:CW8"/>
    <mergeCell ref="CX8:CZ8"/>
    <mergeCell ref="B7:C7"/>
    <mergeCell ref="B9:F9"/>
    <mergeCell ref="W9:X9"/>
    <mergeCell ref="Y9:Z9"/>
    <mergeCell ref="AA9:AB9"/>
    <mergeCell ref="AJ9:AL9"/>
    <mergeCell ref="AM9:AN9"/>
    <mergeCell ref="AO9:AP9"/>
    <mergeCell ref="CE8:CF8"/>
    <mergeCell ref="CG8:CH8"/>
    <mergeCell ref="AJ8:AL8"/>
    <mergeCell ref="AM8:AN8"/>
    <mergeCell ref="AO8:AP8"/>
    <mergeCell ref="BF8:BG8"/>
    <mergeCell ref="BH8:BI8"/>
    <mergeCell ref="BJ8:BK8"/>
    <mergeCell ref="DH9:DJ9"/>
    <mergeCell ref="DK9:DL9"/>
    <mergeCell ref="DM9:DO9"/>
    <mergeCell ref="BF9:BG9"/>
    <mergeCell ref="BH9:BI9"/>
    <mergeCell ref="BJ9:BK9"/>
    <mergeCell ref="CE9:CF9"/>
    <mergeCell ref="CG9:CH9"/>
    <mergeCell ref="CI9:CK9"/>
    <mergeCell ref="W10:X10"/>
    <mergeCell ref="Y10:Z10"/>
    <mergeCell ref="AA10:AB10"/>
    <mergeCell ref="AJ10:AL10"/>
    <mergeCell ref="AM10:AN10"/>
    <mergeCell ref="AO10:AP10"/>
    <mergeCell ref="CS9:CU9"/>
    <mergeCell ref="CV9:CW9"/>
    <mergeCell ref="CX9:CZ9"/>
    <mergeCell ref="CS10:CU10"/>
    <mergeCell ref="CV10:CW10"/>
    <mergeCell ref="CX10:CZ10"/>
    <mergeCell ref="DH10:DJ10"/>
    <mergeCell ref="DK10:DL10"/>
    <mergeCell ref="DM10:DO10"/>
    <mergeCell ref="BF10:BG10"/>
    <mergeCell ref="BH10:BI10"/>
    <mergeCell ref="BJ10:BK10"/>
    <mergeCell ref="CE10:CF10"/>
    <mergeCell ref="CG10:CH10"/>
    <mergeCell ref="CI10:CK10"/>
    <mergeCell ref="CS11:CU11"/>
    <mergeCell ref="CV11:CW11"/>
    <mergeCell ref="CX11:CZ11"/>
    <mergeCell ref="B12:C12"/>
    <mergeCell ref="Y12:Z12"/>
    <mergeCell ref="AA12:AB12"/>
    <mergeCell ref="AJ12:AK12"/>
    <mergeCell ref="AM12:AN12"/>
    <mergeCell ref="AO12:AP12"/>
    <mergeCell ref="BF12:BG12"/>
    <mergeCell ref="B11:C11"/>
    <mergeCell ref="F11:G11"/>
    <mergeCell ref="AM11:AN11"/>
    <mergeCell ref="CE11:CF11"/>
    <mergeCell ref="CG11:CH11"/>
    <mergeCell ref="CI11:CK11"/>
    <mergeCell ref="DM12:DO12"/>
    <mergeCell ref="B13:C13"/>
    <mergeCell ref="W13:X13"/>
    <mergeCell ref="Y13:Z13"/>
    <mergeCell ref="AA13:AB13"/>
    <mergeCell ref="AM13:AN13"/>
    <mergeCell ref="AO13:AP13"/>
    <mergeCell ref="BF13:BG13"/>
    <mergeCell ref="CE13:CK13"/>
    <mergeCell ref="CS13:CU13"/>
    <mergeCell ref="CE12:CF12"/>
    <mergeCell ref="CG12:CH12"/>
    <mergeCell ref="CI12:CK12"/>
    <mergeCell ref="CS12:CZ12"/>
    <mergeCell ref="DH12:DJ12"/>
    <mergeCell ref="DK12:DL12"/>
    <mergeCell ref="CV13:CW13"/>
    <mergeCell ref="CX13:CZ13"/>
    <mergeCell ref="DH13:DJ13"/>
    <mergeCell ref="DK13:DL13"/>
    <mergeCell ref="DM13:DO13"/>
    <mergeCell ref="B14:C14"/>
    <mergeCell ref="F14:G14"/>
    <mergeCell ref="Y14:Z14"/>
    <mergeCell ref="AA14:AB14"/>
    <mergeCell ref="AJ14:AK14"/>
    <mergeCell ref="DH14:DJ14"/>
    <mergeCell ref="DK14:DL14"/>
    <mergeCell ref="DM14:DO14"/>
    <mergeCell ref="B15:C15"/>
    <mergeCell ref="F15:G15"/>
    <mergeCell ref="W15:X15"/>
    <mergeCell ref="Y15:Z15"/>
    <mergeCell ref="AA15:AB15"/>
    <mergeCell ref="AJ15:AK15"/>
    <mergeCell ref="AM15:AN15"/>
    <mergeCell ref="AM14:AN14"/>
    <mergeCell ref="AO14:AP14"/>
    <mergeCell ref="BF14:BG14"/>
    <mergeCell ref="CS14:CU14"/>
    <mergeCell ref="CV14:CW14"/>
    <mergeCell ref="CX14:CZ14"/>
    <mergeCell ref="CV15:CW15"/>
    <mergeCell ref="CX15:CZ15"/>
    <mergeCell ref="DH15:DJ15"/>
    <mergeCell ref="AO16:AP16"/>
    <mergeCell ref="BF16:BG16"/>
    <mergeCell ref="CE16:CF16"/>
    <mergeCell ref="CG16:CH16"/>
    <mergeCell ref="DK15:DL15"/>
    <mergeCell ref="DM15:DO15"/>
    <mergeCell ref="B16:C16"/>
    <mergeCell ref="Y16:Z16"/>
    <mergeCell ref="AA16:AB16"/>
    <mergeCell ref="AJ16:AK16"/>
    <mergeCell ref="AM16:AN16"/>
    <mergeCell ref="AO15:AP15"/>
    <mergeCell ref="BF15:BG15"/>
    <mergeCell ref="CE15:CF15"/>
    <mergeCell ref="CG15:CH15"/>
    <mergeCell ref="CI15:CK15"/>
    <mergeCell ref="CS15:CU15"/>
    <mergeCell ref="CV16:CW16"/>
    <mergeCell ref="CX16:CZ16"/>
    <mergeCell ref="DH16:DJ16"/>
    <mergeCell ref="DK16:DL16"/>
    <mergeCell ref="DM16:DO16"/>
    <mergeCell ref="CI16:CK16"/>
    <mergeCell ref="CS16:CU16"/>
    <mergeCell ref="DH17:DJ17"/>
    <mergeCell ref="DK17:DL17"/>
    <mergeCell ref="DM17:DO17"/>
    <mergeCell ref="AM17:AN17"/>
    <mergeCell ref="AO17:AP17"/>
    <mergeCell ref="BF17:BG17"/>
    <mergeCell ref="CE17:CF17"/>
    <mergeCell ref="CG17:CH17"/>
    <mergeCell ref="CI17:CK17"/>
    <mergeCell ref="B18:C18"/>
    <mergeCell ref="E18:F18"/>
    <mergeCell ref="W18:AB18"/>
    <mergeCell ref="AJ18:AP18"/>
    <mergeCell ref="BF18:BG18"/>
    <mergeCell ref="BH18:BI18"/>
    <mergeCell ref="CS17:CU17"/>
    <mergeCell ref="CV17:CW17"/>
    <mergeCell ref="CX17:CZ17"/>
    <mergeCell ref="CX18:CZ18"/>
    <mergeCell ref="B17:F17"/>
    <mergeCell ref="W17:X17"/>
    <mergeCell ref="Y17:Z17"/>
    <mergeCell ref="AA17:AB17"/>
    <mergeCell ref="AJ17:AK17"/>
    <mergeCell ref="DH18:DO18"/>
    <mergeCell ref="W19:AB19"/>
    <mergeCell ref="AJ19:AK19"/>
    <mergeCell ref="AL19:AM19"/>
    <mergeCell ref="AN19:AP19"/>
    <mergeCell ref="BF19:BK19"/>
    <mergeCell ref="CE19:CF19"/>
    <mergeCell ref="CG19:CH19"/>
    <mergeCell ref="CI19:CK19"/>
    <mergeCell ref="BJ18:BK18"/>
    <mergeCell ref="CE18:CF18"/>
    <mergeCell ref="CG18:CH18"/>
    <mergeCell ref="CI18:CK18"/>
    <mergeCell ref="CS18:CU18"/>
    <mergeCell ref="CV18:CW18"/>
    <mergeCell ref="CS19:CZ19"/>
    <mergeCell ref="DH19:DJ19"/>
    <mergeCell ref="DK19:DL19"/>
    <mergeCell ref="DM19:DO19"/>
    <mergeCell ref="W20:X20"/>
    <mergeCell ref="Y20:Z20"/>
    <mergeCell ref="AA20:AB20"/>
    <mergeCell ref="AJ20:AP21"/>
    <mergeCell ref="BF20:BG20"/>
    <mergeCell ref="BH20:BI20"/>
    <mergeCell ref="CW20:CZ20"/>
    <mergeCell ref="DH20:DJ20"/>
    <mergeCell ref="DK20:DL20"/>
    <mergeCell ref="CS21:CT21"/>
    <mergeCell ref="CU21:CV21"/>
    <mergeCell ref="CW21:CZ21"/>
    <mergeCell ref="DH21:DJ21"/>
    <mergeCell ref="DK21:DL21"/>
    <mergeCell ref="DM20:DO20"/>
    <mergeCell ref="B21:C21"/>
    <mergeCell ref="E21:F21"/>
    <mergeCell ref="W21:AB22"/>
    <mergeCell ref="BF21:BK22"/>
    <mergeCell ref="CE21:CF21"/>
    <mergeCell ref="CG21:CH21"/>
    <mergeCell ref="BJ20:BK20"/>
    <mergeCell ref="CE20:CF20"/>
    <mergeCell ref="CG20:CH20"/>
    <mergeCell ref="CI20:CK20"/>
    <mergeCell ref="CS20:CT20"/>
    <mergeCell ref="CU20:CV20"/>
    <mergeCell ref="DM21:DO21"/>
    <mergeCell ref="B22:F22"/>
    <mergeCell ref="AJ22:AK22"/>
    <mergeCell ref="AL22:AM22"/>
    <mergeCell ref="AN22:AP22"/>
    <mergeCell ref="CE22:CF22"/>
    <mergeCell ref="CG22:CH22"/>
    <mergeCell ref="CI22:CK22"/>
    <mergeCell ref="CS22:CT22"/>
    <mergeCell ref="CU22:CV22"/>
    <mergeCell ref="CI21:CK21"/>
    <mergeCell ref="CW22:CZ22"/>
    <mergeCell ref="DH22:DJ22"/>
    <mergeCell ref="DK22:DL22"/>
    <mergeCell ref="B23:C23"/>
    <mergeCell ref="D23:E23"/>
    <mergeCell ref="AA23:AB23"/>
    <mergeCell ref="AJ23:AP23"/>
    <mergeCell ref="BF23:BG23"/>
    <mergeCell ref="BJ23:BK23"/>
    <mergeCell ref="CE23:CK23"/>
    <mergeCell ref="CS23:CT23"/>
    <mergeCell ref="CW23:CZ23"/>
    <mergeCell ref="DH23:DJ23"/>
    <mergeCell ref="DK23:DL23"/>
    <mergeCell ref="DM23:DO23"/>
    <mergeCell ref="D24:E24"/>
    <mergeCell ref="W24:AB24"/>
    <mergeCell ref="AJ24:AK24"/>
    <mergeCell ref="AL24:AM24"/>
    <mergeCell ref="AO24:AP24"/>
    <mergeCell ref="DH24:DJ24"/>
    <mergeCell ref="DK24:DL24"/>
    <mergeCell ref="DM24:DO24"/>
    <mergeCell ref="BF24:BG24"/>
    <mergeCell ref="BH24:BI24"/>
    <mergeCell ref="BJ24:BK24"/>
    <mergeCell ref="CE24:CF24"/>
    <mergeCell ref="CG24:CH24"/>
    <mergeCell ref="CI24:CK24"/>
    <mergeCell ref="B25:C25"/>
    <mergeCell ref="D25:E25"/>
    <mergeCell ref="W25:X25"/>
    <mergeCell ref="Y25:Z25"/>
    <mergeCell ref="AA25:AB25"/>
    <mergeCell ref="AJ25:AK25"/>
    <mergeCell ref="CS24:CT24"/>
    <mergeCell ref="CU24:CV24"/>
    <mergeCell ref="CW24:CZ24"/>
    <mergeCell ref="CI25:CK25"/>
    <mergeCell ref="AL25:AM25"/>
    <mergeCell ref="AO25:AP25"/>
    <mergeCell ref="BF25:BG25"/>
    <mergeCell ref="BI25:BJ25"/>
    <mergeCell ref="CE25:CF25"/>
    <mergeCell ref="CG25:CH25"/>
    <mergeCell ref="CS27:CW27"/>
    <mergeCell ref="P38:R38"/>
    <mergeCell ref="AM28:AQ28"/>
    <mergeCell ref="CE28:CF28"/>
    <mergeCell ref="CI28:CK28"/>
    <mergeCell ref="CE26:CK26"/>
    <mergeCell ref="J34:L34"/>
    <mergeCell ref="P37:Q37"/>
    <mergeCell ref="Q28:S28"/>
    <mergeCell ref="W27:X27"/>
    <mergeCell ref="Y27:Z27"/>
    <mergeCell ref="AA27:AB27"/>
    <mergeCell ref="BF27:BG27"/>
    <mergeCell ref="BI27:BJ27"/>
    <mergeCell ref="P36:R36"/>
    <mergeCell ref="W26:X26"/>
    <mergeCell ref="Y26:Z26"/>
    <mergeCell ref="AA26:AB26"/>
    <mergeCell ref="AJ26:AK26"/>
    <mergeCell ref="AL26:AM26"/>
    <mergeCell ref="AO26:AP26"/>
    <mergeCell ref="BF26:BG26"/>
    <mergeCell ref="BI26:BJ26"/>
    <mergeCell ref="CI29:CK29"/>
    <mergeCell ref="B28:C28"/>
    <mergeCell ref="D28:E28"/>
    <mergeCell ref="P58:R58"/>
    <mergeCell ref="P44:Q44"/>
    <mergeCell ref="P46:R46"/>
    <mergeCell ref="P51:R51"/>
    <mergeCell ref="D26:E26"/>
    <mergeCell ref="AD33:AF33"/>
    <mergeCell ref="CE29:CF29"/>
    <mergeCell ref="D27:E27"/>
    <mergeCell ref="P41:R41"/>
    <mergeCell ref="CE31:CI31"/>
    <mergeCell ref="J40:L40"/>
    <mergeCell ref="AR37:AT37"/>
    <mergeCell ref="BM36:BP36"/>
    <mergeCell ref="BS35:BV35"/>
    <mergeCell ref="BY35:CC35"/>
    <mergeCell ref="CE27:CF27"/>
    <mergeCell ref="CI27:CK27"/>
  </mergeCells>
  <pageMargins left="0.25" right="0.25" top="0.5" bottom="0.5" header="0.3" footer="0.3"/>
  <pageSetup scale="34" fitToWidth="0" orientation="landscape" cellComments="asDisplayed" r:id="rId1"/>
  <headerFooter alignWithMargins="0"/>
  <rowBreaks count="1" manualBreakCount="1">
    <brk id="68" max="16383" man="1"/>
  </rowBreaks>
  <colBreaks count="6" manualBreakCount="6">
    <brk id="22" max="62" man="1"/>
    <brk id="35" max="62" man="1"/>
    <brk id="57" max="62" man="1"/>
    <brk id="81" max="62" man="1"/>
    <brk id="95" max="62" man="1"/>
    <brk id="110" max="62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66"/>
  <sheetViews>
    <sheetView view="pageBreakPreview" topLeftCell="J1" zoomScale="90" zoomScaleNormal="100" zoomScaleSheetLayoutView="90" workbookViewId="0">
      <selection activeCell="AU44" sqref="AU44"/>
    </sheetView>
  </sheetViews>
  <sheetFormatPr defaultRowHeight="15" x14ac:dyDescent="0.25"/>
  <cols>
    <col min="1" max="1" width="8.5703125" hidden="1" customWidth="1"/>
    <col min="2" max="2" width="7.85546875" hidden="1" customWidth="1"/>
    <col min="3" max="3" width="11.5703125" hidden="1" customWidth="1"/>
    <col min="4" max="5" width="12.5703125" hidden="1" customWidth="1"/>
    <col min="6" max="6" width="11.5703125" hidden="1" customWidth="1"/>
    <col min="7" max="7" width="12.5703125" hidden="1" customWidth="1"/>
    <col min="8" max="8" width="11.5703125" hidden="1" customWidth="1"/>
    <col min="9" max="9" width="30.7109375" hidden="1" customWidth="1"/>
    <col min="11" max="11" width="20.28515625" bestFit="1" customWidth="1"/>
    <col min="12" max="12" width="13.28515625" customWidth="1"/>
    <col min="13" max="13" width="12.42578125" bestFit="1" customWidth="1"/>
    <col min="14" max="14" width="11.7109375" bestFit="1" customWidth="1"/>
    <col min="15" max="15" width="14.7109375" bestFit="1" customWidth="1"/>
    <col min="17" max="17" width="20.28515625" bestFit="1" customWidth="1"/>
    <col min="18" max="18" width="21" customWidth="1"/>
    <col min="19" max="19" width="12.85546875" customWidth="1"/>
    <col min="20" max="20" width="11.7109375" bestFit="1" customWidth="1"/>
    <col min="21" max="21" width="14.28515625" bestFit="1" customWidth="1"/>
    <col min="23" max="23" width="23.85546875" bestFit="1" customWidth="1"/>
    <col min="24" max="24" width="13.7109375" customWidth="1"/>
    <col min="25" max="25" width="12.85546875" customWidth="1"/>
    <col min="26" max="26" width="11.7109375" bestFit="1" customWidth="1"/>
    <col min="27" max="27" width="14" bestFit="1" customWidth="1"/>
    <col min="29" max="29" width="19.85546875" bestFit="1" customWidth="1"/>
    <col min="30" max="30" width="13" customWidth="1"/>
    <col min="31" max="31" width="12.5703125" customWidth="1"/>
    <col min="32" max="32" width="12" bestFit="1" customWidth="1"/>
    <col min="33" max="33" width="12.5703125" customWidth="1"/>
    <col min="35" max="35" width="19.85546875" bestFit="1" customWidth="1"/>
    <col min="36" max="36" width="13.28515625" customWidth="1"/>
    <col min="37" max="37" width="12.28515625" customWidth="1"/>
    <col min="38" max="38" width="11.7109375" bestFit="1" customWidth="1"/>
    <col min="39" max="39" width="11.42578125" customWidth="1"/>
    <col min="41" max="41" width="20.140625" bestFit="1" customWidth="1"/>
    <col min="42" max="43" width="12.28515625" customWidth="1"/>
    <col min="44" max="44" width="9" bestFit="1" customWidth="1"/>
    <col min="45" max="45" width="12.7109375" bestFit="1" customWidth="1"/>
    <col min="47" max="47" width="15" customWidth="1"/>
    <col min="257" max="265" width="0" hidden="1" customWidth="1"/>
    <col min="267" max="267" width="20.28515625" bestFit="1" customWidth="1"/>
    <col min="268" max="268" width="13.28515625" customWidth="1"/>
    <col min="269" max="269" width="12.42578125" bestFit="1" customWidth="1"/>
    <col min="270" max="270" width="11.7109375" bestFit="1" customWidth="1"/>
    <col min="271" max="271" width="14.7109375" bestFit="1" customWidth="1"/>
    <col min="273" max="273" width="20.28515625" bestFit="1" customWidth="1"/>
    <col min="274" max="274" width="21" customWidth="1"/>
    <col min="275" max="275" width="12.85546875" customWidth="1"/>
    <col min="276" max="276" width="11.7109375" bestFit="1" customWidth="1"/>
    <col min="277" max="277" width="13.5703125" bestFit="1" customWidth="1"/>
    <col min="279" max="279" width="23.85546875" bestFit="1" customWidth="1"/>
    <col min="280" max="280" width="13.7109375" customWidth="1"/>
    <col min="281" max="281" width="12.85546875" customWidth="1"/>
    <col min="282" max="282" width="11.7109375" bestFit="1" customWidth="1"/>
    <col min="283" max="283" width="14" bestFit="1" customWidth="1"/>
    <col min="285" max="285" width="19.85546875" bestFit="1" customWidth="1"/>
    <col min="286" max="286" width="13" customWidth="1"/>
    <col min="287" max="287" width="12.5703125" customWidth="1"/>
    <col min="288" max="288" width="12" bestFit="1" customWidth="1"/>
    <col min="289" max="289" width="12.5703125" customWidth="1"/>
    <col min="291" max="291" width="19.85546875" bestFit="1" customWidth="1"/>
    <col min="292" max="292" width="13.28515625" customWidth="1"/>
    <col min="293" max="293" width="12.28515625" customWidth="1"/>
    <col min="294" max="294" width="11.7109375" bestFit="1" customWidth="1"/>
    <col min="295" max="295" width="11.42578125" customWidth="1"/>
    <col min="297" max="297" width="20.140625" bestFit="1" customWidth="1"/>
    <col min="298" max="299" width="12.28515625" customWidth="1"/>
    <col min="300" max="300" width="9" bestFit="1" customWidth="1"/>
    <col min="301" max="301" width="11.85546875" bestFit="1" customWidth="1"/>
    <col min="303" max="303" width="15" customWidth="1"/>
    <col min="513" max="521" width="0" hidden="1" customWidth="1"/>
    <col min="523" max="523" width="20.28515625" bestFit="1" customWidth="1"/>
    <col min="524" max="524" width="13.28515625" customWidth="1"/>
    <col min="525" max="525" width="12.42578125" bestFit="1" customWidth="1"/>
    <col min="526" max="526" width="11.7109375" bestFit="1" customWidth="1"/>
    <col min="527" max="527" width="14.7109375" bestFit="1" customWidth="1"/>
    <col min="529" max="529" width="20.28515625" bestFit="1" customWidth="1"/>
    <col min="530" max="530" width="21" customWidth="1"/>
    <col min="531" max="531" width="12.85546875" customWidth="1"/>
    <col min="532" max="532" width="11.7109375" bestFit="1" customWidth="1"/>
    <col min="533" max="533" width="13.5703125" bestFit="1" customWidth="1"/>
    <col min="535" max="535" width="23.85546875" bestFit="1" customWidth="1"/>
    <col min="536" max="536" width="13.7109375" customWidth="1"/>
    <col min="537" max="537" width="12.85546875" customWidth="1"/>
    <col min="538" max="538" width="11.7109375" bestFit="1" customWidth="1"/>
    <col min="539" max="539" width="14" bestFit="1" customWidth="1"/>
    <col min="541" max="541" width="19.85546875" bestFit="1" customWidth="1"/>
    <col min="542" max="542" width="13" customWidth="1"/>
    <col min="543" max="543" width="12.5703125" customWidth="1"/>
    <col min="544" max="544" width="12" bestFit="1" customWidth="1"/>
    <col min="545" max="545" width="12.5703125" customWidth="1"/>
    <col min="547" max="547" width="19.85546875" bestFit="1" customWidth="1"/>
    <col min="548" max="548" width="13.28515625" customWidth="1"/>
    <col min="549" max="549" width="12.28515625" customWidth="1"/>
    <col min="550" max="550" width="11.7109375" bestFit="1" customWidth="1"/>
    <col min="551" max="551" width="11.42578125" customWidth="1"/>
    <col min="553" max="553" width="20.140625" bestFit="1" customWidth="1"/>
    <col min="554" max="555" width="12.28515625" customWidth="1"/>
    <col min="556" max="556" width="9" bestFit="1" customWidth="1"/>
    <col min="557" max="557" width="11.85546875" bestFit="1" customWidth="1"/>
    <col min="559" max="559" width="15" customWidth="1"/>
    <col min="769" max="777" width="0" hidden="1" customWidth="1"/>
    <col min="779" max="779" width="20.28515625" bestFit="1" customWidth="1"/>
    <col min="780" max="780" width="13.28515625" customWidth="1"/>
    <col min="781" max="781" width="12.42578125" bestFit="1" customWidth="1"/>
    <col min="782" max="782" width="11.7109375" bestFit="1" customWidth="1"/>
    <col min="783" max="783" width="14.7109375" bestFit="1" customWidth="1"/>
    <col min="785" max="785" width="20.28515625" bestFit="1" customWidth="1"/>
    <col min="786" max="786" width="21" customWidth="1"/>
    <col min="787" max="787" width="12.85546875" customWidth="1"/>
    <col min="788" max="788" width="11.7109375" bestFit="1" customWidth="1"/>
    <col min="789" max="789" width="13.5703125" bestFit="1" customWidth="1"/>
    <col min="791" max="791" width="23.85546875" bestFit="1" customWidth="1"/>
    <col min="792" max="792" width="13.7109375" customWidth="1"/>
    <col min="793" max="793" width="12.85546875" customWidth="1"/>
    <col min="794" max="794" width="11.7109375" bestFit="1" customWidth="1"/>
    <col min="795" max="795" width="14" bestFit="1" customWidth="1"/>
    <col min="797" max="797" width="19.85546875" bestFit="1" customWidth="1"/>
    <col min="798" max="798" width="13" customWidth="1"/>
    <col min="799" max="799" width="12.5703125" customWidth="1"/>
    <col min="800" max="800" width="12" bestFit="1" customWidth="1"/>
    <col min="801" max="801" width="12.5703125" customWidth="1"/>
    <col min="803" max="803" width="19.85546875" bestFit="1" customWidth="1"/>
    <col min="804" max="804" width="13.28515625" customWidth="1"/>
    <col min="805" max="805" width="12.28515625" customWidth="1"/>
    <col min="806" max="806" width="11.7109375" bestFit="1" customWidth="1"/>
    <col min="807" max="807" width="11.42578125" customWidth="1"/>
    <col min="809" max="809" width="20.140625" bestFit="1" customWidth="1"/>
    <col min="810" max="811" width="12.28515625" customWidth="1"/>
    <col min="812" max="812" width="9" bestFit="1" customWidth="1"/>
    <col min="813" max="813" width="11.85546875" bestFit="1" customWidth="1"/>
    <col min="815" max="815" width="15" customWidth="1"/>
    <col min="1025" max="1033" width="0" hidden="1" customWidth="1"/>
    <col min="1035" max="1035" width="20.28515625" bestFit="1" customWidth="1"/>
    <col min="1036" max="1036" width="13.28515625" customWidth="1"/>
    <col min="1037" max="1037" width="12.42578125" bestFit="1" customWidth="1"/>
    <col min="1038" max="1038" width="11.7109375" bestFit="1" customWidth="1"/>
    <col min="1039" max="1039" width="14.7109375" bestFit="1" customWidth="1"/>
    <col min="1041" max="1041" width="20.28515625" bestFit="1" customWidth="1"/>
    <col min="1042" max="1042" width="21" customWidth="1"/>
    <col min="1043" max="1043" width="12.85546875" customWidth="1"/>
    <col min="1044" max="1044" width="11.7109375" bestFit="1" customWidth="1"/>
    <col min="1045" max="1045" width="13.5703125" bestFit="1" customWidth="1"/>
    <col min="1047" max="1047" width="23.85546875" bestFit="1" customWidth="1"/>
    <col min="1048" max="1048" width="13.7109375" customWidth="1"/>
    <col min="1049" max="1049" width="12.85546875" customWidth="1"/>
    <col min="1050" max="1050" width="11.7109375" bestFit="1" customWidth="1"/>
    <col min="1051" max="1051" width="14" bestFit="1" customWidth="1"/>
    <col min="1053" max="1053" width="19.85546875" bestFit="1" customWidth="1"/>
    <col min="1054" max="1054" width="13" customWidth="1"/>
    <col min="1055" max="1055" width="12.5703125" customWidth="1"/>
    <col min="1056" max="1056" width="12" bestFit="1" customWidth="1"/>
    <col min="1057" max="1057" width="12.5703125" customWidth="1"/>
    <col min="1059" max="1059" width="19.85546875" bestFit="1" customWidth="1"/>
    <col min="1060" max="1060" width="13.28515625" customWidth="1"/>
    <col min="1061" max="1061" width="12.28515625" customWidth="1"/>
    <col min="1062" max="1062" width="11.7109375" bestFit="1" customWidth="1"/>
    <col min="1063" max="1063" width="11.42578125" customWidth="1"/>
    <col min="1065" max="1065" width="20.140625" bestFit="1" customWidth="1"/>
    <col min="1066" max="1067" width="12.28515625" customWidth="1"/>
    <col min="1068" max="1068" width="9" bestFit="1" customWidth="1"/>
    <col min="1069" max="1069" width="11.85546875" bestFit="1" customWidth="1"/>
    <col min="1071" max="1071" width="15" customWidth="1"/>
    <col min="1281" max="1289" width="0" hidden="1" customWidth="1"/>
    <col min="1291" max="1291" width="20.28515625" bestFit="1" customWidth="1"/>
    <col min="1292" max="1292" width="13.28515625" customWidth="1"/>
    <col min="1293" max="1293" width="12.42578125" bestFit="1" customWidth="1"/>
    <col min="1294" max="1294" width="11.7109375" bestFit="1" customWidth="1"/>
    <col min="1295" max="1295" width="14.7109375" bestFit="1" customWidth="1"/>
    <col min="1297" max="1297" width="20.28515625" bestFit="1" customWidth="1"/>
    <col min="1298" max="1298" width="21" customWidth="1"/>
    <col min="1299" max="1299" width="12.85546875" customWidth="1"/>
    <col min="1300" max="1300" width="11.7109375" bestFit="1" customWidth="1"/>
    <col min="1301" max="1301" width="13.5703125" bestFit="1" customWidth="1"/>
    <col min="1303" max="1303" width="23.85546875" bestFit="1" customWidth="1"/>
    <col min="1304" max="1304" width="13.7109375" customWidth="1"/>
    <col min="1305" max="1305" width="12.85546875" customWidth="1"/>
    <col min="1306" max="1306" width="11.7109375" bestFit="1" customWidth="1"/>
    <col min="1307" max="1307" width="14" bestFit="1" customWidth="1"/>
    <col min="1309" max="1309" width="19.85546875" bestFit="1" customWidth="1"/>
    <col min="1310" max="1310" width="13" customWidth="1"/>
    <col min="1311" max="1311" width="12.5703125" customWidth="1"/>
    <col min="1312" max="1312" width="12" bestFit="1" customWidth="1"/>
    <col min="1313" max="1313" width="12.5703125" customWidth="1"/>
    <col min="1315" max="1315" width="19.85546875" bestFit="1" customWidth="1"/>
    <col min="1316" max="1316" width="13.28515625" customWidth="1"/>
    <col min="1317" max="1317" width="12.28515625" customWidth="1"/>
    <col min="1318" max="1318" width="11.7109375" bestFit="1" customWidth="1"/>
    <col min="1319" max="1319" width="11.42578125" customWidth="1"/>
    <col min="1321" max="1321" width="20.140625" bestFit="1" customWidth="1"/>
    <col min="1322" max="1323" width="12.28515625" customWidth="1"/>
    <col min="1324" max="1324" width="9" bestFit="1" customWidth="1"/>
    <col min="1325" max="1325" width="11.85546875" bestFit="1" customWidth="1"/>
    <col min="1327" max="1327" width="15" customWidth="1"/>
    <col min="1537" max="1545" width="0" hidden="1" customWidth="1"/>
    <col min="1547" max="1547" width="20.28515625" bestFit="1" customWidth="1"/>
    <col min="1548" max="1548" width="13.28515625" customWidth="1"/>
    <col min="1549" max="1549" width="12.42578125" bestFit="1" customWidth="1"/>
    <col min="1550" max="1550" width="11.7109375" bestFit="1" customWidth="1"/>
    <col min="1551" max="1551" width="14.7109375" bestFit="1" customWidth="1"/>
    <col min="1553" max="1553" width="20.28515625" bestFit="1" customWidth="1"/>
    <col min="1554" max="1554" width="21" customWidth="1"/>
    <col min="1555" max="1555" width="12.85546875" customWidth="1"/>
    <col min="1556" max="1556" width="11.7109375" bestFit="1" customWidth="1"/>
    <col min="1557" max="1557" width="13.5703125" bestFit="1" customWidth="1"/>
    <col min="1559" max="1559" width="23.85546875" bestFit="1" customWidth="1"/>
    <col min="1560" max="1560" width="13.7109375" customWidth="1"/>
    <col min="1561" max="1561" width="12.85546875" customWidth="1"/>
    <col min="1562" max="1562" width="11.7109375" bestFit="1" customWidth="1"/>
    <col min="1563" max="1563" width="14" bestFit="1" customWidth="1"/>
    <col min="1565" max="1565" width="19.85546875" bestFit="1" customWidth="1"/>
    <col min="1566" max="1566" width="13" customWidth="1"/>
    <col min="1567" max="1567" width="12.5703125" customWidth="1"/>
    <col min="1568" max="1568" width="12" bestFit="1" customWidth="1"/>
    <col min="1569" max="1569" width="12.5703125" customWidth="1"/>
    <col min="1571" max="1571" width="19.85546875" bestFit="1" customWidth="1"/>
    <col min="1572" max="1572" width="13.28515625" customWidth="1"/>
    <col min="1573" max="1573" width="12.28515625" customWidth="1"/>
    <col min="1574" max="1574" width="11.7109375" bestFit="1" customWidth="1"/>
    <col min="1575" max="1575" width="11.42578125" customWidth="1"/>
    <col min="1577" max="1577" width="20.140625" bestFit="1" customWidth="1"/>
    <col min="1578" max="1579" width="12.28515625" customWidth="1"/>
    <col min="1580" max="1580" width="9" bestFit="1" customWidth="1"/>
    <col min="1581" max="1581" width="11.85546875" bestFit="1" customWidth="1"/>
    <col min="1583" max="1583" width="15" customWidth="1"/>
    <col min="1793" max="1801" width="0" hidden="1" customWidth="1"/>
    <col min="1803" max="1803" width="20.28515625" bestFit="1" customWidth="1"/>
    <col min="1804" max="1804" width="13.28515625" customWidth="1"/>
    <col min="1805" max="1805" width="12.42578125" bestFit="1" customWidth="1"/>
    <col min="1806" max="1806" width="11.7109375" bestFit="1" customWidth="1"/>
    <col min="1807" max="1807" width="14.7109375" bestFit="1" customWidth="1"/>
    <col min="1809" max="1809" width="20.28515625" bestFit="1" customWidth="1"/>
    <col min="1810" max="1810" width="21" customWidth="1"/>
    <col min="1811" max="1811" width="12.85546875" customWidth="1"/>
    <col min="1812" max="1812" width="11.7109375" bestFit="1" customWidth="1"/>
    <col min="1813" max="1813" width="13.5703125" bestFit="1" customWidth="1"/>
    <col min="1815" max="1815" width="23.85546875" bestFit="1" customWidth="1"/>
    <col min="1816" max="1816" width="13.7109375" customWidth="1"/>
    <col min="1817" max="1817" width="12.85546875" customWidth="1"/>
    <col min="1818" max="1818" width="11.7109375" bestFit="1" customWidth="1"/>
    <col min="1819" max="1819" width="14" bestFit="1" customWidth="1"/>
    <col min="1821" max="1821" width="19.85546875" bestFit="1" customWidth="1"/>
    <col min="1822" max="1822" width="13" customWidth="1"/>
    <col min="1823" max="1823" width="12.5703125" customWidth="1"/>
    <col min="1824" max="1824" width="12" bestFit="1" customWidth="1"/>
    <col min="1825" max="1825" width="12.5703125" customWidth="1"/>
    <col min="1827" max="1827" width="19.85546875" bestFit="1" customWidth="1"/>
    <col min="1828" max="1828" width="13.28515625" customWidth="1"/>
    <col min="1829" max="1829" width="12.28515625" customWidth="1"/>
    <col min="1830" max="1830" width="11.7109375" bestFit="1" customWidth="1"/>
    <col min="1831" max="1831" width="11.42578125" customWidth="1"/>
    <col min="1833" max="1833" width="20.140625" bestFit="1" customWidth="1"/>
    <col min="1834" max="1835" width="12.28515625" customWidth="1"/>
    <col min="1836" max="1836" width="9" bestFit="1" customWidth="1"/>
    <col min="1837" max="1837" width="11.85546875" bestFit="1" customWidth="1"/>
    <col min="1839" max="1839" width="15" customWidth="1"/>
    <col min="2049" max="2057" width="0" hidden="1" customWidth="1"/>
    <col min="2059" max="2059" width="20.28515625" bestFit="1" customWidth="1"/>
    <col min="2060" max="2060" width="13.28515625" customWidth="1"/>
    <col min="2061" max="2061" width="12.42578125" bestFit="1" customWidth="1"/>
    <col min="2062" max="2062" width="11.7109375" bestFit="1" customWidth="1"/>
    <col min="2063" max="2063" width="14.7109375" bestFit="1" customWidth="1"/>
    <col min="2065" max="2065" width="20.28515625" bestFit="1" customWidth="1"/>
    <col min="2066" max="2066" width="21" customWidth="1"/>
    <col min="2067" max="2067" width="12.85546875" customWidth="1"/>
    <col min="2068" max="2068" width="11.7109375" bestFit="1" customWidth="1"/>
    <col min="2069" max="2069" width="13.5703125" bestFit="1" customWidth="1"/>
    <col min="2071" max="2071" width="23.85546875" bestFit="1" customWidth="1"/>
    <col min="2072" max="2072" width="13.7109375" customWidth="1"/>
    <col min="2073" max="2073" width="12.85546875" customWidth="1"/>
    <col min="2074" max="2074" width="11.7109375" bestFit="1" customWidth="1"/>
    <col min="2075" max="2075" width="14" bestFit="1" customWidth="1"/>
    <col min="2077" max="2077" width="19.85546875" bestFit="1" customWidth="1"/>
    <col min="2078" max="2078" width="13" customWidth="1"/>
    <col min="2079" max="2079" width="12.5703125" customWidth="1"/>
    <col min="2080" max="2080" width="12" bestFit="1" customWidth="1"/>
    <col min="2081" max="2081" width="12.5703125" customWidth="1"/>
    <col min="2083" max="2083" width="19.85546875" bestFit="1" customWidth="1"/>
    <col min="2084" max="2084" width="13.28515625" customWidth="1"/>
    <col min="2085" max="2085" width="12.28515625" customWidth="1"/>
    <col min="2086" max="2086" width="11.7109375" bestFit="1" customWidth="1"/>
    <col min="2087" max="2087" width="11.42578125" customWidth="1"/>
    <col min="2089" max="2089" width="20.140625" bestFit="1" customWidth="1"/>
    <col min="2090" max="2091" width="12.28515625" customWidth="1"/>
    <col min="2092" max="2092" width="9" bestFit="1" customWidth="1"/>
    <col min="2093" max="2093" width="11.85546875" bestFit="1" customWidth="1"/>
    <col min="2095" max="2095" width="15" customWidth="1"/>
    <col min="2305" max="2313" width="0" hidden="1" customWidth="1"/>
    <col min="2315" max="2315" width="20.28515625" bestFit="1" customWidth="1"/>
    <col min="2316" max="2316" width="13.28515625" customWidth="1"/>
    <col min="2317" max="2317" width="12.42578125" bestFit="1" customWidth="1"/>
    <col min="2318" max="2318" width="11.7109375" bestFit="1" customWidth="1"/>
    <col min="2319" max="2319" width="14.7109375" bestFit="1" customWidth="1"/>
    <col min="2321" max="2321" width="20.28515625" bestFit="1" customWidth="1"/>
    <col min="2322" max="2322" width="21" customWidth="1"/>
    <col min="2323" max="2323" width="12.85546875" customWidth="1"/>
    <col min="2324" max="2324" width="11.7109375" bestFit="1" customWidth="1"/>
    <col min="2325" max="2325" width="13.5703125" bestFit="1" customWidth="1"/>
    <col min="2327" max="2327" width="23.85546875" bestFit="1" customWidth="1"/>
    <col min="2328" max="2328" width="13.7109375" customWidth="1"/>
    <col min="2329" max="2329" width="12.85546875" customWidth="1"/>
    <col min="2330" max="2330" width="11.7109375" bestFit="1" customWidth="1"/>
    <col min="2331" max="2331" width="14" bestFit="1" customWidth="1"/>
    <col min="2333" max="2333" width="19.85546875" bestFit="1" customWidth="1"/>
    <col min="2334" max="2334" width="13" customWidth="1"/>
    <col min="2335" max="2335" width="12.5703125" customWidth="1"/>
    <col min="2336" max="2336" width="12" bestFit="1" customWidth="1"/>
    <col min="2337" max="2337" width="12.5703125" customWidth="1"/>
    <col min="2339" max="2339" width="19.85546875" bestFit="1" customWidth="1"/>
    <col min="2340" max="2340" width="13.28515625" customWidth="1"/>
    <col min="2341" max="2341" width="12.28515625" customWidth="1"/>
    <col min="2342" max="2342" width="11.7109375" bestFit="1" customWidth="1"/>
    <col min="2343" max="2343" width="11.42578125" customWidth="1"/>
    <col min="2345" max="2345" width="20.140625" bestFit="1" customWidth="1"/>
    <col min="2346" max="2347" width="12.28515625" customWidth="1"/>
    <col min="2348" max="2348" width="9" bestFit="1" customWidth="1"/>
    <col min="2349" max="2349" width="11.85546875" bestFit="1" customWidth="1"/>
    <col min="2351" max="2351" width="15" customWidth="1"/>
    <col min="2561" max="2569" width="0" hidden="1" customWidth="1"/>
    <col min="2571" max="2571" width="20.28515625" bestFit="1" customWidth="1"/>
    <col min="2572" max="2572" width="13.28515625" customWidth="1"/>
    <col min="2573" max="2573" width="12.42578125" bestFit="1" customWidth="1"/>
    <col min="2574" max="2574" width="11.7109375" bestFit="1" customWidth="1"/>
    <col min="2575" max="2575" width="14.7109375" bestFit="1" customWidth="1"/>
    <col min="2577" max="2577" width="20.28515625" bestFit="1" customWidth="1"/>
    <col min="2578" max="2578" width="21" customWidth="1"/>
    <col min="2579" max="2579" width="12.85546875" customWidth="1"/>
    <col min="2580" max="2580" width="11.7109375" bestFit="1" customWidth="1"/>
    <col min="2581" max="2581" width="13.5703125" bestFit="1" customWidth="1"/>
    <col min="2583" max="2583" width="23.85546875" bestFit="1" customWidth="1"/>
    <col min="2584" max="2584" width="13.7109375" customWidth="1"/>
    <col min="2585" max="2585" width="12.85546875" customWidth="1"/>
    <col min="2586" max="2586" width="11.7109375" bestFit="1" customWidth="1"/>
    <col min="2587" max="2587" width="14" bestFit="1" customWidth="1"/>
    <col min="2589" max="2589" width="19.85546875" bestFit="1" customWidth="1"/>
    <col min="2590" max="2590" width="13" customWidth="1"/>
    <col min="2591" max="2591" width="12.5703125" customWidth="1"/>
    <col min="2592" max="2592" width="12" bestFit="1" customWidth="1"/>
    <col min="2593" max="2593" width="12.5703125" customWidth="1"/>
    <col min="2595" max="2595" width="19.85546875" bestFit="1" customWidth="1"/>
    <col min="2596" max="2596" width="13.28515625" customWidth="1"/>
    <col min="2597" max="2597" width="12.28515625" customWidth="1"/>
    <col min="2598" max="2598" width="11.7109375" bestFit="1" customWidth="1"/>
    <col min="2599" max="2599" width="11.42578125" customWidth="1"/>
    <col min="2601" max="2601" width="20.140625" bestFit="1" customWidth="1"/>
    <col min="2602" max="2603" width="12.28515625" customWidth="1"/>
    <col min="2604" max="2604" width="9" bestFit="1" customWidth="1"/>
    <col min="2605" max="2605" width="11.85546875" bestFit="1" customWidth="1"/>
    <col min="2607" max="2607" width="15" customWidth="1"/>
    <col min="2817" max="2825" width="0" hidden="1" customWidth="1"/>
    <col min="2827" max="2827" width="20.28515625" bestFit="1" customWidth="1"/>
    <col min="2828" max="2828" width="13.28515625" customWidth="1"/>
    <col min="2829" max="2829" width="12.42578125" bestFit="1" customWidth="1"/>
    <col min="2830" max="2830" width="11.7109375" bestFit="1" customWidth="1"/>
    <col min="2831" max="2831" width="14.7109375" bestFit="1" customWidth="1"/>
    <col min="2833" max="2833" width="20.28515625" bestFit="1" customWidth="1"/>
    <col min="2834" max="2834" width="21" customWidth="1"/>
    <col min="2835" max="2835" width="12.85546875" customWidth="1"/>
    <col min="2836" max="2836" width="11.7109375" bestFit="1" customWidth="1"/>
    <col min="2837" max="2837" width="13.5703125" bestFit="1" customWidth="1"/>
    <col min="2839" max="2839" width="23.85546875" bestFit="1" customWidth="1"/>
    <col min="2840" max="2840" width="13.7109375" customWidth="1"/>
    <col min="2841" max="2841" width="12.85546875" customWidth="1"/>
    <col min="2842" max="2842" width="11.7109375" bestFit="1" customWidth="1"/>
    <col min="2843" max="2843" width="14" bestFit="1" customWidth="1"/>
    <col min="2845" max="2845" width="19.85546875" bestFit="1" customWidth="1"/>
    <col min="2846" max="2846" width="13" customWidth="1"/>
    <col min="2847" max="2847" width="12.5703125" customWidth="1"/>
    <col min="2848" max="2848" width="12" bestFit="1" customWidth="1"/>
    <col min="2849" max="2849" width="12.5703125" customWidth="1"/>
    <col min="2851" max="2851" width="19.85546875" bestFit="1" customWidth="1"/>
    <col min="2852" max="2852" width="13.28515625" customWidth="1"/>
    <col min="2853" max="2853" width="12.28515625" customWidth="1"/>
    <col min="2854" max="2854" width="11.7109375" bestFit="1" customWidth="1"/>
    <col min="2855" max="2855" width="11.42578125" customWidth="1"/>
    <col min="2857" max="2857" width="20.140625" bestFit="1" customWidth="1"/>
    <col min="2858" max="2859" width="12.28515625" customWidth="1"/>
    <col min="2860" max="2860" width="9" bestFit="1" customWidth="1"/>
    <col min="2861" max="2861" width="11.85546875" bestFit="1" customWidth="1"/>
    <col min="2863" max="2863" width="15" customWidth="1"/>
    <col min="3073" max="3081" width="0" hidden="1" customWidth="1"/>
    <col min="3083" max="3083" width="20.28515625" bestFit="1" customWidth="1"/>
    <col min="3084" max="3084" width="13.28515625" customWidth="1"/>
    <col min="3085" max="3085" width="12.42578125" bestFit="1" customWidth="1"/>
    <col min="3086" max="3086" width="11.7109375" bestFit="1" customWidth="1"/>
    <col min="3087" max="3087" width="14.7109375" bestFit="1" customWidth="1"/>
    <col min="3089" max="3089" width="20.28515625" bestFit="1" customWidth="1"/>
    <col min="3090" max="3090" width="21" customWidth="1"/>
    <col min="3091" max="3091" width="12.85546875" customWidth="1"/>
    <col min="3092" max="3092" width="11.7109375" bestFit="1" customWidth="1"/>
    <col min="3093" max="3093" width="13.5703125" bestFit="1" customWidth="1"/>
    <col min="3095" max="3095" width="23.85546875" bestFit="1" customWidth="1"/>
    <col min="3096" max="3096" width="13.7109375" customWidth="1"/>
    <col min="3097" max="3097" width="12.85546875" customWidth="1"/>
    <col min="3098" max="3098" width="11.7109375" bestFit="1" customWidth="1"/>
    <col min="3099" max="3099" width="14" bestFit="1" customWidth="1"/>
    <col min="3101" max="3101" width="19.85546875" bestFit="1" customWidth="1"/>
    <col min="3102" max="3102" width="13" customWidth="1"/>
    <col min="3103" max="3103" width="12.5703125" customWidth="1"/>
    <col min="3104" max="3104" width="12" bestFit="1" customWidth="1"/>
    <col min="3105" max="3105" width="12.5703125" customWidth="1"/>
    <col min="3107" max="3107" width="19.85546875" bestFit="1" customWidth="1"/>
    <col min="3108" max="3108" width="13.28515625" customWidth="1"/>
    <col min="3109" max="3109" width="12.28515625" customWidth="1"/>
    <col min="3110" max="3110" width="11.7109375" bestFit="1" customWidth="1"/>
    <col min="3111" max="3111" width="11.42578125" customWidth="1"/>
    <col min="3113" max="3113" width="20.140625" bestFit="1" customWidth="1"/>
    <col min="3114" max="3115" width="12.28515625" customWidth="1"/>
    <col min="3116" max="3116" width="9" bestFit="1" customWidth="1"/>
    <col min="3117" max="3117" width="11.85546875" bestFit="1" customWidth="1"/>
    <col min="3119" max="3119" width="15" customWidth="1"/>
    <col min="3329" max="3337" width="0" hidden="1" customWidth="1"/>
    <col min="3339" max="3339" width="20.28515625" bestFit="1" customWidth="1"/>
    <col min="3340" max="3340" width="13.28515625" customWidth="1"/>
    <col min="3341" max="3341" width="12.42578125" bestFit="1" customWidth="1"/>
    <col min="3342" max="3342" width="11.7109375" bestFit="1" customWidth="1"/>
    <col min="3343" max="3343" width="14.7109375" bestFit="1" customWidth="1"/>
    <col min="3345" max="3345" width="20.28515625" bestFit="1" customWidth="1"/>
    <col min="3346" max="3346" width="21" customWidth="1"/>
    <col min="3347" max="3347" width="12.85546875" customWidth="1"/>
    <col min="3348" max="3348" width="11.7109375" bestFit="1" customWidth="1"/>
    <col min="3349" max="3349" width="13.5703125" bestFit="1" customWidth="1"/>
    <col min="3351" max="3351" width="23.85546875" bestFit="1" customWidth="1"/>
    <col min="3352" max="3352" width="13.7109375" customWidth="1"/>
    <col min="3353" max="3353" width="12.85546875" customWidth="1"/>
    <col min="3354" max="3354" width="11.7109375" bestFit="1" customWidth="1"/>
    <col min="3355" max="3355" width="14" bestFit="1" customWidth="1"/>
    <col min="3357" max="3357" width="19.85546875" bestFit="1" customWidth="1"/>
    <col min="3358" max="3358" width="13" customWidth="1"/>
    <col min="3359" max="3359" width="12.5703125" customWidth="1"/>
    <col min="3360" max="3360" width="12" bestFit="1" customWidth="1"/>
    <col min="3361" max="3361" width="12.5703125" customWidth="1"/>
    <col min="3363" max="3363" width="19.85546875" bestFit="1" customWidth="1"/>
    <col min="3364" max="3364" width="13.28515625" customWidth="1"/>
    <col min="3365" max="3365" width="12.28515625" customWidth="1"/>
    <col min="3366" max="3366" width="11.7109375" bestFit="1" customWidth="1"/>
    <col min="3367" max="3367" width="11.42578125" customWidth="1"/>
    <col min="3369" max="3369" width="20.140625" bestFit="1" customWidth="1"/>
    <col min="3370" max="3371" width="12.28515625" customWidth="1"/>
    <col min="3372" max="3372" width="9" bestFit="1" customWidth="1"/>
    <col min="3373" max="3373" width="11.85546875" bestFit="1" customWidth="1"/>
    <col min="3375" max="3375" width="15" customWidth="1"/>
    <col min="3585" max="3593" width="0" hidden="1" customWidth="1"/>
    <col min="3595" max="3595" width="20.28515625" bestFit="1" customWidth="1"/>
    <col min="3596" max="3596" width="13.28515625" customWidth="1"/>
    <col min="3597" max="3597" width="12.42578125" bestFit="1" customWidth="1"/>
    <col min="3598" max="3598" width="11.7109375" bestFit="1" customWidth="1"/>
    <col min="3599" max="3599" width="14.7109375" bestFit="1" customWidth="1"/>
    <col min="3601" max="3601" width="20.28515625" bestFit="1" customWidth="1"/>
    <col min="3602" max="3602" width="21" customWidth="1"/>
    <col min="3603" max="3603" width="12.85546875" customWidth="1"/>
    <col min="3604" max="3604" width="11.7109375" bestFit="1" customWidth="1"/>
    <col min="3605" max="3605" width="13.5703125" bestFit="1" customWidth="1"/>
    <col min="3607" max="3607" width="23.85546875" bestFit="1" customWidth="1"/>
    <col min="3608" max="3608" width="13.7109375" customWidth="1"/>
    <col min="3609" max="3609" width="12.85546875" customWidth="1"/>
    <col min="3610" max="3610" width="11.7109375" bestFit="1" customWidth="1"/>
    <col min="3611" max="3611" width="14" bestFit="1" customWidth="1"/>
    <col min="3613" max="3613" width="19.85546875" bestFit="1" customWidth="1"/>
    <col min="3614" max="3614" width="13" customWidth="1"/>
    <col min="3615" max="3615" width="12.5703125" customWidth="1"/>
    <col min="3616" max="3616" width="12" bestFit="1" customWidth="1"/>
    <col min="3617" max="3617" width="12.5703125" customWidth="1"/>
    <col min="3619" max="3619" width="19.85546875" bestFit="1" customWidth="1"/>
    <col min="3620" max="3620" width="13.28515625" customWidth="1"/>
    <col min="3621" max="3621" width="12.28515625" customWidth="1"/>
    <col min="3622" max="3622" width="11.7109375" bestFit="1" customWidth="1"/>
    <col min="3623" max="3623" width="11.42578125" customWidth="1"/>
    <col min="3625" max="3625" width="20.140625" bestFit="1" customWidth="1"/>
    <col min="3626" max="3627" width="12.28515625" customWidth="1"/>
    <col min="3628" max="3628" width="9" bestFit="1" customWidth="1"/>
    <col min="3629" max="3629" width="11.85546875" bestFit="1" customWidth="1"/>
    <col min="3631" max="3631" width="15" customWidth="1"/>
    <col min="3841" max="3849" width="0" hidden="1" customWidth="1"/>
    <col min="3851" max="3851" width="20.28515625" bestFit="1" customWidth="1"/>
    <col min="3852" max="3852" width="13.28515625" customWidth="1"/>
    <col min="3853" max="3853" width="12.42578125" bestFit="1" customWidth="1"/>
    <col min="3854" max="3854" width="11.7109375" bestFit="1" customWidth="1"/>
    <col min="3855" max="3855" width="14.7109375" bestFit="1" customWidth="1"/>
    <col min="3857" max="3857" width="20.28515625" bestFit="1" customWidth="1"/>
    <col min="3858" max="3858" width="21" customWidth="1"/>
    <col min="3859" max="3859" width="12.85546875" customWidth="1"/>
    <col min="3860" max="3860" width="11.7109375" bestFit="1" customWidth="1"/>
    <col min="3861" max="3861" width="13.5703125" bestFit="1" customWidth="1"/>
    <col min="3863" max="3863" width="23.85546875" bestFit="1" customWidth="1"/>
    <col min="3864" max="3864" width="13.7109375" customWidth="1"/>
    <col min="3865" max="3865" width="12.85546875" customWidth="1"/>
    <col min="3866" max="3866" width="11.7109375" bestFit="1" customWidth="1"/>
    <col min="3867" max="3867" width="14" bestFit="1" customWidth="1"/>
    <col min="3869" max="3869" width="19.85546875" bestFit="1" customWidth="1"/>
    <col min="3870" max="3870" width="13" customWidth="1"/>
    <col min="3871" max="3871" width="12.5703125" customWidth="1"/>
    <col min="3872" max="3872" width="12" bestFit="1" customWidth="1"/>
    <col min="3873" max="3873" width="12.5703125" customWidth="1"/>
    <col min="3875" max="3875" width="19.85546875" bestFit="1" customWidth="1"/>
    <col min="3876" max="3876" width="13.28515625" customWidth="1"/>
    <col min="3877" max="3877" width="12.28515625" customWidth="1"/>
    <col min="3878" max="3878" width="11.7109375" bestFit="1" customWidth="1"/>
    <col min="3879" max="3879" width="11.42578125" customWidth="1"/>
    <col min="3881" max="3881" width="20.140625" bestFit="1" customWidth="1"/>
    <col min="3882" max="3883" width="12.28515625" customWidth="1"/>
    <col min="3884" max="3884" width="9" bestFit="1" customWidth="1"/>
    <col min="3885" max="3885" width="11.85546875" bestFit="1" customWidth="1"/>
    <col min="3887" max="3887" width="15" customWidth="1"/>
    <col min="4097" max="4105" width="0" hidden="1" customWidth="1"/>
    <col min="4107" max="4107" width="20.28515625" bestFit="1" customWidth="1"/>
    <col min="4108" max="4108" width="13.28515625" customWidth="1"/>
    <col min="4109" max="4109" width="12.42578125" bestFit="1" customWidth="1"/>
    <col min="4110" max="4110" width="11.7109375" bestFit="1" customWidth="1"/>
    <col min="4111" max="4111" width="14.7109375" bestFit="1" customWidth="1"/>
    <col min="4113" max="4113" width="20.28515625" bestFit="1" customWidth="1"/>
    <col min="4114" max="4114" width="21" customWidth="1"/>
    <col min="4115" max="4115" width="12.85546875" customWidth="1"/>
    <col min="4116" max="4116" width="11.7109375" bestFit="1" customWidth="1"/>
    <col min="4117" max="4117" width="13.5703125" bestFit="1" customWidth="1"/>
    <col min="4119" max="4119" width="23.85546875" bestFit="1" customWidth="1"/>
    <col min="4120" max="4120" width="13.7109375" customWidth="1"/>
    <col min="4121" max="4121" width="12.85546875" customWidth="1"/>
    <col min="4122" max="4122" width="11.7109375" bestFit="1" customWidth="1"/>
    <col min="4123" max="4123" width="14" bestFit="1" customWidth="1"/>
    <col min="4125" max="4125" width="19.85546875" bestFit="1" customWidth="1"/>
    <col min="4126" max="4126" width="13" customWidth="1"/>
    <col min="4127" max="4127" width="12.5703125" customWidth="1"/>
    <col min="4128" max="4128" width="12" bestFit="1" customWidth="1"/>
    <col min="4129" max="4129" width="12.5703125" customWidth="1"/>
    <col min="4131" max="4131" width="19.85546875" bestFit="1" customWidth="1"/>
    <col min="4132" max="4132" width="13.28515625" customWidth="1"/>
    <col min="4133" max="4133" width="12.28515625" customWidth="1"/>
    <col min="4134" max="4134" width="11.7109375" bestFit="1" customWidth="1"/>
    <col min="4135" max="4135" width="11.42578125" customWidth="1"/>
    <col min="4137" max="4137" width="20.140625" bestFit="1" customWidth="1"/>
    <col min="4138" max="4139" width="12.28515625" customWidth="1"/>
    <col min="4140" max="4140" width="9" bestFit="1" customWidth="1"/>
    <col min="4141" max="4141" width="11.85546875" bestFit="1" customWidth="1"/>
    <col min="4143" max="4143" width="15" customWidth="1"/>
    <col min="4353" max="4361" width="0" hidden="1" customWidth="1"/>
    <col min="4363" max="4363" width="20.28515625" bestFit="1" customWidth="1"/>
    <col min="4364" max="4364" width="13.28515625" customWidth="1"/>
    <col min="4365" max="4365" width="12.42578125" bestFit="1" customWidth="1"/>
    <col min="4366" max="4366" width="11.7109375" bestFit="1" customWidth="1"/>
    <col min="4367" max="4367" width="14.7109375" bestFit="1" customWidth="1"/>
    <col min="4369" max="4369" width="20.28515625" bestFit="1" customWidth="1"/>
    <col min="4370" max="4370" width="21" customWidth="1"/>
    <col min="4371" max="4371" width="12.85546875" customWidth="1"/>
    <col min="4372" max="4372" width="11.7109375" bestFit="1" customWidth="1"/>
    <col min="4373" max="4373" width="13.5703125" bestFit="1" customWidth="1"/>
    <col min="4375" max="4375" width="23.85546875" bestFit="1" customWidth="1"/>
    <col min="4376" max="4376" width="13.7109375" customWidth="1"/>
    <col min="4377" max="4377" width="12.85546875" customWidth="1"/>
    <col min="4378" max="4378" width="11.7109375" bestFit="1" customWidth="1"/>
    <col min="4379" max="4379" width="14" bestFit="1" customWidth="1"/>
    <col min="4381" max="4381" width="19.85546875" bestFit="1" customWidth="1"/>
    <col min="4382" max="4382" width="13" customWidth="1"/>
    <col min="4383" max="4383" width="12.5703125" customWidth="1"/>
    <col min="4384" max="4384" width="12" bestFit="1" customWidth="1"/>
    <col min="4385" max="4385" width="12.5703125" customWidth="1"/>
    <col min="4387" max="4387" width="19.85546875" bestFit="1" customWidth="1"/>
    <col min="4388" max="4388" width="13.28515625" customWidth="1"/>
    <col min="4389" max="4389" width="12.28515625" customWidth="1"/>
    <col min="4390" max="4390" width="11.7109375" bestFit="1" customWidth="1"/>
    <col min="4391" max="4391" width="11.42578125" customWidth="1"/>
    <col min="4393" max="4393" width="20.140625" bestFit="1" customWidth="1"/>
    <col min="4394" max="4395" width="12.28515625" customWidth="1"/>
    <col min="4396" max="4396" width="9" bestFit="1" customWidth="1"/>
    <col min="4397" max="4397" width="11.85546875" bestFit="1" customWidth="1"/>
    <col min="4399" max="4399" width="15" customWidth="1"/>
    <col min="4609" max="4617" width="0" hidden="1" customWidth="1"/>
    <col min="4619" max="4619" width="20.28515625" bestFit="1" customWidth="1"/>
    <col min="4620" max="4620" width="13.28515625" customWidth="1"/>
    <col min="4621" max="4621" width="12.42578125" bestFit="1" customWidth="1"/>
    <col min="4622" max="4622" width="11.7109375" bestFit="1" customWidth="1"/>
    <col min="4623" max="4623" width="14.7109375" bestFit="1" customWidth="1"/>
    <col min="4625" max="4625" width="20.28515625" bestFit="1" customWidth="1"/>
    <col min="4626" max="4626" width="21" customWidth="1"/>
    <col min="4627" max="4627" width="12.85546875" customWidth="1"/>
    <col min="4628" max="4628" width="11.7109375" bestFit="1" customWidth="1"/>
    <col min="4629" max="4629" width="13.5703125" bestFit="1" customWidth="1"/>
    <col min="4631" max="4631" width="23.85546875" bestFit="1" customWidth="1"/>
    <col min="4632" max="4632" width="13.7109375" customWidth="1"/>
    <col min="4633" max="4633" width="12.85546875" customWidth="1"/>
    <col min="4634" max="4634" width="11.7109375" bestFit="1" customWidth="1"/>
    <col min="4635" max="4635" width="14" bestFit="1" customWidth="1"/>
    <col min="4637" max="4637" width="19.85546875" bestFit="1" customWidth="1"/>
    <col min="4638" max="4638" width="13" customWidth="1"/>
    <col min="4639" max="4639" width="12.5703125" customWidth="1"/>
    <col min="4640" max="4640" width="12" bestFit="1" customWidth="1"/>
    <col min="4641" max="4641" width="12.5703125" customWidth="1"/>
    <col min="4643" max="4643" width="19.85546875" bestFit="1" customWidth="1"/>
    <col min="4644" max="4644" width="13.28515625" customWidth="1"/>
    <col min="4645" max="4645" width="12.28515625" customWidth="1"/>
    <col min="4646" max="4646" width="11.7109375" bestFit="1" customWidth="1"/>
    <col min="4647" max="4647" width="11.42578125" customWidth="1"/>
    <col min="4649" max="4649" width="20.140625" bestFit="1" customWidth="1"/>
    <col min="4650" max="4651" width="12.28515625" customWidth="1"/>
    <col min="4652" max="4652" width="9" bestFit="1" customWidth="1"/>
    <col min="4653" max="4653" width="11.85546875" bestFit="1" customWidth="1"/>
    <col min="4655" max="4655" width="15" customWidth="1"/>
    <col min="4865" max="4873" width="0" hidden="1" customWidth="1"/>
    <col min="4875" max="4875" width="20.28515625" bestFit="1" customWidth="1"/>
    <col min="4876" max="4876" width="13.28515625" customWidth="1"/>
    <col min="4877" max="4877" width="12.42578125" bestFit="1" customWidth="1"/>
    <col min="4878" max="4878" width="11.7109375" bestFit="1" customWidth="1"/>
    <col min="4879" max="4879" width="14.7109375" bestFit="1" customWidth="1"/>
    <col min="4881" max="4881" width="20.28515625" bestFit="1" customWidth="1"/>
    <col min="4882" max="4882" width="21" customWidth="1"/>
    <col min="4883" max="4883" width="12.85546875" customWidth="1"/>
    <col min="4884" max="4884" width="11.7109375" bestFit="1" customWidth="1"/>
    <col min="4885" max="4885" width="13.5703125" bestFit="1" customWidth="1"/>
    <col min="4887" max="4887" width="23.85546875" bestFit="1" customWidth="1"/>
    <col min="4888" max="4888" width="13.7109375" customWidth="1"/>
    <col min="4889" max="4889" width="12.85546875" customWidth="1"/>
    <col min="4890" max="4890" width="11.7109375" bestFit="1" customWidth="1"/>
    <col min="4891" max="4891" width="14" bestFit="1" customWidth="1"/>
    <col min="4893" max="4893" width="19.85546875" bestFit="1" customWidth="1"/>
    <col min="4894" max="4894" width="13" customWidth="1"/>
    <col min="4895" max="4895" width="12.5703125" customWidth="1"/>
    <col min="4896" max="4896" width="12" bestFit="1" customWidth="1"/>
    <col min="4897" max="4897" width="12.5703125" customWidth="1"/>
    <col min="4899" max="4899" width="19.85546875" bestFit="1" customWidth="1"/>
    <col min="4900" max="4900" width="13.28515625" customWidth="1"/>
    <col min="4901" max="4901" width="12.28515625" customWidth="1"/>
    <col min="4902" max="4902" width="11.7109375" bestFit="1" customWidth="1"/>
    <col min="4903" max="4903" width="11.42578125" customWidth="1"/>
    <col min="4905" max="4905" width="20.140625" bestFit="1" customWidth="1"/>
    <col min="4906" max="4907" width="12.28515625" customWidth="1"/>
    <col min="4908" max="4908" width="9" bestFit="1" customWidth="1"/>
    <col min="4909" max="4909" width="11.85546875" bestFit="1" customWidth="1"/>
    <col min="4911" max="4911" width="15" customWidth="1"/>
    <col min="5121" max="5129" width="0" hidden="1" customWidth="1"/>
    <col min="5131" max="5131" width="20.28515625" bestFit="1" customWidth="1"/>
    <col min="5132" max="5132" width="13.28515625" customWidth="1"/>
    <col min="5133" max="5133" width="12.42578125" bestFit="1" customWidth="1"/>
    <col min="5134" max="5134" width="11.7109375" bestFit="1" customWidth="1"/>
    <col min="5135" max="5135" width="14.7109375" bestFit="1" customWidth="1"/>
    <col min="5137" max="5137" width="20.28515625" bestFit="1" customWidth="1"/>
    <col min="5138" max="5138" width="21" customWidth="1"/>
    <col min="5139" max="5139" width="12.85546875" customWidth="1"/>
    <col min="5140" max="5140" width="11.7109375" bestFit="1" customWidth="1"/>
    <col min="5141" max="5141" width="13.5703125" bestFit="1" customWidth="1"/>
    <col min="5143" max="5143" width="23.85546875" bestFit="1" customWidth="1"/>
    <col min="5144" max="5144" width="13.7109375" customWidth="1"/>
    <col min="5145" max="5145" width="12.85546875" customWidth="1"/>
    <col min="5146" max="5146" width="11.7109375" bestFit="1" customWidth="1"/>
    <col min="5147" max="5147" width="14" bestFit="1" customWidth="1"/>
    <col min="5149" max="5149" width="19.85546875" bestFit="1" customWidth="1"/>
    <col min="5150" max="5150" width="13" customWidth="1"/>
    <col min="5151" max="5151" width="12.5703125" customWidth="1"/>
    <col min="5152" max="5152" width="12" bestFit="1" customWidth="1"/>
    <col min="5153" max="5153" width="12.5703125" customWidth="1"/>
    <col min="5155" max="5155" width="19.85546875" bestFit="1" customWidth="1"/>
    <col min="5156" max="5156" width="13.28515625" customWidth="1"/>
    <col min="5157" max="5157" width="12.28515625" customWidth="1"/>
    <col min="5158" max="5158" width="11.7109375" bestFit="1" customWidth="1"/>
    <col min="5159" max="5159" width="11.42578125" customWidth="1"/>
    <col min="5161" max="5161" width="20.140625" bestFit="1" customWidth="1"/>
    <col min="5162" max="5163" width="12.28515625" customWidth="1"/>
    <col min="5164" max="5164" width="9" bestFit="1" customWidth="1"/>
    <col min="5165" max="5165" width="11.85546875" bestFit="1" customWidth="1"/>
    <col min="5167" max="5167" width="15" customWidth="1"/>
    <col min="5377" max="5385" width="0" hidden="1" customWidth="1"/>
    <col min="5387" max="5387" width="20.28515625" bestFit="1" customWidth="1"/>
    <col min="5388" max="5388" width="13.28515625" customWidth="1"/>
    <col min="5389" max="5389" width="12.42578125" bestFit="1" customWidth="1"/>
    <col min="5390" max="5390" width="11.7109375" bestFit="1" customWidth="1"/>
    <col min="5391" max="5391" width="14.7109375" bestFit="1" customWidth="1"/>
    <col min="5393" max="5393" width="20.28515625" bestFit="1" customWidth="1"/>
    <col min="5394" max="5394" width="21" customWidth="1"/>
    <col min="5395" max="5395" width="12.85546875" customWidth="1"/>
    <col min="5396" max="5396" width="11.7109375" bestFit="1" customWidth="1"/>
    <col min="5397" max="5397" width="13.5703125" bestFit="1" customWidth="1"/>
    <col min="5399" max="5399" width="23.85546875" bestFit="1" customWidth="1"/>
    <col min="5400" max="5400" width="13.7109375" customWidth="1"/>
    <col min="5401" max="5401" width="12.85546875" customWidth="1"/>
    <col min="5402" max="5402" width="11.7109375" bestFit="1" customWidth="1"/>
    <col min="5403" max="5403" width="14" bestFit="1" customWidth="1"/>
    <col min="5405" max="5405" width="19.85546875" bestFit="1" customWidth="1"/>
    <col min="5406" max="5406" width="13" customWidth="1"/>
    <col min="5407" max="5407" width="12.5703125" customWidth="1"/>
    <col min="5408" max="5408" width="12" bestFit="1" customWidth="1"/>
    <col min="5409" max="5409" width="12.5703125" customWidth="1"/>
    <col min="5411" max="5411" width="19.85546875" bestFit="1" customWidth="1"/>
    <col min="5412" max="5412" width="13.28515625" customWidth="1"/>
    <col min="5413" max="5413" width="12.28515625" customWidth="1"/>
    <col min="5414" max="5414" width="11.7109375" bestFit="1" customWidth="1"/>
    <col min="5415" max="5415" width="11.42578125" customWidth="1"/>
    <col min="5417" max="5417" width="20.140625" bestFit="1" customWidth="1"/>
    <col min="5418" max="5419" width="12.28515625" customWidth="1"/>
    <col min="5420" max="5420" width="9" bestFit="1" customWidth="1"/>
    <col min="5421" max="5421" width="11.85546875" bestFit="1" customWidth="1"/>
    <col min="5423" max="5423" width="15" customWidth="1"/>
    <col min="5633" max="5641" width="0" hidden="1" customWidth="1"/>
    <col min="5643" max="5643" width="20.28515625" bestFit="1" customWidth="1"/>
    <col min="5644" max="5644" width="13.28515625" customWidth="1"/>
    <col min="5645" max="5645" width="12.42578125" bestFit="1" customWidth="1"/>
    <col min="5646" max="5646" width="11.7109375" bestFit="1" customWidth="1"/>
    <col min="5647" max="5647" width="14.7109375" bestFit="1" customWidth="1"/>
    <col min="5649" max="5649" width="20.28515625" bestFit="1" customWidth="1"/>
    <col min="5650" max="5650" width="21" customWidth="1"/>
    <col min="5651" max="5651" width="12.85546875" customWidth="1"/>
    <col min="5652" max="5652" width="11.7109375" bestFit="1" customWidth="1"/>
    <col min="5653" max="5653" width="13.5703125" bestFit="1" customWidth="1"/>
    <col min="5655" max="5655" width="23.85546875" bestFit="1" customWidth="1"/>
    <col min="5656" max="5656" width="13.7109375" customWidth="1"/>
    <col min="5657" max="5657" width="12.85546875" customWidth="1"/>
    <col min="5658" max="5658" width="11.7109375" bestFit="1" customWidth="1"/>
    <col min="5659" max="5659" width="14" bestFit="1" customWidth="1"/>
    <col min="5661" max="5661" width="19.85546875" bestFit="1" customWidth="1"/>
    <col min="5662" max="5662" width="13" customWidth="1"/>
    <col min="5663" max="5663" width="12.5703125" customWidth="1"/>
    <col min="5664" max="5664" width="12" bestFit="1" customWidth="1"/>
    <col min="5665" max="5665" width="12.5703125" customWidth="1"/>
    <col min="5667" max="5667" width="19.85546875" bestFit="1" customWidth="1"/>
    <col min="5668" max="5668" width="13.28515625" customWidth="1"/>
    <col min="5669" max="5669" width="12.28515625" customWidth="1"/>
    <col min="5670" max="5670" width="11.7109375" bestFit="1" customWidth="1"/>
    <col min="5671" max="5671" width="11.42578125" customWidth="1"/>
    <col min="5673" max="5673" width="20.140625" bestFit="1" customWidth="1"/>
    <col min="5674" max="5675" width="12.28515625" customWidth="1"/>
    <col min="5676" max="5676" width="9" bestFit="1" customWidth="1"/>
    <col min="5677" max="5677" width="11.85546875" bestFit="1" customWidth="1"/>
    <col min="5679" max="5679" width="15" customWidth="1"/>
    <col min="5889" max="5897" width="0" hidden="1" customWidth="1"/>
    <col min="5899" max="5899" width="20.28515625" bestFit="1" customWidth="1"/>
    <col min="5900" max="5900" width="13.28515625" customWidth="1"/>
    <col min="5901" max="5901" width="12.42578125" bestFit="1" customWidth="1"/>
    <col min="5902" max="5902" width="11.7109375" bestFit="1" customWidth="1"/>
    <col min="5903" max="5903" width="14.7109375" bestFit="1" customWidth="1"/>
    <col min="5905" max="5905" width="20.28515625" bestFit="1" customWidth="1"/>
    <col min="5906" max="5906" width="21" customWidth="1"/>
    <col min="5907" max="5907" width="12.85546875" customWidth="1"/>
    <col min="5908" max="5908" width="11.7109375" bestFit="1" customWidth="1"/>
    <col min="5909" max="5909" width="13.5703125" bestFit="1" customWidth="1"/>
    <col min="5911" max="5911" width="23.85546875" bestFit="1" customWidth="1"/>
    <col min="5912" max="5912" width="13.7109375" customWidth="1"/>
    <col min="5913" max="5913" width="12.85546875" customWidth="1"/>
    <col min="5914" max="5914" width="11.7109375" bestFit="1" customWidth="1"/>
    <col min="5915" max="5915" width="14" bestFit="1" customWidth="1"/>
    <col min="5917" max="5917" width="19.85546875" bestFit="1" customWidth="1"/>
    <col min="5918" max="5918" width="13" customWidth="1"/>
    <col min="5919" max="5919" width="12.5703125" customWidth="1"/>
    <col min="5920" max="5920" width="12" bestFit="1" customWidth="1"/>
    <col min="5921" max="5921" width="12.5703125" customWidth="1"/>
    <col min="5923" max="5923" width="19.85546875" bestFit="1" customWidth="1"/>
    <col min="5924" max="5924" width="13.28515625" customWidth="1"/>
    <col min="5925" max="5925" width="12.28515625" customWidth="1"/>
    <col min="5926" max="5926" width="11.7109375" bestFit="1" customWidth="1"/>
    <col min="5927" max="5927" width="11.42578125" customWidth="1"/>
    <col min="5929" max="5929" width="20.140625" bestFit="1" customWidth="1"/>
    <col min="5930" max="5931" width="12.28515625" customWidth="1"/>
    <col min="5932" max="5932" width="9" bestFit="1" customWidth="1"/>
    <col min="5933" max="5933" width="11.85546875" bestFit="1" customWidth="1"/>
    <col min="5935" max="5935" width="15" customWidth="1"/>
    <col min="6145" max="6153" width="0" hidden="1" customWidth="1"/>
    <col min="6155" max="6155" width="20.28515625" bestFit="1" customWidth="1"/>
    <col min="6156" max="6156" width="13.28515625" customWidth="1"/>
    <col min="6157" max="6157" width="12.42578125" bestFit="1" customWidth="1"/>
    <col min="6158" max="6158" width="11.7109375" bestFit="1" customWidth="1"/>
    <col min="6159" max="6159" width="14.7109375" bestFit="1" customWidth="1"/>
    <col min="6161" max="6161" width="20.28515625" bestFit="1" customWidth="1"/>
    <col min="6162" max="6162" width="21" customWidth="1"/>
    <col min="6163" max="6163" width="12.85546875" customWidth="1"/>
    <col min="6164" max="6164" width="11.7109375" bestFit="1" customWidth="1"/>
    <col min="6165" max="6165" width="13.5703125" bestFit="1" customWidth="1"/>
    <col min="6167" max="6167" width="23.85546875" bestFit="1" customWidth="1"/>
    <col min="6168" max="6168" width="13.7109375" customWidth="1"/>
    <col min="6169" max="6169" width="12.85546875" customWidth="1"/>
    <col min="6170" max="6170" width="11.7109375" bestFit="1" customWidth="1"/>
    <col min="6171" max="6171" width="14" bestFit="1" customWidth="1"/>
    <col min="6173" max="6173" width="19.85546875" bestFit="1" customWidth="1"/>
    <col min="6174" max="6174" width="13" customWidth="1"/>
    <col min="6175" max="6175" width="12.5703125" customWidth="1"/>
    <col min="6176" max="6176" width="12" bestFit="1" customWidth="1"/>
    <col min="6177" max="6177" width="12.5703125" customWidth="1"/>
    <col min="6179" max="6179" width="19.85546875" bestFit="1" customWidth="1"/>
    <col min="6180" max="6180" width="13.28515625" customWidth="1"/>
    <col min="6181" max="6181" width="12.28515625" customWidth="1"/>
    <col min="6182" max="6182" width="11.7109375" bestFit="1" customWidth="1"/>
    <col min="6183" max="6183" width="11.42578125" customWidth="1"/>
    <col min="6185" max="6185" width="20.140625" bestFit="1" customWidth="1"/>
    <col min="6186" max="6187" width="12.28515625" customWidth="1"/>
    <col min="6188" max="6188" width="9" bestFit="1" customWidth="1"/>
    <col min="6189" max="6189" width="11.85546875" bestFit="1" customWidth="1"/>
    <col min="6191" max="6191" width="15" customWidth="1"/>
    <col min="6401" max="6409" width="0" hidden="1" customWidth="1"/>
    <col min="6411" max="6411" width="20.28515625" bestFit="1" customWidth="1"/>
    <col min="6412" max="6412" width="13.28515625" customWidth="1"/>
    <col min="6413" max="6413" width="12.42578125" bestFit="1" customWidth="1"/>
    <col min="6414" max="6414" width="11.7109375" bestFit="1" customWidth="1"/>
    <col min="6415" max="6415" width="14.7109375" bestFit="1" customWidth="1"/>
    <col min="6417" max="6417" width="20.28515625" bestFit="1" customWidth="1"/>
    <col min="6418" max="6418" width="21" customWidth="1"/>
    <col min="6419" max="6419" width="12.85546875" customWidth="1"/>
    <col min="6420" max="6420" width="11.7109375" bestFit="1" customWidth="1"/>
    <col min="6421" max="6421" width="13.5703125" bestFit="1" customWidth="1"/>
    <col min="6423" max="6423" width="23.85546875" bestFit="1" customWidth="1"/>
    <col min="6424" max="6424" width="13.7109375" customWidth="1"/>
    <col min="6425" max="6425" width="12.85546875" customWidth="1"/>
    <col min="6426" max="6426" width="11.7109375" bestFit="1" customWidth="1"/>
    <col min="6427" max="6427" width="14" bestFit="1" customWidth="1"/>
    <col min="6429" max="6429" width="19.85546875" bestFit="1" customWidth="1"/>
    <col min="6430" max="6430" width="13" customWidth="1"/>
    <col min="6431" max="6431" width="12.5703125" customWidth="1"/>
    <col min="6432" max="6432" width="12" bestFit="1" customWidth="1"/>
    <col min="6433" max="6433" width="12.5703125" customWidth="1"/>
    <col min="6435" max="6435" width="19.85546875" bestFit="1" customWidth="1"/>
    <col min="6436" max="6436" width="13.28515625" customWidth="1"/>
    <col min="6437" max="6437" width="12.28515625" customWidth="1"/>
    <col min="6438" max="6438" width="11.7109375" bestFit="1" customWidth="1"/>
    <col min="6439" max="6439" width="11.42578125" customWidth="1"/>
    <col min="6441" max="6441" width="20.140625" bestFit="1" customWidth="1"/>
    <col min="6442" max="6443" width="12.28515625" customWidth="1"/>
    <col min="6444" max="6444" width="9" bestFit="1" customWidth="1"/>
    <col min="6445" max="6445" width="11.85546875" bestFit="1" customWidth="1"/>
    <col min="6447" max="6447" width="15" customWidth="1"/>
    <col min="6657" max="6665" width="0" hidden="1" customWidth="1"/>
    <col min="6667" max="6667" width="20.28515625" bestFit="1" customWidth="1"/>
    <col min="6668" max="6668" width="13.28515625" customWidth="1"/>
    <col min="6669" max="6669" width="12.42578125" bestFit="1" customWidth="1"/>
    <col min="6670" max="6670" width="11.7109375" bestFit="1" customWidth="1"/>
    <col min="6671" max="6671" width="14.7109375" bestFit="1" customWidth="1"/>
    <col min="6673" max="6673" width="20.28515625" bestFit="1" customWidth="1"/>
    <col min="6674" max="6674" width="21" customWidth="1"/>
    <col min="6675" max="6675" width="12.85546875" customWidth="1"/>
    <col min="6676" max="6676" width="11.7109375" bestFit="1" customWidth="1"/>
    <col min="6677" max="6677" width="13.5703125" bestFit="1" customWidth="1"/>
    <col min="6679" max="6679" width="23.85546875" bestFit="1" customWidth="1"/>
    <col min="6680" max="6680" width="13.7109375" customWidth="1"/>
    <col min="6681" max="6681" width="12.85546875" customWidth="1"/>
    <col min="6682" max="6682" width="11.7109375" bestFit="1" customWidth="1"/>
    <col min="6683" max="6683" width="14" bestFit="1" customWidth="1"/>
    <col min="6685" max="6685" width="19.85546875" bestFit="1" customWidth="1"/>
    <col min="6686" max="6686" width="13" customWidth="1"/>
    <col min="6687" max="6687" width="12.5703125" customWidth="1"/>
    <col min="6688" max="6688" width="12" bestFit="1" customWidth="1"/>
    <col min="6689" max="6689" width="12.5703125" customWidth="1"/>
    <col min="6691" max="6691" width="19.85546875" bestFit="1" customWidth="1"/>
    <col min="6692" max="6692" width="13.28515625" customWidth="1"/>
    <col min="6693" max="6693" width="12.28515625" customWidth="1"/>
    <col min="6694" max="6694" width="11.7109375" bestFit="1" customWidth="1"/>
    <col min="6695" max="6695" width="11.42578125" customWidth="1"/>
    <col min="6697" max="6697" width="20.140625" bestFit="1" customWidth="1"/>
    <col min="6698" max="6699" width="12.28515625" customWidth="1"/>
    <col min="6700" max="6700" width="9" bestFit="1" customWidth="1"/>
    <col min="6701" max="6701" width="11.85546875" bestFit="1" customWidth="1"/>
    <col min="6703" max="6703" width="15" customWidth="1"/>
    <col min="6913" max="6921" width="0" hidden="1" customWidth="1"/>
    <col min="6923" max="6923" width="20.28515625" bestFit="1" customWidth="1"/>
    <col min="6924" max="6924" width="13.28515625" customWidth="1"/>
    <col min="6925" max="6925" width="12.42578125" bestFit="1" customWidth="1"/>
    <col min="6926" max="6926" width="11.7109375" bestFit="1" customWidth="1"/>
    <col min="6927" max="6927" width="14.7109375" bestFit="1" customWidth="1"/>
    <col min="6929" max="6929" width="20.28515625" bestFit="1" customWidth="1"/>
    <col min="6930" max="6930" width="21" customWidth="1"/>
    <col min="6931" max="6931" width="12.85546875" customWidth="1"/>
    <col min="6932" max="6932" width="11.7109375" bestFit="1" customWidth="1"/>
    <col min="6933" max="6933" width="13.5703125" bestFit="1" customWidth="1"/>
    <col min="6935" max="6935" width="23.85546875" bestFit="1" customWidth="1"/>
    <col min="6936" max="6936" width="13.7109375" customWidth="1"/>
    <col min="6937" max="6937" width="12.85546875" customWidth="1"/>
    <col min="6938" max="6938" width="11.7109375" bestFit="1" customWidth="1"/>
    <col min="6939" max="6939" width="14" bestFit="1" customWidth="1"/>
    <col min="6941" max="6941" width="19.85546875" bestFit="1" customWidth="1"/>
    <col min="6942" max="6942" width="13" customWidth="1"/>
    <col min="6943" max="6943" width="12.5703125" customWidth="1"/>
    <col min="6944" max="6944" width="12" bestFit="1" customWidth="1"/>
    <col min="6945" max="6945" width="12.5703125" customWidth="1"/>
    <col min="6947" max="6947" width="19.85546875" bestFit="1" customWidth="1"/>
    <col min="6948" max="6948" width="13.28515625" customWidth="1"/>
    <col min="6949" max="6949" width="12.28515625" customWidth="1"/>
    <col min="6950" max="6950" width="11.7109375" bestFit="1" customWidth="1"/>
    <col min="6951" max="6951" width="11.42578125" customWidth="1"/>
    <col min="6953" max="6953" width="20.140625" bestFit="1" customWidth="1"/>
    <col min="6954" max="6955" width="12.28515625" customWidth="1"/>
    <col min="6956" max="6956" width="9" bestFit="1" customWidth="1"/>
    <col min="6957" max="6957" width="11.85546875" bestFit="1" customWidth="1"/>
    <col min="6959" max="6959" width="15" customWidth="1"/>
    <col min="7169" max="7177" width="0" hidden="1" customWidth="1"/>
    <col min="7179" max="7179" width="20.28515625" bestFit="1" customWidth="1"/>
    <col min="7180" max="7180" width="13.28515625" customWidth="1"/>
    <col min="7181" max="7181" width="12.42578125" bestFit="1" customWidth="1"/>
    <col min="7182" max="7182" width="11.7109375" bestFit="1" customWidth="1"/>
    <col min="7183" max="7183" width="14.7109375" bestFit="1" customWidth="1"/>
    <col min="7185" max="7185" width="20.28515625" bestFit="1" customWidth="1"/>
    <col min="7186" max="7186" width="21" customWidth="1"/>
    <col min="7187" max="7187" width="12.85546875" customWidth="1"/>
    <col min="7188" max="7188" width="11.7109375" bestFit="1" customWidth="1"/>
    <col min="7189" max="7189" width="13.5703125" bestFit="1" customWidth="1"/>
    <col min="7191" max="7191" width="23.85546875" bestFit="1" customWidth="1"/>
    <col min="7192" max="7192" width="13.7109375" customWidth="1"/>
    <col min="7193" max="7193" width="12.85546875" customWidth="1"/>
    <col min="7194" max="7194" width="11.7109375" bestFit="1" customWidth="1"/>
    <col min="7195" max="7195" width="14" bestFit="1" customWidth="1"/>
    <col min="7197" max="7197" width="19.85546875" bestFit="1" customWidth="1"/>
    <col min="7198" max="7198" width="13" customWidth="1"/>
    <col min="7199" max="7199" width="12.5703125" customWidth="1"/>
    <col min="7200" max="7200" width="12" bestFit="1" customWidth="1"/>
    <col min="7201" max="7201" width="12.5703125" customWidth="1"/>
    <col min="7203" max="7203" width="19.85546875" bestFit="1" customWidth="1"/>
    <col min="7204" max="7204" width="13.28515625" customWidth="1"/>
    <col min="7205" max="7205" width="12.28515625" customWidth="1"/>
    <col min="7206" max="7206" width="11.7109375" bestFit="1" customWidth="1"/>
    <col min="7207" max="7207" width="11.42578125" customWidth="1"/>
    <col min="7209" max="7209" width="20.140625" bestFit="1" customWidth="1"/>
    <col min="7210" max="7211" width="12.28515625" customWidth="1"/>
    <col min="7212" max="7212" width="9" bestFit="1" customWidth="1"/>
    <col min="7213" max="7213" width="11.85546875" bestFit="1" customWidth="1"/>
    <col min="7215" max="7215" width="15" customWidth="1"/>
    <col min="7425" max="7433" width="0" hidden="1" customWidth="1"/>
    <col min="7435" max="7435" width="20.28515625" bestFit="1" customWidth="1"/>
    <col min="7436" max="7436" width="13.28515625" customWidth="1"/>
    <col min="7437" max="7437" width="12.42578125" bestFit="1" customWidth="1"/>
    <col min="7438" max="7438" width="11.7109375" bestFit="1" customWidth="1"/>
    <col min="7439" max="7439" width="14.7109375" bestFit="1" customWidth="1"/>
    <col min="7441" max="7441" width="20.28515625" bestFit="1" customWidth="1"/>
    <col min="7442" max="7442" width="21" customWidth="1"/>
    <col min="7443" max="7443" width="12.85546875" customWidth="1"/>
    <col min="7444" max="7444" width="11.7109375" bestFit="1" customWidth="1"/>
    <col min="7445" max="7445" width="13.5703125" bestFit="1" customWidth="1"/>
    <col min="7447" max="7447" width="23.85546875" bestFit="1" customWidth="1"/>
    <col min="7448" max="7448" width="13.7109375" customWidth="1"/>
    <col min="7449" max="7449" width="12.85546875" customWidth="1"/>
    <col min="7450" max="7450" width="11.7109375" bestFit="1" customWidth="1"/>
    <col min="7451" max="7451" width="14" bestFit="1" customWidth="1"/>
    <col min="7453" max="7453" width="19.85546875" bestFit="1" customWidth="1"/>
    <col min="7454" max="7454" width="13" customWidth="1"/>
    <col min="7455" max="7455" width="12.5703125" customWidth="1"/>
    <col min="7456" max="7456" width="12" bestFit="1" customWidth="1"/>
    <col min="7457" max="7457" width="12.5703125" customWidth="1"/>
    <col min="7459" max="7459" width="19.85546875" bestFit="1" customWidth="1"/>
    <col min="7460" max="7460" width="13.28515625" customWidth="1"/>
    <col min="7461" max="7461" width="12.28515625" customWidth="1"/>
    <col min="7462" max="7462" width="11.7109375" bestFit="1" customWidth="1"/>
    <col min="7463" max="7463" width="11.42578125" customWidth="1"/>
    <col min="7465" max="7465" width="20.140625" bestFit="1" customWidth="1"/>
    <col min="7466" max="7467" width="12.28515625" customWidth="1"/>
    <col min="7468" max="7468" width="9" bestFit="1" customWidth="1"/>
    <col min="7469" max="7469" width="11.85546875" bestFit="1" customWidth="1"/>
    <col min="7471" max="7471" width="15" customWidth="1"/>
    <col min="7681" max="7689" width="0" hidden="1" customWidth="1"/>
    <col min="7691" max="7691" width="20.28515625" bestFit="1" customWidth="1"/>
    <col min="7692" max="7692" width="13.28515625" customWidth="1"/>
    <col min="7693" max="7693" width="12.42578125" bestFit="1" customWidth="1"/>
    <col min="7694" max="7694" width="11.7109375" bestFit="1" customWidth="1"/>
    <col min="7695" max="7695" width="14.7109375" bestFit="1" customWidth="1"/>
    <col min="7697" max="7697" width="20.28515625" bestFit="1" customWidth="1"/>
    <col min="7698" max="7698" width="21" customWidth="1"/>
    <col min="7699" max="7699" width="12.85546875" customWidth="1"/>
    <col min="7700" max="7700" width="11.7109375" bestFit="1" customWidth="1"/>
    <col min="7701" max="7701" width="13.5703125" bestFit="1" customWidth="1"/>
    <col min="7703" max="7703" width="23.85546875" bestFit="1" customWidth="1"/>
    <col min="7704" max="7704" width="13.7109375" customWidth="1"/>
    <col min="7705" max="7705" width="12.85546875" customWidth="1"/>
    <col min="7706" max="7706" width="11.7109375" bestFit="1" customWidth="1"/>
    <col min="7707" max="7707" width="14" bestFit="1" customWidth="1"/>
    <col min="7709" max="7709" width="19.85546875" bestFit="1" customWidth="1"/>
    <col min="7710" max="7710" width="13" customWidth="1"/>
    <col min="7711" max="7711" width="12.5703125" customWidth="1"/>
    <col min="7712" max="7712" width="12" bestFit="1" customWidth="1"/>
    <col min="7713" max="7713" width="12.5703125" customWidth="1"/>
    <col min="7715" max="7715" width="19.85546875" bestFit="1" customWidth="1"/>
    <col min="7716" max="7716" width="13.28515625" customWidth="1"/>
    <col min="7717" max="7717" width="12.28515625" customWidth="1"/>
    <col min="7718" max="7718" width="11.7109375" bestFit="1" customWidth="1"/>
    <col min="7719" max="7719" width="11.42578125" customWidth="1"/>
    <col min="7721" max="7721" width="20.140625" bestFit="1" customWidth="1"/>
    <col min="7722" max="7723" width="12.28515625" customWidth="1"/>
    <col min="7724" max="7724" width="9" bestFit="1" customWidth="1"/>
    <col min="7725" max="7725" width="11.85546875" bestFit="1" customWidth="1"/>
    <col min="7727" max="7727" width="15" customWidth="1"/>
    <col min="7937" max="7945" width="0" hidden="1" customWidth="1"/>
    <col min="7947" max="7947" width="20.28515625" bestFit="1" customWidth="1"/>
    <col min="7948" max="7948" width="13.28515625" customWidth="1"/>
    <col min="7949" max="7949" width="12.42578125" bestFit="1" customWidth="1"/>
    <col min="7950" max="7950" width="11.7109375" bestFit="1" customWidth="1"/>
    <col min="7951" max="7951" width="14.7109375" bestFit="1" customWidth="1"/>
    <col min="7953" max="7953" width="20.28515625" bestFit="1" customWidth="1"/>
    <col min="7954" max="7954" width="21" customWidth="1"/>
    <col min="7955" max="7955" width="12.85546875" customWidth="1"/>
    <col min="7956" max="7956" width="11.7109375" bestFit="1" customWidth="1"/>
    <col min="7957" max="7957" width="13.5703125" bestFit="1" customWidth="1"/>
    <col min="7959" max="7959" width="23.85546875" bestFit="1" customWidth="1"/>
    <col min="7960" max="7960" width="13.7109375" customWidth="1"/>
    <col min="7961" max="7961" width="12.85546875" customWidth="1"/>
    <col min="7962" max="7962" width="11.7109375" bestFit="1" customWidth="1"/>
    <col min="7963" max="7963" width="14" bestFit="1" customWidth="1"/>
    <col min="7965" max="7965" width="19.85546875" bestFit="1" customWidth="1"/>
    <col min="7966" max="7966" width="13" customWidth="1"/>
    <col min="7967" max="7967" width="12.5703125" customWidth="1"/>
    <col min="7968" max="7968" width="12" bestFit="1" customWidth="1"/>
    <col min="7969" max="7969" width="12.5703125" customWidth="1"/>
    <col min="7971" max="7971" width="19.85546875" bestFit="1" customWidth="1"/>
    <col min="7972" max="7972" width="13.28515625" customWidth="1"/>
    <col min="7973" max="7973" width="12.28515625" customWidth="1"/>
    <col min="7974" max="7974" width="11.7109375" bestFit="1" customWidth="1"/>
    <col min="7975" max="7975" width="11.42578125" customWidth="1"/>
    <col min="7977" max="7977" width="20.140625" bestFit="1" customWidth="1"/>
    <col min="7978" max="7979" width="12.28515625" customWidth="1"/>
    <col min="7980" max="7980" width="9" bestFit="1" customWidth="1"/>
    <col min="7981" max="7981" width="11.85546875" bestFit="1" customWidth="1"/>
    <col min="7983" max="7983" width="15" customWidth="1"/>
    <col min="8193" max="8201" width="0" hidden="1" customWidth="1"/>
    <col min="8203" max="8203" width="20.28515625" bestFit="1" customWidth="1"/>
    <col min="8204" max="8204" width="13.28515625" customWidth="1"/>
    <col min="8205" max="8205" width="12.42578125" bestFit="1" customWidth="1"/>
    <col min="8206" max="8206" width="11.7109375" bestFit="1" customWidth="1"/>
    <col min="8207" max="8207" width="14.7109375" bestFit="1" customWidth="1"/>
    <col min="8209" max="8209" width="20.28515625" bestFit="1" customWidth="1"/>
    <col min="8210" max="8210" width="21" customWidth="1"/>
    <col min="8211" max="8211" width="12.85546875" customWidth="1"/>
    <col min="8212" max="8212" width="11.7109375" bestFit="1" customWidth="1"/>
    <col min="8213" max="8213" width="13.5703125" bestFit="1" customWidth="1"/>
    <col min="8215" max="8215" width="23.85546875" bestFit="1" customWidth="1"/>
    <col min="8216" max="8216" width="13.7109375" customWidth="1"/>
    <col min="8217" max="8217" width="12.85546875" customWidth="1"/>
    <col min="8218" max="8218" width="11.7109375" bestFit="1" customWidth="1"/>
    <col min="8219" max="8219" width="14" bestFit="1" customWidth="1"/>
    <col min="8221" max="8221" width="19.85546875" bestFit="1" customWidth="1"/>
    <col min="8222" max="8222" width="13" customWidth="1"/>
    <col min="8223" max="8223" width="12.5703125" customWidth="1"/>
    <col min="8224" max="8224" width="12" bestFit="1" customWidth="1"/>
    <col min="8225" max="8225" width="12.5703125" customWidth="1"/>
    <col min="8227" max="8227" width="19.85546875" bestFit="1" customWidth="1"/>
    <col min="8228" max="8228" width="13.28515625" customWidth="1"/>
    <col min="8229" max="8229" width="12.28515625" customWidth="1"/>
    <col min="8230" max="8230" width="11.7109375" bestFit="1" customWidth="1"/>
    <col min="8231" max="8231" width="11.42578125" customWidth="1"/>
    <col min="8233" max="8233" width="20.140625" bestFit="1" customWidth="1"/>
    <col min="8234" max="8235" width="12.28515625" customWidth="1"/>
    <col min="8236" max="8236" width="9" bestFit="1" customWidth="1"/>
    <col min="8237" max="8237" width="11.85546875" bestFit="1" customWidth="1"/>
    <col min="8239" max="8239" width="15" customWidth="1"/>
    <col min="8449" max="8457" width="0" hidden="1" customWidth="1"/>
    <col min="8459" max="8459" width="20.28515625" bestFit="1" customWidth="1"/>
    <col min="8460" max="8460" width="13.28515625" customWidth="1"/>
    <col min="8461" max="8461" width="12.42578125" bestFit="1" customWidth="1"/>
    <col min="8462" max="8462" width="11.7109375" bestFit="1" customWidth="1"/>
    <col min="8463" max="8463" width="14.7109375" bestFit="1" customWidth="1"/>
    <col min="8465" max="8465" width="20.28515625" bestFit="1" customWidth="1"/>
    <col min="8466" max="8466" width="21" customWidth="1"/>
    <col min="8467" max="8467" width="12.85546875" customWidth="1"/>
    <col min="8468" max="8468" width="11.7109375" bestFit="1" customWidth="1"/>
    <col min="8469" max="8469" width="13.5703125" bestFit="1" customWidth="1"/>
    <col min="8471" max="8471" width="23.85546875" bestFit="1" customWidth="1"/>
    <col min="8472" max="8472" width="13.7109375" customWidth="1"/>
    <col min="8473" max="8473" width="12.85546875" customWidth="1"/>
    <col min="8474" max="8474" width="11.7109375" bestFit="1" customWidth="1"/>
    <col min="8475" max="8475" width="14" bestFit="1" customWidth="1"/>
    <col min="8477" max="8477" width="19.85546875" bestFit="1" customWidth="1"/>
    <col min="8478" max="8478" width="13" customWidth="1"/>
    <col min="8479" max="8479" width="12.5703125" customWidth="1"/>
    <col min="8480" max="8480" width="12" bestFit="1" customWidth="1"/>
    <col min="8481" max="8481" width="12.5703125" customWidth="1"/>
    <col min="8483" max="8483" width="19.85546875" bestFit="1" customWidth="1"/>
    <col min="8484" max="8484" width="13.28515625" customWidth="1"/>
    <col min="8485" max="8485" width="12.28515625" customWidth="1"/>
    <col min="8486" max="8486" width="11.7109375" bestFit="1" customWidth="1"/>
    <col min="8487" max="8487" width="11.42578125" customWidth="1"/>
    <col min="8489" max="8489" width="20.140625" bestFit="1" customWidth="1"/>
    <col min="8490" max="8491" width="12.28515625" customWidth="1"/>
    <col min="8492" max="8492" width="9" bestFit="1" customWidth="1"/>
    <col min="8493" max="8493" width="11.85546875" bestFit="1" customWidth="1"/>
    <col min="8495" max="8495" width="15" customWidth="1"/>
    <col min="8705" max="8713" width="0" hidden="1" customWidth="1"/>
    <col min="8715" max="8715" width="20.28515625" bestFit="1" customWidth="1"/>
    <col min="8716" max="8716" width="13.28515625" customWidth="1"/>
    <col min="8717" max="8717" width="12.42578125" bestFit="1" customWidth="1"/>
    <col min="8718" max="8718" width="11.7109375" bestFit="1" customWidth="1"/>
    <col min="8719" max="8719" width="14.7109375" bestFit="1" customWidth="1"/>
    <col min="8721" max="8721" width="20.28515625" bestFit="1" customWidth="1"/>
    <col min="8722" max="8722" width="21" customWidth="1"/>
    <col min="8723" max="8723" width="12.85546875" customWidth="1"/>
    <col min="8724" max="8724" width="11.7109375" bestFit="1" customWidth="1"/>
    <col min="8725" max="8725" width="13.5703125" bestFit="1" customWidth="1"/>
    <col min="8727" max="8727" width="23.85546875" bestFit="1" customWidth="1"/>
    <col min="8728" max="8728" width="13.7109375" customWidth="1"/>
    <col min="8729" max="8729" width="12.85546875" customWidth="1"/>
    <col min="8730" max="8730" width="11.7109375" bestFit="1" customWidth="1"/>
    <col min="8731" max="8731" width="14" bestFit="1" customWidth="1"/>
    <col min="8733" max="8733" width="19.85546875" bestFit="1" customWidth="1"/>
    <col min="8734" max="8734" width="13" customWidth="1"/>
    <col min="8735" max="8735" width="12.5703125" customWidth="1"/>
    <col min="8736" max="8736" width="12" bestFit="1" customWidth="1"/>
    <col min="8737" max="8737" width="12.5703125" customWidth="1"/>
    <col min="8739" max="8739" width="19.85546875" bestFit="1" customWidth="1"/>
    <col min="8740" max="8740" width="13.28515625" customWidth="1"/>
    <col min="8741" max="8741" width="12.28515625" customWidth="1"/>
    <col min="8742" max="8742" width="11.7109375" bestFit="1" customWidth="1"/>
    <col min="8743" max="8743" width="11.42578125" customWidth="1"/>
    <col min="8745" max="8745" width="20.140625" bestFit="1" customWidth="1"/>
    <col min="8746" max="8747" width="12.28515625" customWidth="1"/>
    <col min="8748" max="8748" width="9" bestFit="1" customWidth="1"/>
    <col min="8749" max="8749" width="11.85546875" bestFit="1" customWidth="1"/>
    <col min="8751" max="8751" width="15" customWidth="1"/>
    <col min="8961" max="8969" width="0" hidden="1" customWidth="1"/>
    <col min="8971" max="8971" width="20.28515625" bestFit="1" customWidth="1"/>
    <col min="8972" max="8972" width="13.28515625" customWidth="1"/>
    <col min="8973" max="8973" width="12.42578125" bestFit="1" customWidth="1"/>
    <col min="8974" max="8974" width="11.7109375" bestFit="1" customWidth="1"/>
    <col min="8975" max="8975" width="14.7109375" bestFit="1" customWidth="1"/>
    <col min="8977" max="8977" width="20.28515625" bestFit="1" customWidth="1"/>
    <col min="8978" max="8978" width="21" customWidth="1"/>
    <col min="8979" max="8979" width="12.85546875" customWidth="1"/>
    <col min="8980" max="8980" width="11.7109375" bestFit="1" customWidth="1"/>
    <col min="8981" max="8981" width="13.5703125" bestFit="1" customWidth="1"/>
    <col min="8983" max="8983" width="23.85546875" bestFit="1" customWidth="1"/>
    <col min="8984" max="8984" width="13.7109375" customWidth="1"/>
    <col min="8985" max="8985" width="12.85546875" customWidth="1"/>
    <col min="8986" max="8986" width="11.7109375" bestFit="1" customWidth="1"/>
    <col min="8987" max="8987" width="14" bestFit="1" customWidth="1"/>
    <col min="8989" max="8989" width="19.85546875" bestFit="1" customWidth="1"/>
    <col min="8990" max="8990" width="13" customWidth="1"/>
    <col min="8991" max="8991" width="12.5703125" customWidth="1"/>
    <col min="8992" max="8992" width="12" bestFit="1" customWidth="1"/>
    <col min="8993" max="8993" width="12.5703125" customWidth="1"/>
    <col min="8995" max="8995" width="19.85546875" bestFit="1" customWidth="1"/>
    <col min="8996" max="8996" width="13.28515625" customWidth="1"/>
    <col min="8997" max="8997" width="12.28515625" customWidth="1"/>
    <col min="8998" max="8998" width="11.7109375" bestFit="1" customWidth="1"/>
    <col min="8999" max="8999" width="11.42578125" customWidth="1"/>
    <col min="9001" max="9001" width="20.140625" bestFit="1" customWidth="1"/>
    <col min="9002" max="9003" width="12.28515625" customWidth="1"/>
    <col min="9004" max="9004" width="9" bestFit="1" customWidth="1"/>
    <col min="9005" max="9005" width="11.85546875" bestFit="1" customWidth="1"/>
    <col min="9007" max="9007" width="15" customWidth="1"/>
    <col min="9217" max="9225" width="0" hidden="1" customWidth="1"/>
    <col min="9227" max="9227" width="20.28515625" bestFit="1" customWidth="1"/>
    <col min="9228" max="9228" width="13.28515625" customWidth="1"/>
    <col min="9229" max="9229" width="12.42578125" bestFit="1" customWidth="1"/>
    <col min="9230" max="9230" width="11.7109375" bestFit="1" customWidth="1"/>
    <col min="9231" max="9231" width="14.7109375" bestFit="1" customWidth="1"/>
    <col min="9233" max="9233" width="20.28515625" bestFit="1" customWidth="1"/>
    <col min="9234" max="9234" width="21" customWidth="1"/>
    <col min="9235" max="9235" width="12.85546875" customWidth="1"/>
    <col min="9236" max="9236" width="11.7109375" bestFit="1" customWidth="1"/>
    <col min="9237" max="9237" width="13.5703125" bestFit="1" customWidth="1"/>
    <col min="9239" max="9239" width="23.85546875" bestFit="1" customWidth="1"/>
    <col min="9240" max="9240" width="13.7109375" customWidth="1"/>
    <col min="9241" max="9241" width="12.85546875" customWidth="1"/>
    <col min="9242" max="9242" width="11.7109375" bestFit="1" customWidth="1"/>
    <col min="9243" max="9243" width="14" bestFit="1" customWidth="1"/>
    <col min="9245" max="9245" width="19.85546875" bestFit="1" customWidth="1"/>
    <col min="9246" max="9246" width="13" customWidth="1"/>
    <col min="9247" max="9247" width="12.5703125" customWidth="1"/>
    <col min="9248" max="9248" width="12" bestFit="1" customWidth="1"/>
    <col min="9249" max="9249" width="12.5703125" customWidth="1"/>
    <col min="9251" max="9251" width="19.85546875" bestFit="1" customWidth="1"/>
    <col min="9252" max="9252" width="13.28515625" customWidth="1"/>
    <col min="9253" max="9253" width="12.28515625" customWidth="1"/>
    <col min="9254" max="9254" width="11.7109375" bestFit="1" customWidth="1"/>
    <col min="9255" max="9255" width="11.42578125" customWidth="1"/>
    <col min="9257" max="9257" width="20.140625" bestFit="1" customWidth="1"/>
    <col min="9258" max="9259" width="12.28515625" customWidth="1"/>
    <col min="9260" max="9260" width="9" bestFit="1" customWidth="1"/>
    <col min="9261" max="9261" width="11.85546875" bestFit="1" customWidth="1"/>
    <col min="9263" max="9263" width="15" customWidth="1"/>
    <col min="9473" max="9481" width="0" hidden="1" customWidth="1"/>
    <col min="9483" max="9483" width="20.28515625" bestFit="1" customWidth="1"/>
    <col min="9484" max="9484" width="13.28515625" customWidth="1"/>
    <col min="9485" max="9485" width="12.42578125" bestFit="1" customWidth="1"/>
    <col min="9486" max="9486" width="11.7109375" bestFit="1" customWidth="1"/>
    <col min="9487" max="9487" width="14.7109375" bestFit="1" customWidth="1"/>
    <col min="9489" max="9489" width="20.28515625" bestFit="1" customWidth="1"/>
    <col min="9490" max="9490" width="21" customWidth="1"/>
    <col min="9491" max="9491" width="12.85546875" customWidth="1"/>
    <col min="9492" max="9492" width="11.7109375" bestFit="1" customWidth="1"/>
    <col min="9493" max="9493" width="13.5703125" bestFit="1" customWidth="1"/>
    <col min="9495" max="9495" width="23.85546875" bestFit="1" customWidth="1"/>
    <col min="9496" max="9496" width="13.7109375" customWidth="1"/>
    <col min="9497" max="9497" width="12.85546875" customWidth="1"/>
    <col min="9498" max="9498" width="11.7109375" bestFit="1" customWidth="1"/>
    <col min="9499" max="9499" width="14" bestFit="1" customWidth="1"/>
    <col min="9501" max="9501" width="19.85546875" bestFit="1" customWidth="1"/>
    <col min="9502" max="9502" width="13" customWidth="1"/>
    <col min="9503" max="9503" width="12.5703125" customWidth="1"/>
    <col min="9504" max="9504" width="12" bestFit="1" customWidth="1"/>
    <col min="9505" max="9505" width="12.5703125" customWidth="1"/>
    <col min="9507" max="9507" width="19.85546875" bestFit="1" customWidth="1"/>
    <col min="9508" max="9508" width="13.28515625" customWidth="1"/>
    <col min="9509" max="9509" width="12.28515625" customWidth="1"/>
    <col min="9510" max="9510" width="11.7109375" bestFit="1" customWidth="1"/>
    <col min="9511" max="9511" width="11.42578125" customWidth="1"/>
    <col min="9513" max="9513" width="20.140625" bestFit="1" customWidth="1"/>
    <col min="9514" max="9515" width="12.28515625" customWidth="1"/>
    <col min="9516" max="9516" width="9" bestFit="1" customWidth="1"/>
    <col min="9517" max="9517" width="11.85546875" bestFit="1" customWidth="1"/>
    <col min="9519" max="9519" width="15" customWidth="1"/>
    <col min="9729" max="9737" width="0" hidden="1" customWidth="1"/>
    <col min="9739" max="9739" width="20.28515625" bestFit="1" customWidth="1"/>
    <col min="9740" max="9740" width="13.28515625" customWidth="1"/>
    <col min="9741" max="9741" width="12.42578125" bestFit="1" customWidth="1"/>
    <col min="9742" max="9742" width="11.7109375" bestFit="1" customWidth="1"/>
    <col min="9743" max="9743" width="14.7109375" bestFit="1" customWidth="1"/>
    <col min="9745" max="9745" width="20.28515625" bestFit="1" customWidth="1"/>
    <col min="9746" max="9746" width="21" customWidth="1"/>
    <col min="9747" max="9747" width="12.85546875" customWidth="1"/>
    <col min="9748" max="9748" width="11.7109375" bestFit="1" customWidth="1"/>
    <col min="9749" max="9749" width="13.5703125" bestFit="1" customWidth="1"/>
    <col min="9751" max="9751" width="23.85546875" bestFit="1" customWidth="1"/>
    <col min="9752" max="9752" width="13.7109375" customWidth="1"/>
    <col min="9753" max="9753" width="12.85546875" customWidth="1"/>
    <col min="9754" max="9754" width="11.7109375" bestFit="1" customWidth="1"/>
    <col min="9755" max="9755" width="14" bestFit="1" customWidth="1"/>
    <col min="9757" max="9757" width="19.85546875" bestFit="1" customWidth="1"/>
    <col min="9758" max="9758" width="13" customWidth="1"/>
    <col min="9759" max="9759" width="12.5703125" customWidth="1"/>
    <col min="9760" max="9760" width="12" bestFit="1" customWidth="1"/>
    <col min="9761" max="9761" width="12.5703125" customWidth="1"/>
    <col min="9763" max="9763" width="19.85546875" bestFit="1" customWidth="1"/>
    <col min="9764" max="9764" width="13.28515625" customWidth="1"/>
    <col min="9765" max="9765" width="12.28515625" customWidth="1"/>
    <col min="9766" max="9766" width="11.7109375" bestFit="1" customWidth="1"/>
    <col min="9767" max="9767" width="11.42578125" customWidth="1"/>
    <col min="9769" max="9769" width="20.140625" bestFit="1" customWidth="1"/>
    <col min="9770" max="9771" width="12.28515625" customWidth="1"/>
    <col min="9772" max="9772" width="9" bestFit="1" customWidth="1"/>
    <col min="9773" max="9773" width="11.85546875" bestFit="1" customWidth="1"/>
    <col min="9775" max="9775" width="15" customWidth="1"/>
    <col min="9985" max="9993" width="0" hidden="1" customWidth="1"/>
    <col min="9995" max="9995" width="20.28515625" bestFit="1" customWidth="1"/>
    <col min="9996" max="9996" width="13.28515625" customWidth="1"/>
    <col min="9997" max="9997" width="12.42578125" bestFit="1" customWidth="1"/>
    <col min="9998" max="9998" width="11.7109375" bestFit="1" customWidth="1"/>
    <col min="9999" max="9999" width="14.7109375" bestFit="1" customWidth="1"/>
    <col min="10001" max="10001" width="20.28515625" bestFit="1" customWidth="1"/>
    <col min="10002" max="10002" width="21" customWidth="1"/>
    <col min="10003" max="10003" width="12.85546875" customWidth="1"/>
    <col min="10004" max="10004" width="11.7109375" bestFit="1" customWidth="1"/>
    <col min="10005" max="10005" width="13.5703125" bestFit="1" customWidth="1"/>
    <col min="10007" max="10007" width="23.85546875" bestFit="1" customWidth="1"/>
    <col min="10008" max="10008" width="13.7109375" customWidth="1"/>
    <col min="10009" max="10009" width="12.85546875" customWidth="1"/>
    <col min="10010" max="10010" width="11.7109375" bestFit="1" customWidth="1"/>
    <col min="10011" max="10011" width="14" bestFit="1" customWidth="1"/>
    <col min="10013" max="10013" width="19.85546875" bestFit="1" customWidth="1"/>
    <col min="10014" max="10014" width="13" customWidth="1"/>
    <col min="10015" max="10015" width="12.5703125" customWidth="1"/>
    <col min="10016" max="10016" width="12" bestFit="1" customWidth="1"/>
    <col min="10017" max="10017" width="12.5703125" customWidth="1"/>
    <col min="10019" max="10019" width="19.85546875" bestFit="1" customWidth="1"/>
    <col min="10020" max="10020" width="13.28515625" customWidth="1"/>
    <col min="10021" max="10021" width="12.28515625" customWidth="1"/>
    <col min="10022" max="10022" width="11.7109375" bestFit="1" customWidth="1"/>
    <col min="10023" max="10023" width="11.42578125" customWidth="1"/>
    <col min="10025" max="10025" width="20.140625" bestFit="1" customWidth="1"/>
    <col min="10026" max="10027" width="12.28515625" customWidth="1"/>
    <col min="10028" max="10028" width="9" bestFit="1" customWidth="1"/>
    <col min="10029" max="10029" width="11.85546875" bestFit="1" customWidth="1"/>
    <col min="10031" max="10031" width="15" customWidth="1"/>
    <col min="10241" max="10249" width="0" hidden="1" customWidth="1"/>
    <col min="10251" max="10251" width="20.28515625" bestFit="1" customWidth="1"/>
    <col min="10252" max="10252" width="13.28515625" customWidth="1"/>
    <col min="10253" max="10253" width="12.42578125" bestFit="1" customWidth="1"/>
    <col min="10254" max="10254" width="11.7109375" bestFit="1" customWidth="1"/>
    <col min="10255" max="10255" width="14.7109375" bestFit="1" customWidth="1"/>
    <col min="10257" max="10257" width="20.28515625" bestFit="1" customWidth="1"/>
    <col min="10258" max="10258" width="21" customWidth="1"/>
    <col min="10259" max="10259" width="12.85546875" customWidth="1"/>
    <col min="10260" max="10260" width="11.7109375" bestFit="1" customWidth="1"/>
    <col min="10261" max="10261" width="13.5703125" bestFit="1" customWidth="1"/>
    <col min="10263" max="10263" width="23.85546875" bestFit="1" customWidth="1"/>
    <col min="10264" max="10264" width="13.7109375" customWidth="1"/>
    <col min="10265" max="10265" width="12.85546875" customWidth="1"/>
    <col min="10266" max="10266" width="11.7109375" bestFit="1" customWidth="1"/>
    <col min="10267" max="10267" width="14" bestFit="1" customWidth="1"/>
    <col min="10269" max="10269" width="19.85546875" bestFit="1" customWidth="1"/>
    <col min="10270" max="10270" width="13" customWidth="1"/>
    <col min="10271" max="10271" width="12.5703125" customWidth="1"/>
    <col min="10272" max="10272" width="12" bestFit="1" customWidth="1"/>
    <col min="10273" max="10273" width="12.5703125" customWidth="1"/>
    <col min="10275" max="10275" width="19.85546875" bestFit="1" customWidth="1"/>
    <col min="10276" max="10276" width="13.28515625" customWidth="1"/>
    <col min="10277" max="10277" width="12.28515625" customWidth="1"/>
    <col min="10278" max="10278" width="11.7109375" bestFit="1" customWidth="1"/>
    <col min="10279" max="10279" width="11.42578125" customWidth="1"/>
    <col min="10281" max="10281" width="20.140625" bestFit="1" customWidth="1"/>
    <col min="10282" max="10283" width="12.28515625" customWidth="1"/>
    <col min="10284" max="10284" width="9" bestFit="1" customWidth="1"/>
    <col min="10285" max="10285" width="11.85546875" bestFit="1" customWidth="1"/>
    <col min="10287" max="10287" width="15" customWidth="1"/>
    <col min="10497" max="10505" width="0" hidden="1" customWidth="1"/>
    <col min="10507" max="10507" width="20.28515625" bestFit="1" customWidth="1"/>
    <col min="10508" max="10508" width="13.28515625" customWidth="1"/>
    <col min="10509" max="10509" width="12.42578125" bestFit="1" customWidth="1"/>
    <col min="10510" max="10510" width="11.7109375" bestFit="1" customWidth="1"/>
    <col min="10511" max="10511" width="14.7109375" bestFit="1" customWidth="1"/>
    <col min="10513" max="10513" width="20.28515625" bestFit="1" customWidth="1"/>
    <col min="10514" max="10514" width="21" customWidth="1"/>
    <col min="10515" max="10515" width="12.85546875" customWidth="1"/>
    <col min="10516" max="10516" width="11.7109375" bestFit="1" customWidth="1"/>
    <col min="10517" max="10517" width="13.5703125" bestFit="1" customWidth="1"/>
    <col min="10519" max="10519" width="23.85546875" bestFit="1" customWidth="1"/>
    <col min="10520" max="10520" width="13.7109375" customWidth="1"/>
    <col min="10521" max="10521" width="12.85546875" customWidth="1"/>
    <col min="10522" max="10522" width="11.7109375" bestFit="1" customWidth="1"/>
    <col min="10523" max="10523" width="14" bestFit="1" customWidth="1"/>
    <col min="10525" max="10525" width="19.85546875" bestFit="1" customWidth="1"/>
    <col min="10526" max="10526" width="13" customWidth="1"/>
    <col min="10527" max="10527" width="12.5703125" customWidth="1"/>
    <col min="10528" max="10528" width="12" bestFit="1" customWidth="1"/>
    <col min="10529" max="10529" width="12.5703125" customWidth="1"/>
    <col min="10531" max="10531" width="19.85546875" bestFit="1" customWidth="1"/>
    <col min="10532" max="10532" width="13.28515625" customWidth="1"/>
    <col min="10533" max="10533" width="12.28515625" customWidth="1"/>
    <col min="10534" max="10534" width="11.7109375" bestFit="1" customWidth="1"/>
    <col min="10535" max="10535" width="11.42578125" customWidth="1"/>
    <col min="10537" max="10537" width="20.140625" bestFit="1" customWidth="1"/>
    <col min="10538" max="10539" width="12.28515625" customWidth="1"/>
    <col min="10540" max="10540" width="9" bestFit="1" customWidth="1"/>
    <col min="10541" max="10541" width="11.85546875" bestFit="1" customWidth="1"/>
    <col min="10543" max="10543" width="15" customWidth="1"/>
    <col min="10753" max="10761" width="0" hidden="1" customWidth="1"/>
    <col min="10763" max="10763" width="20.28515625" bestFit="1" customWidth="1"/>
    <col min="10764" max="10764" width="13.28515625" customWidth="1"/>
    <col min="10765" max="10765" width="12.42578125" bestFit="1" customWidth="1"/>
    <col min="10766" max="10766" width="11.7109375" bestFit="1" customWidth="1"/>
    <col min="10767" max="10767" width="14.7109375" bestFit="1" customWidth="1"/>
    <col min="10769" max="10769" width="20.28515625" bestFit="1" customWidth="1"/>
    <col min="10770" max="10770" width="21" customWidth="1"/>
    <col min="10771" max="10771" width="12.85546875" customWidth="1"/>
    <col min="10772" max="10772" width="11.7109375" bestFit="1" customWidth="1"/>
    <col min="10773" max="10773" width="13.5703125" bestFit="1" customWidth="1"/>
    <col min="10775" max="10775" width="23.85546875" bestFit="1" customWidth="1"/>
    <col min="10776" max="10776" width="13.7109375" customWidth="1"/>
    <col min="10777" max="10777" width="12.85546875" customWidth="1"/>
    <col min="10778" max="10778" width="11.7109375" bestFit="1" customWidth="1"/>
    <col min="10779" max="10779" width="14" bestFit="1" customWidth="1"/>
    <col min="10781" max="10781" width="19.85546875" bestFit="1" customWidth="1"/>
    <col min="10782" max="10782" width="13" customWidth="1"/>
    <col min="10783" max="10783" width="12.5703125" customWidth="1"/>
    <col min="10784" max="10784" width="12" bestFit="1" customWidth="1"/>
    <col min="10785" max="10785" width="12.5703125" customWidth="1"/>
    <col min="10787" max="10787" width="19.85546875" bestFit="1" customWidth="1"/>
    <col min="10788" max="10788" width="13.28515625" customWidth="1"/>
    <col min="10789" max="10789" width="12.28515625" customWidth="1"/>
    <col min="10790" max="10790" width="11.7109375" bestFit="1" customWidth="1"/>
    <col min="10791" max="10791" width="11.42578125" customWidth="1"/>
    <col min="10793" max="10793" width="20.140625" bestFit="1" customWidth="1"/>
    <col min="10794" max="10795" width="12.28515625" customWidth="1"/>
    <col min="10796" max="10796" width="9" bestFit="1" customWidth="1"/>
    <col min="10797" max="10797" width="11.85546875" bestFit="1" customWidth="1"/>
    <col min="10799" max="10799" width="15" customWidth="1"/>
    <col min="11009" max="11017" width="0" hidden="1" customWidth="1"/>
    <col min="11019" max="11019" width="20.28515625" bestFit="1" customWidth="1"/>
    <col min="11020" max="11020" width="13.28515625" customWidth="1"/>
    <col min="11021" max="11021" width="12.42578125" bestFit="1" customWidth="1"/>
    <col min="11022" max="11022" width="11.7109375" bestFit="1" customWidth="1"/>
    <col min="11023" max="11023" width="14.7109375" bestFit="1" customWidth="1"/>
    <col min="11025" max="11025" width="20.28515625" bestFit="1" customWidth="1"/>
    <col min="11026" max="11026" width="21" customWidth="1"/>
    <col min="11027" max="11027" width="12.85546875" customWidth="1"/>
    <col min="11028" max="11028" width="11.7109375" bestFit="1" customWidth="1"/>
    <col min="11029" max="11029" width="13.5703125" bestFit="1" customWidth="1"/>
    <col min="11031" max="11031" width="23.85546875" bestFit="1" customWidth="1"/>
    <col min="11032" max="11032" width="13.7109375" customWidth="1"/>
    <col min="11033" max="11033" width="12.85546875" customWidth="1"/>
    <col min="11034" max="11034" width="11.7109375" bestFit="1" customWidth="1"/>
    <col min="11035" max="11035" width="14" bestFit="1" customWidth="1"/>
    <col min="11037" max="11037" width="19.85546875" bestFit="1" customWidth="1"/>
    <col min="11038" max="11038" width="13" customWidth="1"/>
    <col min="11039" max="11039" width="12.5703125" customWidth="1"/>
    <col min="11040" max="11040" width="12" bestFit="1" customWidth="1"/>
    <col min="11041" max="11041" width="12.5703125" customWidth="1"/>
    <col min="11043" max="11043" width="19.85546875" bestFit="1" customWidth="1"/>
    <col min="11044" max="11044" width="13.28515625" customWidth="1"/>
    <col min="11045" max="11045" width="12.28515625" customWidth="1"/>
    <col min="11046" max="11046" width="11.7109375" bestFit="1" customWidth="1"/>
    <col min="11047" max="11047" width="11.42578125" customWidth="1"/>
    <col min="11049" max="11049" width="20.140625" bestFit="1" customWidth="1"/>
    <col min="11050" max="11051" width="12.28515625" customWidth="1"/>
    <col min="11052" max="11052" width="9" bestFit="1" customWidth="1"/>
    <col min="11053" max="11053" width="11.85546875" bestFit="1" customWidth="1"/>
    <col min="11055" max="11055" width="15" customWidth="1"/>
    <col min="11265" max="11273" width="0" hidden="1" customWidth="1"/>
    <col min="11275" max="11275" width="20.28515625" bestFit="1" customWidth="1"/>
    <col min="11276" max="11276" width="13.28515625" customWidth="1"/>
    <col min="11277" max="11277" width="12.42578125" bestFit="1" customWidth="1"/>
    <col min="11278" max="11278" width="11.7109375" bestFit="1" customWidth="1"/>
    <col min="11279" max="11279" width="14.7109375" bestFit="1" customWidth="1"/>
    <col min="11281" max="11281" width="20.28515625" bestFit="1" customWidth="1"/>
    <col min="11282" max="11282" width="21" customWidth="1"/>
    <col min="11283" max="11283" width="12.85546875" customWidth="1"/>
    <col min="11284" max="11284" width="11.7109375" bestFit="1" customWidth="1"/>
    <col min="11285" max="11285" width="13.5703125" bestFit="1" customWidth="1"/>
    <col min="11287" max="11287" width="23.85546875" bestFit="1" customWidth="1"/>
    <col min="11288" max="11288" width="13.7109375" customWidth="1"/>
    <col min="11289" max="11289" width="12.85546875" customWidth="1"/>
    <col min="11290" max="11290" width="11.7109375" bestFit="1" customWidth="1"/>
    <col min="11291" max="11291" width="14" bestFit="1" customWidth="1"/>
    <col min="11293" max="11293" width="19.85546875" bestFit="1" customWidth="1"/>
    <col min="11294" max="11294" width="13" customWidth="1"/>
    <col min="11295" max="11295" width="12.5703125" customWidth="1"/>
    <col min="11296" max="11296" width="12" bestFit="1" customWidth="1"/>
    <col min="11297" max="11297" width="12.5703125" customWidth="1"/>
    <col min="11299" max="11299" width="19.85546875" bestFit="1" customWidth="1"/>
    <col min="11300" max="11300" width="13.28515625" customWidth="1"/>
    <col min="11301" max="11301" width="12.28515625" customWidth="1"/>
    <col min="11302" max="11302" width="11.7109375" bestFit="1" customWidth="1"/>
    <col min="11303" max="11303" width="11.42578125" customWidth="1"/>
    <col min="11305" max="11305" width="20.140625" bestFit="1" customWidth="1"/>
    <col min="11306" max="11307" width="12.28515625" customWidth="1"/>
    <col min="11308" max="11308" width="9" bestFit="1" customWidth="1"/>
    <col min="11309" max="11309" width="11.85546875" bestFit="1" customWidth="1"/>
    <col min="11311" max="11311" width="15" customWidth="1"/>
    <col min="11521" max="11529" width="0" hidden="1" customWidth="1"/>
    <col min="11531" max="11531" width="20.28515625" bestFit="1" customWidth="1"/>
    <col min="11532" max="11532" width="13.28515625" customWidth="1"/>
    <col min="11533" max="11533" width="12.42578125" bestFit="1" customWidth="1"/>
    <col min="11534" max="11534" width="11.7109375" bestFit="1" customWidth="1"/>
    <col min="11535" max="11535" width="14.7109375" bestFit="1" customWidth="1"/>
    <col min="11537" max="11537" width="20.28515625" bestFit="1" customWidth="1"/>
    <col min="11538" max="11538" width="21" customWidth="1"/>
    <col min="11539" max="11539" width="12.85546875" customWidth="1"/>
    <col min="11540" max="11540" width="11.7109375" bestFit="1" customWidth="1"/>
    <col min="11541" max="11541" width="13.5703125" bestFit="1" customWidth="1"/>
    <col min="11543" max="11543" width="23.85546875" bestFit="1" customWidth="1"/>
    <col min="11544" max="11544" width="13.7109375" customWidth="1"/>
    <col min="11545" max="11545" width="12.85546875" customWidth="1"/>
    <col min="11546" max="11546" width="11.7109375" bestFit="1" customWidth="1"/>
    <col min="11547" max="11547" width="14" bestFit="1" customWidth="1"/>
    <col min="11549" max="11549" width="19.85546875" bestFit="1" customWidth="1"/>
    <col min="11550" max="11550" width="13" customWidth="1"/>
    <col min="11551" max="11551" width="12.5703125" customWidth="1"/>
    <col min="11552" max="11552" width="12" bestFit="1" customWidth="1"/>
    <col min="11553" max="11553" width="12.5703125" customWidth="1"/>
    <col min="11555" max="11555" width="19.85546875" bestFit="1" customWidth="1"/>
    <col min="11556" max="11556" width="13.28515625" customWidth="1"/>
    <col min="11557" max="11557" width="12.28515625" customWidth="1"/>
    <col min="11558" max="11558" width="11.7109375" bestFit="1" customWidth="1"/>
    <col min="11559" max="11559" width="11.42578125" customWidth="1"/>
    <col min="11561" max="11561" width="20.140625" bestFit="1" customWidth="1"/>
    <col min="11562" max="11563" width="12.28515625" customWidth="1"/>
    <col min="11564" max="11564" width="9" bestFit="1" customWidth="1"/>
    <col min="11565" max="11565" width="11.85546875" bestFit="1" customWidth="1"/>
    <col min="11567" max="11567" width="15" customWidth="1"/>
    <col min="11777" max="11785" width="0" hidden="1" customWidth="1"/>
    <col min="11787" max="11787" width="20.28515625" bestFit="1" customWidth="1"/>
    <col min="11788" max="11788" width="13.28515625" customWidth="1"/>
    <col min="11789" max="11789" width="12.42578125" bestFit="1" customWidth="1"/>
    <col min="11790" max="11790" width="11.7109375" bestFit="1" customWidth="1"/>
    <col min="11791" max="11791" width="14.7109375" bestFit="1" customWidth="1"/>
    <col min="11793" max="11793" width="20.28515625" bestFit="1" customWidth="1"/>
    <col min="11794" max="11794" width="21" customWidth="1"/>
    <col min="11795" max="11795" width="12.85546875" customWidth="1"/>
    <col min="11796" max="11796" width="11.7109375" bestFit="1" customWidth="1"/>
    <col min="11797" max="11797" width="13.5703125" bestFit="1" customWidth="1"/>
    <col min="11799" max="11799" width="23.85546875" bestFit="1" customWidth="1"/>
    <col min="11800" max="11800" width="13.7109375" customWidth="1"/>
    <col min="11801" max="11801" width="12.85546875" customWidth="1"/>
    <col min="11802" max="11802" width="11.7109375" bestFit="1" customWidth="1"/>
    <col min="11803" max="11803" width="14" bestFit="1" customWidth="1"/>
    <col min="11805" max="11805" width="19.85546875" bestFit="1" customWidth="1"/>
    <col min="11806" max="11806" width="13" customWidth="1"/>
    <col min="11807" max="11807" width="12.5703125" customWidth="1"/>
    <col min="11808" max="11808" width="12" bestFit="1" customWidth="1"/>
    <col min="11809" max="11809" width="12.5703125" customWidth="1"/>
    <col min="11811" max="11811" width="19.85546875" bestFit="1" customWidth="1"/>
    <col min="11812" max="11812" width="13.28515625" customWidth="1"/>
    <col min="11813" max="11813" width="12.28515625" customWidth="1"/>
    <col min="11814" max="11814" width="11.7109375" bestFit="1" customWidth="1"/>
    <col min="11815" max="11815" width="11.42578125" customWidth="1"/>
    <col min="11817" max="11817" width="20.140625" bestFit="1" customWidth="1"/>
    <col min="11818" max="11819" width="12.28515625" customWidth="1"/>
    <col min="11820" max="11820" width="9" bestFit="1" customWidth="1"/>
    <col min="11821" max="11821" width="11.85546875" bestFit="1" customWidth="1"/>
    <col min="11823" max="11823" width="15" customWidth="1"/>
    <col min="12033" max="12041" width="0" hidden="1" customWidth="1"/>
    <col min="12043" max="12043" width="20.28515625" bestFit="1" customWidth="1"/>
    <col min="12044" max="12044" width="13.28515625" customWidth="1"/>
    <col min="12045" max="12045" width="12.42578125" bestFit="1" customWidth="1"/>
    <col min="12046" max="12046" width="11.7109375" bestFit="1" customWidth="1"/>
    <col min="12047" max="12047" width="14.7109375" bestFit="1" customWidth="1"/>
    <col min="12049" max="12049" width="20.28515625" bestFit="1" customWidth="1"/>
    <col min="12050" max="12050" width="21" customWidth="1"/>
    <col min="12051" max="12051" width="12.85546875" customWidth="1"/>
    <col min="12052" max="12052" width="11.7109375" bestFit="1" customWidth="1"/>
    <col min="12053" max="12053" width="13.5703125" bestFit="1" customWidth="1"/>
    <col min="12055" max="12055" width="23.85546875" bestFit="1" customWidth="1"/>
    <col min="12056" max="12056" width="13.7109375" customWidth="1"/>
    <col min="12057" max="12057" width="12.85546875" customWidth="1"/>
    <col min="12058" max="12058" width="11.7109375" bestFit="1" customWidth="1"/>
    <col min="12059" max="12059" width="14" bestFit="1" customWidth="1"/>
    <col min="12061" max="12061" width="19.85546875" bestFit="1" customWidth="1"/>
    <col min="12062" max="12062" width="13" customWidth="1"/>
    <col min="12063" max="12063" width="12.5703125" customWidth="1"/>
    <col min="12064" max="12064" width="12" bestFit="1" customWidth="1"/>
    <col min="12065" max="12065" width="12.5703125" customWidth="1"/>
    <col min="12067" max="12067" width="19.85546875" bestFit="1" customWidth="1"/>
    <col min="12068" max="12068" width="13.28515625" customWidth="1"/>
    <col min="12069" max="12069" width="12.28515625" customWidth="1"/>
    <col min="12070" max="12070" width="11.7109375" bestFit="1" customWidth="1"/>
    <col min="12071" max="12071" width="11.42578125" customWidth="1"/>
    <col min="12073" max="12073" width="20.140625" bestFit="1" customWidth="1"/>
    <col min="12074" max="12075" width="12.28515625" customWidth="1"/>
    <col min="12076" max="12076" width="9" bestFit="1" customWidth="1"/>
    <col min="12077" max="12077" width="11.85546875" bestFit="1" customWidth="1"/>
    <col min="12079" max="12079" width="15" customWidth="1"/>
    <col min="12289" max="12297" width="0" hidden="1" customWidth="1"/>
    <col min="12299" max="12299" width="20.28515625" bestFit="1" customWidth="1"/>
    <col min="12300" max="12300" width="13.28515625" customWidth="1"/>
    <col min="12301" max="12301" width="12.42578125" bestFit="1" customWidth="1"/>
    <col min="12302" max="12302" width="11.7109375" bestFit="1" customWidth="1"/>
    <col min="12303" max="12303" width="14.7109375" bestFit="1" customWidth="1"/>
    <col min="12305" max="12305" width="20.28515625" bestFit="1" customWidth="1"/>
    <col min="12306" max="12306" width="21" customWidth="1"/>
    <col min="12307" max="12307" width="12.85546875" customWidth="1"/>
    <col min="12308" max="12308" width="11.7109375" bestFit="1" customWidth="1"/>
    <col min="12309" max="12309" width="13.5703125" bestFit="1" customWidth="1"/>
    <col min="12311" max="12311" width="23.85546875" bestFit="1" customWidth="1"/>
    <col min="12312" max="12312" width="13.7109375" customWidth="1"/>
    <col min="12313" max="12313" width="12.85546875" customWidth="1"/>
    <col min="12314" max="12314" width="11.7109375" bestFit="1" customWidth="1"/>
    <col min="12315" max="12315" width="14" bestFit="1" customWidth="1"/>
    <col min="12317" max="12317" width="19.85546875" bestFit="1" customWidth="1"/>
    <col min="12318" max="12318" width="13" customWidth="1"/>
    <col min="12319" max="12319" width="12.5703125" customWidth="1"/>
    <col min="12320" max="12320" width="12" bestFit="1" customWidth="1"/>
    <col min="12321" max="12321" width="12.5703125" customWidth="1"/>
    <col min="12323" max="12323" width="19.85546875" bestFit="1" customWidth="1"/>
    <col min="12324" max="12324" width="13.28515625" customWidth="1"/>
    <col min="12325" max="12325" width="12.28515625" customWidth="1"/>
    <col min="12326" max="12326" width="11.7109375" bestFit="1" customWidth="1"/>
    <col min="12327" max="12327" width="11.42578125" customWidth="1"/>
    <col min="12329" max="12329" width="20.140625" bestFit="1" customWidth="1"/>
    <col min="12330" max="12331" width="12.28515625" customWidth="1"/>
    <col min="12332" max="12332" width="9" bestFit="1" customWidth="1"/>
    <col min="12333" max="12333" width="11.85546875" bestFit="1" customWidth="1"/>
    <col min="12335" max="12335" width="15" customWidth="1"/>
    <col min="12545" max="12553" width="0" hidden="1" customWidth="1"/>
    <col min="12555" max="12555" width="20.28515625" bestFit="1" customWidth="1"/>
    <col min="12556" max="12556" width="13.28515625" customWidth="1"/>
    <col min="12557" max="12557" width="12.42578125" bestFit="1" customWidth="1"/>
    <col min="12558" max="12558" width="11.7109375" bestFit="1" customWidth="1"/>
    <col min="12559" max="12559" width="14.7109375" bestFit="1" customWidth="1"/>
    <col min="12561" max="12561" width="20.28515625" bestFit="1" customWidth="1"/>
    <col min="12562" max="12562" width="21" customWidth="1"/>
    <col min="12563" max="12563" width="12.85546875" customWidth="1"/>
    <col min="12564" max="12564" width="11.7109375" bestFit="1" customWidth="1"/>
    <col min="12565" max="12565" width="13.5703125" bestFit="1" customWidth="1"/>
    <col min="12567" max="12567" width="23.85546875" bestFit="1" customWidth="1"/>
    <col min="12568" max="12568" width="13.7109375" customWidth="1"/>
    <col min="12569" max="12569" width="12.85546875" customWidth="1"/>
    <col min="12570" max="12570" width="11.7109375" bestFit="1" customWidth="1"/>
    <col min="12571" max="12571" width="14" bestFit="1" customWidth="1"/>
    <col min="12573" max="12573" width="19.85546875" bestFit="1" customWidth="1"/>
    <col min="12574" max="12574" width="13" customWidth="1"/>
    <col min="12575" max="12575" width="12.5703125" customWidth="1"/>
    <col min="12576" max="12576" width="12" bestFit="1" customWidth="1"/>
    <col min="12577" max="12577" width="12.5703125" customWidth="1"/>
    <col min="12579" max="12579" width="19.85546875" bestFit="1" customWidth="1"/>
    <col min="12580" max="12580" width="13.28515625" customWidth="1"/>
    <col min="12581" max="12581" width="12.28515625" customWidth="1"/>
    <col min="12582" max="12582" width="11.7109375" bestFit="1" customWidth="1"/>
    <col min="12583" max="12583" width="11.42578125" customWidth="1"/>
    <col min="12585" max="12585" width="20.140625" bestFit="1" customWidth="1"/>
    <col min="12586" max="12587" width="12.28515625" customWidth="1"/>
    <col min="12588" max="12588" width="9" bestFit="1" customWidth="1"/>
    <col min="12589" max="12589" width="11.85546875" bestFit="1" customWidth="1"/>
    <col min="12591" max="12591" width="15" customWidth="1"/>
    <col min="12801" max="12809" width="0" hidden="1" customWidth="1"/>
    <col min="12811" max="12811" width="20.28515625" bestFit="1" customWidth="1"/>
    <col min="12812" max="12812" width="13.28515625" customWidth="1"/>
    <col min="12813" max="12813" width="12.42578125" bestFit="1" customWidth="1"/>
    <col min="12814" max="12814" width="11.7109375" bestFit="1" customWidth="1"/>
    <col min="12815" max="12815" width="14.7109375" bestFit="1" customWidth="1"/>
    <col min="12817" max="12817" width="20.28515625" bestFit="1" customWidth="1"/>
    <col min="12818" max="12818" width="21" customWidth="1"/>
    <col min="12819" max="12819" width="12.85546875" customWidth="1"/>
    <col min="12820" max="12820" width="11.7109375" bestFit="1" customWidth="1"/>
    <col min="12821" max="12821" width="13.5703125" bestFit="1" customWidth="1"/>
    <col min="12823" max="12823" width="23.85546875" bestFit="1" customWidth="1"/>
    <col min="12824" max="12824" width="13.7109375" customWidth="1"/>
    <col min="12825" max="12825" width="12.85546875" customWidth="1"/>
    <col min="12826" max="12826" width="11.7109375" bestFit="1" customWidth="1"/>
    <col min="12827" max="12827" width="14" bestFit="1" customWidth="1"/>
    <col min="12829" max="12829" width="19.85546875" bestFit="1" customWidth="1"/>
    <col min="12830" max="12830" width="13" customWidth="1"/>
    <col min="12831" max="12831" width="12.5703125" customWidth="1"/>
    <col min="12832" max="12832" width="12" bestFit="1" customWidth="1"/>
    <col min="12833" max="12833" width="12.5703125" customWidth="1"/>
    <col min="12835" max="12835" width="19.85546875" bestFit="1" customWidth="1"/>
    <col min="12836" max="12836" width="13.28515625" customWidth="1"/>
    <col min="12837" max="12837" width="12.28515625" customWidth="1"/>
    <col min="12838" max="12838" width="11.7109375" bestFit="1" customWidth="1"/>
    <col min="12839" max="12839" width="11.42578125" customWidth="1"/>
    <col min="12841" max="12841" width="20.140625" bestFit="1" customWidth="1"/>
    <col min="12842" max="12843" width="12.28515625" customWidth="1"/>
    <col min="12844" max="12844" width="9" bestFit="1" customWidth="1"/>
    <col min="12845" max="12845" width="11.85546875" bestFit="1" customWidth="1"/>
    <col min="12847" max="12847" width="15" customWidth="1"/>
    <col min="13057" max="13065" width="0" hidden="1" customWidth="1"/>
    <col min="13067" max="13067" width="20.28515625" bestFit="1" customWidth="1"/>
    <col min="13068" max="13068" width="13.28515625" customWidth="1"/>
    <col min="13069" max="13069" width="12.42578125" bestFit="1" customWidth="1"/>
    <col min="13070" max="13070" width="11.7109375" bestFit="1" customWidth="1"/>
    <col min="13071" max="13071" width="14.7109375" bestFit="1" customWidth="1"/>
    <col min="13073" max="13073" width="20.28515625" bestFit="1" customWidth="1"/>
    <col min="13074" max="13074" width="21" customWidth="1"/>
    <col min="13075" max="13075" width="12.85546875" customWidth="1"/>
    <col min="13076" max="13076" width="11.7109375" bestFit="1" customWidth="1"/>
    <col min="13077" max="13077" width="13.5703125" bestFit="1" customWidth="1"/>
    <col min="13079" max="13079" width="23.85546875" bestFit="1" customWidth="1"/>
    <col min="13080" max="13080" width="13.7109375" customWidth="1"/>
    <col min="13081" max="13081" width="12.85546875" customWidth="1"/>
    <col min="13082" max="13082" width="11.7109375" bestFit="1" customWidth="1"/>
    <col min="13083" max="13083" width="14" bestFit="1" customWidth="1"/>
    <col min="13085" max="13085" width="19.85546875" bestFit="1" customWidth="1"/>
    <col min="13086" max="13086" width="13" customWidth="1"/>
    <col min="13087" max="13087" width="12.5703125" customWidth="1"/>
    <col min="13088" max="13088" width="12" bestFit="1" customWidth="1"/>
    <col min="13089" max="13089" width="12.5703125" customWidth="1"/>
    <col min="13091" max="13091" width="19.85546875" bestFit="1" customWidth="1"/>
    <col min="13092" max="13092" width="13.28515625" customWidth="1"/>
    <col min="13093" max="13093" width="12.28515625" customWidth="1"/>
    <col min="13094" max="13094" width="11.7109375" bestFit="1" customWidth="1"/>
    <col min="13095" max="13095" width="11.42578125" customWidth="1"/>
    <col min="13097" max="13097" width="20.140625" bestFit="1" customWidth="1"/>
    <col min="13098" max="13099" width="12.28515625" customWidth="1"/>
    <col min="13100" max="13100" width="9" bestFit="1" customWidth="1"/>
    <col min="13101" max="13101" width="11.85546875" bestFit="1" customWidth="1"/>
    <col min="13103" max="13103" width="15" customWidth="1"/>
    <col min="13313" max="13321" width="0" hidden="1" customWidth="1"/>
    <col min="13323" max="13323" width="20.28515625" bestFit="1" customWidth="1"/>
    <col min="13324" max="13324" width="13.28515625" customWidth="1"/>
    <col min="13325" max="13325" width="12.42578125" bestFit="1" customWidth="1"/>
    <col min="13326" max="13326" width="11.7109375" bestFit="1" customWidth="1"/>
    <col min="13327" max="13327" width="14.7109375" bestFit="1" customWidth="1"/>
    <col min="13329" max="13329" width="20.28515625" bestFit="1" customWidth="1"/>
    <col min="13330" max="13330" width="21" customWidth="1"/>
    <col min="13331" max="13331" width="12.85546875" customWidth="1"/>
    <col min="13332" max="13332" width="11.7109375" bestFit="1" customWidth="1"/>
    <col min="13333" max="13333" width="13.5703125" bestFit="1" customWidth="1"/>
    <col min="13335" max="13335" width="23.85546875" bestFit="1" customWidth="1"/>
    <col min="13336" max="13336" width="13.7109375" customWidth="1"/>
    <col min="13337" max="13337" width="12.85546875" customWidth="1"/>
    <col min="13338" max="13338" width="11.7109375" bestFit="1" customWidth="1"/>
    <col min="13339" max="13339" width="14" bestFit="1" customWidth="1"/>
    <col min="13341" max="13341" width="19.85546875" bestFit="1" customWidth="1"/>
    <col min="13342" max="13342" width="13" customWidth="1"/>
    <col min="13343" max="13343" width="12.5703125" customWidth="1"/>
    <col min="13344" max="13344" width="12" bestFit="1" customWidth="1"/>
    <col min="13345" max="13345" width="12.5703125" customWidth="1"/>
    <col min="13347" max="13347" width="19.85546875" bestFit="1" customWidth="1"/>
    <col min="13348" max="13348" width="13.28515625" customWidth="1"/>
    <col min="13349" max="13349" width="12.28515625" customWidth="1"/>
    <col min="13350" max="13350" width="11.7109375" bestFit="1" customWidth="1"/>
    <col min="13351" max="13351" width="11.42578125" customWidth="1"/>
    <col min="13353" max="13353" width="20.140625" bestFit="1" customWidth="1"/>
    <col min="13354" max="13355" width="12.28515625" customWidth="1"/>
    <col min="13356" max="13356" width="9" bestFit="1" customWidth="1"/>
    <col min="13357" max="13357" width="11.85546875" bestFit="1" customWidth="1"/>
    <col min="13359" max="13359" width="15" customWidth="1"/>
    <col min="13569" max="13577" width="0" hidden="1" customWidth="1"/>
    <col min="13579" max="13579" width="20.28515625" bestFit="1" customWidth="1"/>
    <col min="13580" max="13580" width="13.28515625" customWidth="1"/>
    <col min="13581" max="13581" width="12.42578125" bestFit="1" customWidth="1"/>
    <col min="13582" max="13582" width="11.7109375" bestFit="1" customWidth="1"/>
    <col min="13583" max="13583" width="14.7109375" bestFit="1" customWidth="1"/>
    <col min="13585" max="13585" width="20.28515625" bestFit="1" customWidth="1"/>
    <col min="13586" max="13586" width="21" customWidth="1"/>
    <col min="13587" max="13587" width="12.85546875" customWidth="1"/>
    <col min="13588" max="13588" width="11.7109375" bestFit="1" customWidth="1"/>
    <col min="13589" max="13589" width="13.5703125" bestFit="1" customWidth="1"/>
    <col min="13591" max="13591" width="23.85546875" bestFit="1" customWidth="1"/>
    <col min="13592" max="13592" width="13.7109375" customWidth="1"/>
    <col min="13593" max="13593" width="12.85546875" customWidth="1"/>
    <col min="13594" max="13594" width="11.7109375" bestFit="1" customWidth="1"/>
    <col min="13595" max="13595" width="14" bestFit="1" customWidth="1"/>
    <col min="13597" max="13597" width="19.85546875" bestFit="1" customWidth="1"/>
    <col min="13598" max="13598" width="13" customWidth="1"/>
    <col min="13599" max="13599" width="12.5703125" customWidth="1"/>
    <col min="13600" max="13600" width="12" bestFit="1" customWidth="1"/>
    <col min="13601" max="13601" width="12.5703125" customWidth="1"/>
    <col min="13603" max="13603" width="19.85546875" bestFit="1" customWidth="1"/>
    <col min="13604" max="13604" width="13.28515625" customWidth="1"/>
    <col min="13605" max="13605" width="12.28515625" customWidth="1"/>
    <col min="13606" max="13606" width="11.7109375" bestFit="1" customWidth="1"/>
    <col min="13607" max="13607" width="11.42578125" customWidth="1"/>
    <col min="13609" max="13609" width="20.140625" bestFit="1" customWidth="1"/>
    <col min="13610" max="13611" width="12.28515625" customWidth="1"/>
    <col min="13612" max="13612" width="9" bestFit="1" customWidth="1"/>
    <col min="13613" max="13613" width="11.85546875" bestFit="1" customWidth="1"/>
    <col min="13615" max="13615" width="15" customWidth="1"/>
    <col min="13825" max="13833" width="0" hidden="1" customWidth="1"/>
    <col min="13835" max="13835" width="20.28515625" bestFit="1" customWidth="1"/>
    <col min="13836" max="13836" width="13.28515625" customWidth="1"/>
    <col min="13837" max="13837" width="12.42578125" bestFit="1" customWidth="1"/>
    <col min="13838" max="13838" width="11.7109375" bestFit="1" customWidth="1"/>
    <col min="13839" max="13839" width="14.7109375" bestFit="1" customWidth="1"/>
    <col min="13841" max="13841" width="20.28515625" bestFit="1" customWidth="1"/>
    <col min="13842" max="13842" width="21" customWidth="1"/>
    <col min="13843" max="13843" width="12.85546875" customWidth="1"/>
    <col min="13844" max="13844" width="11.7109375" bestFit="1" customWidth="1"/>
    <col min="13845" max="13845" width="13.5703125" bestFit="1" customWidth="1"/>
    <col min="13847" max="13847" width="23.85546875" bestFit="1" customWidth="1"/>
    <col min="13848" max="13848" width="13.7109375" customWidth="1"/>
    <col min="13849" max="13849" width="12.85546875" customWidth="1"/>
    <col min="13850" max="13850" width="11.7109375" bestFit="1" customWidth="1"/>
    <col min="13851" max="13851" width="14" bestFit="1" customWidth="1"/>
    <col min="13853" max="13853" width="19.85546875" bestFit="1" customWidth="1"/>
    <col min="13854" max="13854" width="13" customWidth="1"/>
    <col min="13855" max="13855" width="12.5703125" customWidth="1"/>
    <col min="13856" max="13856" width="12" bestFit="1" customWidth="1"/>
    <col min="13857" max="13857" width="12.5703125" customWidth="1"/>
    <col min="13859" max="13859" width="19.85546875" bestFit="1" customWidth="1"/>
    <col min="13860" max="13860" width="13.28515625" customWidth="1"/>
    <col min="13861" max="13861" width="12.28515625" customWidth="1"/>
    <col min="13862" max="13862" width="11.7109375" bestFit="1" customWidth="1"/>
    <col min="13863" max="13863" width="11.42578125" customWidth="1"/>
    <col min="13865" max="13865" width="20.140625" bestFit="1" customWidth="1"/>
    <col min="13866" max="13867" width="12.28515625" customWidth="1"/>
    <col min="13868" max="13868" width="9" bestFit="1" customWidth="1"/>
    <col min="13869" max="13869" width="11.85546875" bestFit="1" customWidth="1"/>
    <col min="13871" max="13871" width="15" customWidth="1"/>
    <col min="14081" max="14089" width="0" hidden="1" customWidth="1"/>
    <col min="14091" max="14091" width="20.28515625" bestFit="1" customWidth="1"/>
    <col min="14092" max="14092" width="13.28515625" customWidth="1"/>
    <col min="14093" max="14093" width="12.42578125" bestFit="1" customWidth="1"/>
    <col min="14094" max="14094" width="11.7109375" bestFit="1" customWidth="1"/>
    <col min="14095" max="14095" width="14.7109375" bestFit="1" customWidth="1"/>
    <col min="14097" max="14097" width="20.28515625" bestFit="1" customWidth="1"/>
    <col min="14098" max="14098" width="21" customWidth="1"/>
    <col min="14099" max="14099" width="12.85546875" customWidth="1"/>
    <col min="14100" max="14100" width="11.7109375" bestFit="1" customWidth="1"/>
    <col min="14101" max="14101" width="13.5703125" bestFit="1" customWidth="1"/>
    <col min="14103" max="14103" width="23.85546875" bestFit="1" customWidth="1"/>
    <col min="14104" max="14104" width="13.7109375" customWidth="1"/>
    <col min="14105" max="14105" width="12.85546875" customWidth="1"/>
    <col min="14106" max="14106" width="11.7109375" bestFit="1" customWidth="1"/>
    <col min="14107" max="14107" width="14" bestFit="1" customWidth="1"/>
    <col min="14109" max="14109" width="19.85546875" bestFit="1" customWidth="1"/>
    <col min="14110" max="14110" width="13" customWidth="1"/>
    <col min="14111" max="14111" width="12.5703125" customWidth="1"/>
    <col min="14112" max="14112" width="12" bestFit="1" customWidth="1"/>
    <col min="14113" max="14113" width="12.5703125" customWidth="1"/>
    <col min="14115" max="14115" width="19.85546875" bestFit="1" customWidth="1"/>
    <col min="14116" max="14116" width="13.28515625" customWidth="1"/>
    <col min="14117" max="14117" width="12.28515625" customWidth="1"/>
    <col min="14118" max="14118" width="11.7109375" bestFit="1" customWidth="1"/>
    <col min="14119" max="14119" width="11.42578125" customWidth="1"/>
    <col min="14121" max="14121" width="20.140625" bestFit="1" customWidth="1"/>
    <col min="14122" max="14123" width="12.28515625" customWidth="1"/>
    <col min="14124" max="14124" width="9" bestFit="1" customWidth="1"/>
    <col min="14125" max="14125" width="11.85546875" bestFit="1" customWidth="1"/>
    <col min="14127" max="14127" width="15" customWidth="1"/>
    <col min="14337" max="14345" width="0" hidden="1" customWidth="1"/>
    <col min="14347" max="14347" width="20.28515625" bestFit="1" customWidth="1"/>
    <col min="14348" max="14348" width="13.28515625" customWidth="1"/>
    <col min="14349" max="14349" width="12.42578125" bestFit="1" customWidth="1"/>
    <col min="14350" max="14350" width="11.7109375" bestFit="1" customWidth="1"/>
    <col min="14351" max="14351" width="14.7109375" bestFit="1" customWidth="1"/>
    <col min="14353" max="14353" width="20.28515625" bestFit="1" customWidth="1"/>
    <col min="14354" max="14354" width="21" customWidth="1"/>
    <col min="14355" max="14355" width="12.85546875" customWidth="1"/>
    <col min="14356" max="14356" width="11.7109375" bestFit="1" customWidth="1"/>
    <col min="14357" max="14357" width="13.5703125" bestFit="1" customWidth="1"/>
    <col min="14359" max="14359" width="23.85546875" bestFit="1" customWidth="1"/>
    <col min="14360" max="14360" width="13.7109375" customWidth="1"/>
    <col min="14361" max="14361" width="12.85546875" customWidth="1"/>
    <col min="14362" max="14362" width="11.7109375" bestFit="1" customWidth="1"/>
    <col min="14363" max="14363" width="14" bestFit="1" customWidth="1"/>
    <col min="14365" max="14365" width="19.85546875" bestFit="1" customWidth="1"/>
    <col min="14366" max="14366" width="13" customWidth="1"/>
    <col min="14367" max="14367" width="12.5703125" customWidth="1"/>
    <col min="14368" max="14368" width="12" bestFit="1" customWidth="1"/>
    <col min="14369" max="14369" width="12.5703125" customWidth="1"/>
    <col min="14371" max="14371" width="19.85546875" bestFit="1" customWidth="1"/>
    <col min="14372" max="14372" width="13.28515625" customWidth="1"/>
    <col min="14373" max="14373" width="12.28515625" customWidth="1"/>
    <col min="14374" max="14374" width="11.7109375" bestFit="1" customWidth="1"/>
    <col min="14375" max="14375" width="11.42578125" customWidth="1"/>
    <col min="14377" max="14377" width="20.140625" bestFit="1" customWidth="1"/>
    <col min="14378" max="14379" width="12.28515625" customWidth="1"/>
    <col min="14380" max="14380" width="9" bestFit="1" customWidth="1"/>
    <col min="14381" max="14381" width="11.85546875" bestFit="1" customWidth="1"/>
    <col min="14383" max="14383" width="15" customWidth="1"/>
    <col min="14593" max="14601" width="0" hidden="1" customWidth="1"/>
    <col min="14603" max="14603" width="20.28515625" bestFit="1" customWidth="1"/>
    <col min="14604" max="14604" width="13.28515625" customWidth="1"/>
    <col min="14605" max="14605" width="12.42578125" bestFit="1" customWidth="1"/>
    <col min="14606" max="14606" width="11.7109375" bestFit="1" customWidth="1"/>
    <col min="14607" max="14607" width="14.7109375" bestFit="1" customWidth="1"/>
    <col min="14609" max="14609" width="20.28515625" bestFit="1" customWidth="1"/>
    <col min="14610" max="14610" width="21" customWidth="1"/>
    <col min="14611" max="14611" width="12.85546875" customWidth="1"/>
    <col min="14612" max="14612" width="11.7109375" bestFit="1" customWidth="1"/>
    <col min="14613" max="14613" width="13.5703125" bestFit="1" customWidth="1"/>
    <col min="14615" max="14615" width="23.85546875" bestFit="1" customWidth="1"/>
    <col min="14616" max="14616" width="13.7109375" customWidth="1"/>
    <col min="14617" max="14617" width="12.85546875" customWidth="1"/>
    <col min="14618" max="14618" width="11.7109375" bestFit="1" customWidth="1"/>
    <col min="14619" max="14619" width="14" bestFit="1" customWidth="1"/>
    <col min="14621" max="14621" width="19.85546875" bestFit="1" customWidth="1"/>
    <col min="14622" max="14622" width="13" customWidth="1"/>
    <col min="14623" max="14623" width="12.5703125" customWidth="1"/>
    <col min="14624" max="14624" width="12" bestFit="1" customWidth="1"/>
    <col min="14625" max="14625" width="12.5703125" customWidth="1"/>
    <col min="14627" max="14627" width="19.85546875" bestFit="1" customWidth="1"/>
    <col min="14628" max="14628" width="13.28515625" customWidth="1"/>
    <col min="14629" max="14629" width="12.28515625" customWidth="1"/>
    <col min="14630" max="14630" width="11.7109375" bestFit="1" customWidth="1"/>
    <col min="14631" max="14631" width="11.42578125" customWidth="1"/>
    <col min="14633" max="14633" width="20.140625" bestFit="1" customWidth="1"/>
    <col min="14634" max="14635" width="12.28515625" customWidth="1"/>
    <col min="14636" max="14636" width="9" bestFit="1" customWidth="1"/>
    <col min="14637" max="14637" width="11.85546875" bestFit="1" customWidth="1"/>
    <col min="14639" max="14639" width="15" customWidth="1"/>
    <col min="14849" max="14857" width="0" hidden="1" customWidth="1"/>
    <col min="14859" max="14859" width="20.28515625" bestFit="1" customWidth="1"/>
    <col min="14860" max="14860" width="13.28515625" customWidth="1"/>
    <col min="14861" max="14861" width="12.42578125" bestFit="1" customWidth="1"/>
    <col min="14862" max="14862" width="11.7109375" bestFit="1" customWidth="1"/>
    <col min="14863" max="14863" width="14.7109375" bestFit="1" customWidth="1"/>
    <col min="14865" max="14865" width="20.28515625" bestFit="1" customWidth="1"/>
    <col min="14866" max="14866" width="21" customWidth="1"/>
    <col min="14867" max="14867" width="12.85546875" customWidth="1"/>
    <col min="14868" max="14868" width="11.7109375" bestFit="1" customWidth="1"/>
    <col min="14869" max="14869" width="13.5703125" bestFit="1" customWidth="1"/>
    <col min="14871" max="14871" width="23.85546875" bestFit="1" customWidth="1"/>
    <col min="14872" max="14872" width="13.7109375" customWidth="1"/>
    <col min="14873" max="14873" width="12.85546875" customWidth="1"/>
    <col min="14874" max="14874" width="11.7109375" bestFit="1" customWidth="1"/>
    <col min="14875" max="14875" width="14" bestFit="1" customWidth="1"/>
    <col min="14877" max="14877" width="19.85546875" bestFit="1" customWidth="1"/>
    <col min="14878" max="14878" width="13" customWidth="1"/>
    <col min="14879" max="14879" width="12.5703125" customWidth="1"/>
    <col min="14880" max="14880" width="12" bestFit="1" customWidth="1"/>
    <col min="14881" max="14881" width="12.5703125" customWidth="1"/>
    <col min="14883" max="14883" width="19.85546875" bestFit="1" customWidth="1"/>
    <col min="14884" max="14884" width="13.28515625" customWidth="1"/>
    <col min="14885" max="14885" width="12.28515625" customWidth="1"/>
    <col min="14886" max="14886" width="11.7109375" bestFit="1" customWidth="1"/>
    <col min="14887" max="14887" width="11.42578125" customWidth="1"/>
    <col min="14889" max="14889" width="20.140625" bestFit="1" customWidth="1"/>
    <col min="14890" max="14891" width="12.28515625" customWidth="1"/>
    <col min="14892" max="14892" width="9" bestFit="1" customWidth="1"/>
    <col min="14893" max="14893" width="11.85546875" bestFit="1" customWidth="1"/>
    <col min="14895" max="14895" width="15" customWidth="1"/>
    <col min="15105" max="15113" width="0" hidden="1" customWidth="1"/>
    <col min="15115" max="15115" width="20.28515625" bestFit="1" customWidth="1"/>
    <col min="15116" max="15116" width="13.28515625" customWidth="1"/>
    <col min="15117" max="15117" width="12.42578125" bestFit="1" customWidth="1"/>
    <col min="15118" max="15118" width="11.7109375" bestFit="1" customWidth="1"/>
    <col min="15119" max="15119" width="14.7109375" bestFit="1" customWidth="1"/>
    <col min="15121" max="15121" width="20.28515625" bestFit="1" customWidth="1"/>
    <col min="15122" max="15122" width="21" customWidth="1"/>
    <col min="15123" max="15123" width="12.85546875" customWidth="1"/>
    <col min="15124" max="15124" width="11.7109375" bestFit="1" customWidth="1"/>
    <col min="15125" max="15125" width="13.5703125" bestFit="1" customWidth="1"/>
    <col min="15127" max="15127" width="23.85546875" bestFit="1" customWidth="1"/>
    <col min="15128" max="15128" width="13.7109375" customWidth="1"/>
    <col min="15129" max="15129" width="12.85546875" customWidth="1"/>
    <col min="15130" max="15130" width="11.7109375" bestFit="1" customWidth="1"/>
    <col min="15131" max="15131" width="14" bestFit="1" customWidth="1"/>
    <col min="15133" max="15133" width="19.85546875" bestFit="1" customWidth="1"/>
    <col min="15134" max="15134" width="13" customWidth="1"/>
    <col min="15135" max="15135" width="12.5703125" customWidth="1"/>
    <col min="15136" max="15136" width="12" bestFit="1" customWidth="1"/>
    <col min="15137" max="15137" width="12.5703125" customWidth="1"/>
    <col min="15139" max="15139" width="19.85546875" bestFit="1" customWidth="1"/>
    <col min="15140" max="15140" width="13.28515625" customWidth="1"/>
    <col min="15141" max="15141" width="12.28515625" customWidth="1"/>
    <col min="15142" max="15142" width="11.7109375" bestFit="1" customWidth="1"/>
    <col min="15143" max="15143" width="11.42578125" customWidth="1"/>
    <col min="15145" max="15145" width="20.140625" bestFit="1" customWidth="1"/>
    <col min="15146" max="15147" width="12.28515625" customWidth="1"/>
    <col min="15148" max="15148" width="9" bestFit="1" customWidth="1"/>
    <col min="15149" max="15149" width="11.85546875" bestFit="1" customWidth="1"/>
    <col min="15151" max="15151" width="15" customWidth="1"/>
    <col min="15361" max="15369" width="0" hidden="1" customWidth="1"/>
    <col min="15371" max="15371" width="20.28515625" bestFit="1" customWidth="1"/>
    <col min="15372" max="15372" width="13.28515625" customWidth="1"/>
    <col min="15373" max="15373" width="12.42578125" bestFit="1" customWidth="1"/>
    <col min="15374" max="15374" width="11.7109375" bestFit="1" customWidth="1"/>
    <col min="15375" max="15375" width="14.7109375" bestFit="1" customWidth="1"/>
    <col min="15377" max="15377" width="20.28515625" bestFit="1" customWidth="1"/>
    <col min="15378" max="15378" width="21" customWidth="1"/>
    <col min="15379" max="15379" width="12.85546875" customWidth="1"/>
    <col min="15380" max="15380" width="11.7109375" bestFit="1" customWidth="1"/>
    <col min="15381" max="15381" width="13.5703125" bestFit="1" customWidth="1"/>
    <col min="15383" max="15383" width="23.85546875" bestFit="1" customWidth="1"/>
    <col min="15384" max="15384" width="13.7109375" customWidth="1"/>
    <col min="15385" max="15385" width="12.85546875" customWidth="1"/>
    <col min="15386" max="15386" width="11.7109375" bestFit="1" customWidth="1"/>
    <col min="15387" max="15387" width="14" bestFit="1" customWidth="1"/>
    <col min="15389" max="15389" width="19.85546875" bestFit="1" customWidth="1"/>
    <col min="15390" max="15390" width="13" customWidth="1"/>
    <col min="15391" max="15391" width="12.5703125" customWidth="1"/>
    <col min="15392" max="15392" width="12" bestFit="1" customWidth="1"/>
    <col min="15393" max="15393" width="12.5703125" customWidth="1"/>
    <col min="15395" max="15395" width="19.85546875" bestFit="1" customWidth="1"/>
    <col min="15396" max="15396" width="13.28515625" customWidth="1"/>
    <col min="15397" max="15397" width="12.28515625" customWidth="1"/>
    <col min="15398" max="15398" width="11.7109375" bestFit="1" customWidth="1"/>
    <col min="15399" max="15399" width="11.42578125" customWidth="1"/>
    <col min="15401" max="15401" width="20.140625" bestFit="1" customWidth="1"/>
    <col min="15402" max="15403" width="12.28515625" customWidth="1"/>
    <col min="15404" max="15404" width="9" bestFit="1" customWidth="1"/>
    <col min="15405" max="15405" width="11.85546875" bestFit="1" customWidth="1"/>
    <col min="15407" max="15407" width="15" customWidth="1"/>
    <col min="15617" max="15625" width="0" hidden="1" customWidth="1"/>
    <col min="15627" max="15627" width="20.28515625" bestFit="1" customWidth="1"/>
    <col min="15628" max="15628" width="13.28515625" customWidth="1"/>
    <col min="15629" max="15629" width="12.42578125" bestFit="1" customWidth="1"/>
    <col min="15630" max="15630" width="11.7109375" bestFit="1" customWidth="1"/>
    <col min="15631" max="15631" width="14.7109375" bestFit="1" customWidth="1"/>
    <col min="15633" max="15633" width="20.28515625" bestFit="1" customWidth="1"/>
    <col min="15634" max="15634" width="21" customWidth="1"/>
    <col min="15635" max="15635" width="12.85546875" customWidth="1"/>
    <col min="15636" max="15636" width="11.7109375" bestFit="1" customWidth="1"/>
    <col min="15637" max="15637" width="13.5703125" bestFit="1" customWidth="1"/>
    <col min="15639" max="15639" width="23.85546875" bestFit="1" customWidth="1"/>
    <col min="15640" max="15640" width="13.7109375" customWidth="1"/>
    <col min="15641" max="15641" width="12.85546875" customWidth="1"/>
    <col min="15642" max="15642" width="11.7109375" bestFit="1" customWidth="1"/>
    <col min="15643" max="15643" width="14" bestFit="1" customWidth="1"/>
    <col min="15645" max="15645" width="19.85546875" bestFit="1" customWidth="1"/>
    <col min="15646" max="15646" width="13" customWidth="1"/>
    <col min="15647" max="15647" width="12.5703125" customWidth="1"/>
    <col min="15648" max="15648" width="12" bestFit="1" customWidth="1"/>
    <col min="15649" max="15649" width="12.5703125" customWidth="1"/>
    <col min="15651" max="15651" width="19.85546875" bestFit="1" customWidth="1"/>
    <col min="15652" max="15652" width="13.28515625" customWidth="1"/>
    <col min="15653" max="15653" width="12.28515625" customWidth="1"/>
    <col min="15654" max="15654" width="11.7109375" bestFit="1" customWidth="1"/>
    <col min="15655" max="15655" width="11.42578125" customWidth="1"/>
    <col min="15657" max="15657" width="20.140625" bestFit="1" customWidth="1"/>
    <col min="15658" max="15659" width="12.28515625" customWidth="1"/>
    <col min="15660" max="15660" width="9" bestFit="1" customWidth="1"/>
    <col min="15661" max="15661" width="11.85546875" bestFit="1" customWidth="1"/>
    <col min="15663" max="15663" width="15" customWidth="1"/>
    <col min="15873" max="15881" width="0" hidden="1" customWidth="1"/>
    <col min="15883" max="15883" width="20.28515625" bestFit="1" customWidth="1"/>
    <col min="15884" max="15884" width="13.28515625" customWidth="1"/>
    <col min="15885" max="15885" width="12.42578125" bestFit="1" customWidth="1"/>
    <col min="15886" max="15886" width="11.7109375" bestFit="1" customWidth="1"/>
    <col min="15887" max="15887" width="14.7109375" bestFit="1" customWidth="1"/>
    <col min="15889" max="15889" width="20.28515625" bestFit="1" customWidth="1"/>
    <col min="15890" max="15890" width="21" customWidth="1"/>
    <col min="15891" max="15891" width="12.85546875" customWidth="1"/>
    <col min="15892" max="15892" width="11.7109375" bestFit="1" customWidth="1"/>
    <col min="15893" max="15893" width="13.5703125" bestFit="1" customWidth="1"/>
    <col min="15895" max="15895" width="23.85546875" bestFit="1" customWidth="1"/>
    <col min="15896" max="15896" width="13.7109375" customWidth="1"/>
    <col min="15897" max="15897" width="12.85546875" customWidth="1"/>
    <col min="15898" max="15898" width="11.7109375" bestFit="1" customWidth="1"/>
    <col min="15899" max="15899" width="14" bestFit="1" customWidth="1"/>
    <col min="15901" max="15901" width="19.85546875" bestFit="1" customWidth="1"/>
    <col min="15902" max="15902" width="13" customWidth="1"/>
    <col min="15903" max="15903" width="12.5703125" customWidth="1"/>
    <col min="15904" max="15904" width="12" bestFit="1" customWidth="1"/>
    <col min="15905" max="15905" width="12.5703125" customWidth="1"/>
    <col min="15907" max="15907" width="19.85546875" bestFit="1" customWidth="1"/>
    <col min="15908" max="15908" width="13.28515625" customWidth="1"/>
    <col min="15909" max="15909" width="12.28515625" customWidth="1"/>
    <col min="15910" max="15910" width="11.7109375" bestFit="1" customWidth="1"/>
    <col min="15911" max="15911" width="11.42578125" customWidth="1"/>
    <col min="15913" max="15913" width="20.140625" bestFit="1" customWidth="1"/>
    <col min="15914" max="15915" width="12.28515625" customWidth="1"/>
    <col min="15916" max="15916" width="9" bestFit="1" customWidth="1"/>
    <col min="15917" max="15917" width="11.85546875" bestFit="1" customWidth="1"/>
    <col min="15919" max="15919" width="15" customWidth="1"/>
    <col min="16129" max="16137" width="0" hidden="1" customWidth="1"/>
    <col min="16139" max="16139" width="20.28515625" bestFit="1" customWidth="1"/>
    <col min="16140" max="16140" width="13.28515625" customWidth="1"/>
    <col min="16141" max="16141" width="12.42578125" bestFit="1" customWidth="1"/>
    <col min="16142" max="16142" width="11.7109375" bestFit="1" customWidth="1"/>
    <col min="16143" max="16143" width="14.7109375" bestFit="1" customWidth="1"/>
    <col min="16145" max="16145" width="20.28515625" bestFit="1" customWidth="1"/>
    <col min="16146" max="16146" width="21" customWidth="1"/>
    <col min="16147" max="16147" width="12.85546875" customWidth="1"/>
    <col min="16148" max="16148" width="11.7109375" bestFit="1" customWidth="1"/>
    <col min="16149" max="16149" width="13.5703125" bestFit="1" customWidth="1"/>
    <col min="16151" max="16151" width="23.85546875" bestFit="1" customWidth="1"/>
    <col min="16152" max="16152" width="13.7109375" customWidth="1"/>
    <col min="16153" max="16153" width="12.85546875" customWidth="1"/>
    <col min="16154" max="16154" width="11.7109375" bestFit="1" customWidth="1"/>
    <col min="16155" max="16155" width="14" bestFit="1" customWidth="1"/>
    <col min="16157" max="16157" width="19.85546875" bestFit="1" customWidth="1"/>
    <col min="16158" max="16158" width="13" customWidth="1"/>
    <col min="16159" max="16159" width="12.5703125" customWidth="1"/>
    <col min="16160" max="16160" width="12" bestFit="1" customWidth="1"/>
    <col min="16161" max="16161" width="12.5703125" customWidth="1"/>
    <col min="16163" max="16163" width="19.85546875" bestFit="1" customWidth="1"/>
    <col min="16164" max="16164" width="13.28515625" customWidth="1"/>
    <col min="16165" max="16165" width="12.28515625" customWidth="1"/>
    <col min="16166" max="16166" width="11.7109375" bestFit="1" customWidth="1"/>
    <col min="16167" max="16167" width="11.42578125" customWidth="1"/>
    <col min="16169" max="16169" width="20.140625" bestFit="1" customWidth="1"/>
    <col min="16170" max="16171" width="12.28515625" customWidth="1"/>
    <col min="16172" max="16172" width="9" bestFit="1" customWidth="1"/>
    <col min="16173" max="16173" width="11.85546875" bestFit="1" customWidth="1"/>
    <col min="16175" max="16175" width="15" customWidth="1"/>
  </cols>
  <sheetData>
    <row r="1" spans="1:45" ht="14.45" x14ac:dyDescent="0.3">
      <c r="A1" s="1578" t="s">
        <v>141</v>
      </c>
      <c r="B1" s="1579"/>
      <c r="C1" s="1579"/>
      <c r="D1" s="1579"/>
      <c r="E1" s="1579"/>
      <c r="F1" s="1579"/>
      <c r="G1" s="1579"/>
      <c r="H1" s="1579"/>
      <c r="I1" s="1580"/>
    </row>
    <row r="2" spans="1:45" ht="14.45" x14ac:dyDescent="0.3">
      <c r="A2" s="1555" t="s">
        <v>3</v>
      </c>
      <c r="B2" s="1556"/>
      <c r="C2" s="542">
        <v>1</v>
      </c>
      <c r="D2" s="542">
        <v>2</v>
      </c>
      <c r="E2" s="542">
        <v>3</v>
      </c>
      <c r="F2" s="542">
        <v>4</v>
      </c>
      <c r="G2" s="542">
        <v>5</v>
      </c>
      <c r="H2" s="542">
        <v>6</v>
      </c>
      <c r="I2" s="543"/>
      <c r="X2" s="544"/>
      <c r="Y2" s="544"/>
      <c r="AE2" s="544"/>
      <c r="AJ2" s="544"/>
      <c r="AK2" s="544"/>
      <c r="AP2" s="544"/>
    </row>
    <row r="3" spans="1:45" ht="27" customHeight="1" x14ac:dyDescent="0.3">
      <c r="A3" s="1568" t="s">
        <v>29</v>
      </c>
      <c r="B3" s="1568"/>
      <c r="C3" s="545">
        <v>54801</v>
      </c>
      <c r="D3" s="545">
        <v>54801</v>
      </c>
      <c r="E3" s="545">
        <v>54801</v>
      </c>
      <c r="F3" s="545">
        <v>54801</v>
      </c>
      <c r="G3" s="545">
        <v>0</v>
      </c>
      <c r="H3" s="545">
        <v>54801</v>
      </c>
      <c r="I3" s="546" t="s">
        <v>142</v>
      </c>
      <c r="R3" s="544"/>
      <c r="S3" s="544"/>
      <c r="X3" s="544"/>
      <c r="Y3" s="544"/>
      <c r="AP3" s="544"/>
      <c r="AQ3" s="544"/>
    </row>
    <row r="4" spans="1:45" ht="31.5" customHeight="1" x14ac:dyDescent="0.3">
      <c r="A4" s="1569" t="s">
        <v>143</v>
      </c>
      <c r="B4" s="1569"/>
      <c r="C4" s="545">
        <v>54801</v>
      </c>
      <c r="D4" s="545">
        <v>54801</v>
      </c>
      <c r="E4" s="547">
        <v>0</v>
      </c>
      <c r="F4" s="547">
        <v>0</v>
      </c>
      <c r="G4" s="547">
        <v>0</v>
      </c>
      <c r="H4" s="545">
        <v>54801</v>
      </c>
      <c r="I4" s="546" t="s">
        <v>142</v>
      </c>
      <c r="K4" s="548"/>
      <c r="M4" s="548"/>
      <c r="N4" s="548"/>
      <c r="Q4" s="548"/>
      <c r="W4" s="548"/>
      <c r="AC4" s="548"/>
      <c r="AI4" s="548"/>
      <c r="AO4" s="548"/>
    </row>
    <row r="5" spans="1:45" ht="29.25" customHeight="1" x14ac:dyDescent="0.3">
      <c r="A5" s="1568" t="s">
        <v>144</v>
      </c>
      <c r="B5" s="1568"/>
      <c r="C5" s="545">
        <v>35000</v>
      </c>
      <c r="D5" s="545">
        <v>35000</v>
      </c>
      <c r="E5" s="547">
        <v>0</v>
      </c>
      <c r="F5" s="547">
        <v>0</v>
      </c>
      <c r="G5" s="545">
        <v>35000</v>
      </c>
      <c r="H5" s="547">
        <v>0</v>
      </c>
      <c r="I5" s="546" t="s">
        <v>142</v>
      </c>
      <c r="K5" s="1572" t="s">
        <v>145</v>
      </c>
      <c r="L5" s="1573"/>
      <c r="M5" s="1573"/>
      <c r="N5" s="1573"/>
      <c r="O5" s="1574"/>
      <c r="Q5" s="1572" t="s">
        <v>146</v>
      </c>
      <c r="R5" s="1573"/>
      <c r="S5" s="1573"/>
      <c r="T5" s="1573"/>
      <c r="U5" s="1574"/>
      <c r="W5" s="1572" t="s">
        <v>147</v>
      </c>
      <c r="X5" s="1573"/>
      <c r="Y5" s="1573"/>
      <c r="Z5" s="1573"/>
      <c r="AA5" s="1574"/>
      <c r="AC5" s="1575" t="s">
        <v>148</v>
      </c>
      <c r="AD5" s="1576"/>
      <c r="AE5" s="1576"/>
      <c r="AF5" s="1576"/>
      <c r="AG5" s="1577"/>
      <c r="AI5" s="1575" t="s">
        <v>149</v>
      </c>
      <c r="AJ5" s="1576"/>
      <c r="AK5" s="1576"/>
      <c r="AL5" s="1576"/>
      <c r="AM5" s="1577"/>
      <c r="AO5" s="1575" t="s">
        <v>150</v>
      </c>
      <c r="AP5" s="1576"/>
      <c r="AQ5" s="1576"/>
      <c r="AR5" s="1576"/>
      <c r="AS5" s="1577"/>
    </row>
    <row r="6" spans="1:45" ht="29.25" customHeight="1" x14ac:dyDescent="0.3">
      <c r="A6" s="1570" t="s">
        <v>151</v>
      </c>
      <c r="B6" s="1570"/>
      <c r="C6" s="545">
        <v>35000</v>
      </c>
      <c r="D6" s="547">
        <v>0</v>
      </c>
      <c r="E6" s="547">
        <v>0</v>
      </c>
      <c r="F6" s="547">
        <v>0</v>
      </c>
      <c r="G6" s="547">
        <v>0</v>
      </c>
      <c r="H6" s="545">
        <v>35000</v>
      </c>
      <c r="I6" s="546" t="s">
        <v>142</v>
      </c>
      <c r="K6" s="549"/>
      <c r="L6" s="550"/>
      <c r="M6" s="551" t="s">
        <v>152</v>
      </c>
      <c r="N6" s="516"/>
      <c r="O6" s="552" t="s">
        <v>153</v>
      </c>
      <c r="Q6" s="553"/>
      <c r="R6" s="550"/>
      <c r="S6" s="551" t="s">
        <v>152</v>
      </c>
      <c r="T6" s="516"/>
      <c r="U6" s="554" t="s">
        <v>153</v>
      </c>
      <c r="W6" s="553"/>
      <c r="X6" s="550"/>
      <c r="Y6" s="551" t="s">
        <v>154</v>
      </c>
      <c r="Z6" s="516"/>
      <c r="AA6" s="552" t="s">
        <v>153</v>
      </c>
      <c r="AC6" s="553"/>
      <c r="AD6" s="550"/>
      <c r="AE6" s="551" t="s">
        <v>154</v>
      </c>
      <c r="AF6" s="516"/>
      <c r="AG6" s="552" t="s">
        <v>153</v>
      </c>
      <c r="AI6" s="555"/>
      <c r="AJ6" s="550"/>
      <c r="AK6" s="551" t="s">
        <v>154</v>
      </c>
      <c r="AL6" s="516"/>
      <c r="AM6" s="552" t="s">
        <v>153</v>
      </c>
      <c r="AO6" s="555"/>
      <c r="AP6" s="550"/>
      <c r="AQ6" s="551" t="s">
        <v>154</v>
      </c>
      <c r="AR6" s="516"/>
      <c r="AS6" s="552" t="s">
        <v>153</v>
      </c>
    </row>
    <row r="7" spans="1:45" ht="27.75" customHeight="1" x14ac:dyDescent="0.3">
      <c r="A7" s="1569" t="s">
        <v>155</v>
      </c>
      <c r="B7" s="1569"/>
      <c r="C7" s="545">
        <v>35000</v>
      </c>
      <c r="D7" s="547">
        <v>0</v>
      </c>
      <c r="E7" s="547">
        <v>0</v>
      </c>
      <c r="F7" s="556">
        <v>0</v>
      </c>
      <c r="G7" s="556">
        <v>0</v>
      </c>
      <c r="H7" s="556">
        <v>0</v>
      </c>
      <c r="I7" s="546" t="s">
        <v>142</v>
      </c>
      <c r="K7" s="557" t="s">
        <v>156</v>
      </c>
      <c r="L7" s="558">
        <f t="shared" ref="L7:L13" si="0">+C3</f>
        <v>54801</v>
      </c>
      <c r="M7" s="559">
        <f t="shared" ref="M7:M13" si="1">+C20</f>
        <v>0.82</v>
      </c>
      <c r="O7" s="560">
        <f t="shared" ref="O7:O13" si="2">L7*M7</f>
        <v>44936.82</v>
      </c>
      <c r="Q7" s="557" t="s">
        <v>156</v>
      </c>
      <c r="R7" s="561">
        <f>+D3</f>
        <v>54801</v>
      </c>
      <c r="S7" s="562">
        <f>+D20</f>
        <v>0.63</v>
      </c>
      <c r="U7" s="563">
        <f t="shared" ref="U7:U12" si="3">R7*S7</f>
        <v>34524.629999999997</v>
      </c>
      <c r="W7" s="557" t="s">
        <v>156</v>
      </c>
      <c r="X7" s="561">
        <f>+E3</f>
        <v>54801</v>
      </c>
      <c r="Y7" s="564">
        <f>+E20</f>
        <v>3.88</v>
      </c>
      <c r="AA7" s="563">
        <f>X7*Y7</f>
        <v>212627.88</v>
      </c>
      <c r="AC7" s="557" t="s">
        <v>157</v>
      </c>
      <c r="AD7" s="561">
        <f>+F3</f>
        <v>54801</v>
      </c>
      <c r="AE7" s="562">
        <f>+F20</f>
        <v>0.5</v>
      </c>
      <c r="AG7" s="563">
        <f>AD7*AE7</f>
        <v>27400.5</v>
      </c>
      <c r="AI7" s="557" t="s">
        <v>158</v>
      </c>
      <c r="AJ7" s="565">
        <f>+G12</f>
        <v>54801</v>
      </c>
      <c r="AK7" s="562">
        <f>+G29</f>
        <v>0.05</v>
      </c>
      <c r="AM7" s="563">
        <f>AJ7*AK7</f>
        <v>2740.05</v>
      </c>
      <c r="AO7" s="557" t="s">
        <v>157</v>
      </c>
      <c r="AP7" s="565">
        <f>+H3</f>
        <v>54801</v>
      </c>
      <c r="AQ7" s="562">
        <f>+H20</f>
        <v>0.19</v>
      </c>
      <c r="AS7" s="563">
        <f t="shared" ref="AS7:AS15" si="4">AP7*AQ7</f>
        <v>10412.19</v>
      </c>
    </row>
    <row r="8" spans="1:45" ht="27.75" customHeight="1" x14ac:dyDescent="0.3">
      <c r="A8" s="1569" t="s">
        <v>159</v>
      </c>
      <c r="B8" s="1569"/>
      <c r="C8" s="545">
        <v>35000</v>
      </c>
      <c r="D8" s="547">
        <v>0</v>
      </c>
      <c r="E8" s="547">
        <v>0</v>
      </c>
      <c r="F8" s="556">
        <v>0</v>
      </c>
      <c r="G8" s="556">
        <v>0</v>
      </c>
      <c r="H8" s="545">
        <v>35000</v>
      </c>
      <c r="I8" s="546" t="s">
        <v>142</v>
      </c>
      <c r="K8" s="557" t="s">
        <v>143</v>
      </c>
      <c r="L8" s="558">
        <f t="shared" si="0"/>
        <v>54801</v>
      </c>
      <c r="M8" s="559">
        <f t="shared" si="1"/>
        <v>0.8</v>
      </c>
      <c r="O8" s="560">
        <f t="shared" si="2"/>
        <v>43840.800000000003</v>
      </c>
      <c r="Q8" s="557" t="s">
        <v>143</v>
      </c>
      <c r="R8" s="561">
        <f>+D4</f>
        <v>54801</v>
      </c>
      <c r="S8" s="562">
        <f>+D21</f>
        <v>1.04</v>
      </c>
      <c r="U8" s="563">
        <f t="shared" si="3"/>
        <v>56993.04</v>
      </c>
      <c r="W8" s="557" t="s">
        <v>160</v>
      </c>
      <c r="X8" s="561">
        <f>+E12</f>
        <v>54801</v>
      </c>
      <c r="Y8" s="562">
        <f>+E29</f>
        <v>0.95</v>
      </c>
      <c r="AA8" s="563">
        <f>X8*Y8</f>
        <v>52060.95</v>
      </c>
      <c r="AC8" s="557" t="s">
        <v>161</v>
      </c>
      <c r="AD8" s="561">
        <f>+F15</f>
        <v>35000</v>
      </c>
      <c r="AE8" s="562">
        <f>+F32</f>
        <v>0.85</v>
      </c>
      <c r="AG8" s="563">
        <f>AD8*AE8</f>
        <v>29750</v>
      </c>
      <c r="AI8" s="557" t="s">
        <v>144</v>
      </c>
      <c r="AJ8" s="565">
        <f>+G5</f>
        <v>35000</v>
      </c>
      <c r="AK8" s="562">
        <f>+G22</f>
        <v>0.6</v>
      </c>
      <c r="AM8" s="563">
        <f>AJ8*AK8</f>
        <v>21000</v>
      </c>
      <c r="AO8" s="557" t="s">
        <v>158</v>
      </c>
      <c r="AP8" s="565">
        <f>+H12</f>
        <v>54801</v>
      </c>
      <c r="AQ8" s="562">
        <f>+H29</f>
        <v>3.67</v>
      </c>
      <c r="AS8" s="563">
        <f t="shared" si="4"/>
        <v>201119.66999999998</v>
      </c>
    </row>
    <row r="9" spans="1:45" ht="25.5" customHeight="1" x14ac:dyDescent="0.3">
      <c r="A9" s="1552" t="s">
        <v>28</v>
      </c>
      <c r="B9" s="1553"/>
      <c r="C9" s="545">
        <v>29821</v>
      </c>
      <c r="D9" s="566">
        <v>29821</v>
      </c>
      <c r="E9" s="566">
        <v>29821</v>
      </c>
      <c r="F9" s="566">
        <v>29821</v>
      </c>
      <c r="G9" s="556">
        <v>0</v>
      </c>
      <c r="H9" s="566">
        <v>29821</v>
      </c>
      <c r="I9" s="546" t="s">
        <v>142</v>
      </c>
      <c r="K9" s="557" t="s">
        <v>144</v>
      </c>
      <c r="L9" s="558">
        <f t="shared" si="0"/>
        <v>35000</v>
      </c>
      <c r="M9" s="562">
        <f t="shared" si="1"/>
        <v>0.54</v>
      </c>
      <c r="O9" s="560">
        <f t="shared" si="2"/>
        <v>18900</v>
      </c>
      <c r="Q9" s="557" t="s">
        <v>144</v>
      </c>
      <c r="R9" s="561">
        <f>+D5</f>
        <v>35000</v>
      </c>
      <c r="S9" s="562">
        <f>+D22</f>
        <v>4.1900000000000004</v>
      </c>
      <c r="U9" s="563">
        <f t="shared" si="3"/>
        <v>146650</v>
      </c>
      <c r="W9" s="557" t="s">
        <v>162</v>
      </c>
      <c r="X9" s="561">
        <f>+E13</f>
        <v>50000</v>
      </c>
      <c r="Y9" s="564">
        <f>+E30</f>
        <v>0.16</v>
      </c>
      <c r="AA9" s="563">
        <f>X9*Y9</f>
        <v>8000</v>
      </c>
      <c r="AC9" s="557" t="s">
        <v>162</v>
      </c>
      <c r="AD9" s="561">
        <f>+F13</f>
        <v>50000</v>
      </c>
      <c r="AE9" s="562">
        <f>+F30</f>
        <v>0.5</v>
      </c>
      <c r="AG9" s="563">
        <f>AD9*AE9</f>
        <v>25000</v>
      </c>
      <c r="AI9" s="557" t="s">
        <v>163</v>
      </c>
      <c r="AJ9" s="565">
        <f>+G16</f>
        <v>50000</v>
      </c>
      <c r="AK9" s="562">
        <f>+G33</f>
        <v>2</v>
      </c>
      <c r="AM9" s="563">
        <f>AJ9*AK9</f>
        <v>100000</v>
      </c>
      <c r="AO9" s="557" t="s">
        <v>164</v>
      </c>
      <c r="AP9" s="565">
        <f>+H4</f>
        <v>54801</v>
      </c>
      <c r="AQ9" s="562">
        <f>+H21</f>
        <v>0.62</v>
      </c>
      <c r="AS9" s="563">
        <f t="shared" si="4"/>
        <v>33976.620000000003</v>
      </c>
    </row>
    <row r="10" spans="1:45" ht="30" customHeight="1" x14ac:dyDescent="0.3">
      <c r="A10" s="1548" t="s">
        <v>165</v>
      </c>
      <c r="B10" s="1549"/>
      <c r="C10" s="547">
        <v>0</v>
      </c>
      <c r="D10" s="566">
        <v>35000</v>
      </c>
      <c r="E10" s="547">
        <v>0</v>
      </c>
      <c r="F10" s="547">
        <v>0</v>
      </c>
      <c r="G10" s="547">
        <v>0</v>
      </c>
      <c r="H10" s="547">
        <v>0</v>
      </c>
      <c r="I10" s="546" t="s">
        <v>142</v>
      </c>
      <c r="K10" s="557" t="s">
        <v>151</v>
      </c>
      <c r="L10" s="558">
        <f t="shared" si="0"/>
        <v>35000</v>
      </c>
      <c r="M10" s="562">
        <f t="shared" si="1"/>
        <v>3</v>
      </c>
      <c r="O10" s="560">
        <f t="shared" si="2"/>
        <v>105000</v>
      </c>
      <c r="Q10" s="557" t="s">
        <v>165</v>
      </c>
      <c r="R10" s="561">
        <f>+D10</f>
        <v>35000</v>
      </c>
      <c r="S10" s="562">
        <f>+D27</f>
        <v>5.95</v>
      </c>
      <c r="U10" s="563">
        <f t="shared" si="3"/>
        <v>208250</v>
      </c>
      <c r="W10" s="557" t="s">
        <v>166</v>
      </c>
      <c r="X10" s="561">
        <f>+E14</f>
        <v>35000</v>
      </c>
      <c r="Y10" s="564">
        <f>+E31</f>
        <v>0.02</v>
      </c>
      <c r="AA10" s="563">
        <f>X10*Y10</f>
        <v>700</v>
      </c>
      <c r="AC10" s="567" t="s">
        <v>28</v>
      </c>
      <c r="AD10" s="568">
        <f>+F9</f>
        <v>29821</v>
      </c>
      <c r="AE10" s="569">
        <f>+F26</f>
        <v>0.5</v>
      </c>
      <c r="AG10" s="570">
        <f>AD10*AE10</f>
        <v>14910.5</v>
      </c>
      <c r="AI10" s="571"/>
      <c r="AJ10" s="572"/>
      <c r="AK10" s="573" t="s">
        <v>167</v>
      </c>
      <c r="AM10" s="574"/>
      <c r="AO10" s="557" t="s">
        <v>168</v>
      </c>
      <c r="AP10" s="565">
        <f>+H17</f>
        <v>64674</v>
      </c>
      <c r="AQ10" s="562">
        <f>+H34</f>
        <v>0.03</v>
      </c>
      <c r="AS10" s="563">
        <f t="shared" si="4"/>
        <v>1940.22</v>
      </c>
    </row>
    <row r="11" spans="1:45" ht="31.5" customHeight="1" x14ac:dyDescent="0.3">
      <c r="A11" s="1571" t="s">
        <v>169</v>
      </c>
      <c r="B11" s="1571"/>
      <c r="C11" s="547">
        <v>0</v>
      </c>
      <c r="D11" s="566">
        <v>50000</v>
      </c>
      <c r="E11" s="547">
        <v>0</v>
      </c>
      <c r="F11" s="547">
        <v>0</v>
      </c>
      <c r="G11" s="547">
        <v>0</v>
      </c>
      <c r="H11" s="547">
        <v>0</v>
      </c>
      <c r="I11" s="546" t="s">
        <v>142</v>
      </c>
      <c r="K11" s="557" t="s">
        <v>155</v>
      </c>
      <c r="L11" s="558">
        <f t="shared" si="0"/>
        <v>35000</v>
      </c>
      <c r="M11" s="562">
        <f t="shared" si="1"/>
        <v>4.3</v>
      </c>
      <c r="O11" s="560">
        <f t="shared" si="2"/>
        <v>150500</v>
      </c>
      <c r="Q11" s="557" t="s">
        <v>169</v>
      </c>
      <c r="R11" s="561">
        <f>+D11</f>
        <v>50000</v>
      </c>
      <c r="S11" s="562">
        <f>+D28</f>
        <v>6.28</v>
      </c>
      <c r="U11" s="563">
        <f t="shared" si="3"/>
        <v>314000</v>
      </c>
      <c r="W11" s="567" t="s">
        <v>170</v>
      </c>
      <c r="X11" s="568">
        <f>+E9</f>
        <v>29821</v>
      </c>
      <c r="Y11" s="575">
        <f>+E26</f>
        <v>2.74</v>
      </c>
      <c r="AA11" s="570">
        <f>X11*Y11</f>
        <v>81709.540000000008</v>
      </c>
      <c r="AC11" s="553" t="s">
        <v>171</v>
      </c>
      <c r="AD11" s="576"/>
      <c r="AE11" s="551">
        <f>SUM(AE7:AE10)</f>
        <v>2.35</v>
      </c>
      <c r="AF11" s="516"/>
      <c r="AG11" s="577">
        <f>SUM(AG7:AG10)</f>
        <v>97061</v>
      </c>
      <c r="AI11" s="553" t="s">
        <v>171</v>
      </c>
      <c r="AJ11" s="578"/>
      <c r="AK11" s="551">
        <f>SUM(AK7:AK9)</f>
        <v>2.65</v>
      </c>
      <c r="AL11" s="516"/>
      <c r="AM11" s="577">
        <f>SUM(AM7:AM9)</f>
        <v>123740.05</v>
      </c>
      <c r="AO11" s="557" t="s">
        <v>172</v>
      </c>
      <c r="AP11" s="565">
        <f>+H18</f>
        <v>33409</v>
      </c>
      <c r="AQ11" s="562">
        <f>+H35</f>
        <v>0.28999999999999998</v>
      </c>
      <c r="AS11" s="563">
        <f t="shared" si="4"/>
        <v>9688.6099999999988</v>
      </c>
    </row>
    <row r="12" spans="1:45" ht="30.75" customHeight="1" x14ac:dyDescent="0.3">
      <c r="A12" s="1568" t="s">
        <v>160</v>
      </c>
      <c r="B12" s="1568"/>
      <c r="C12" s="547">
        <v>0</v>
      </c>
      <c r="D12" s="547">
        <v>0</v>
      </c>
      <c r="E12" s="566">
        <v>54801</v>
      </c>
      <c r="F12" s="547">
        <v>0</v>
      </c>
      <c r="G12" s="579">
        <v>54801</v>
      </c>
      <c r="H12" s="579">
        <v>54801</v>
      </c>
      <c r="I12" s="546" t="s">
        <v>142</v>
      </c>
      <c r="K12" s="557" t="s">
        <v>159</v>
      </c>
      <c r="L12" s="558">
        <f t="shared" si="0"/>
        <v>35000</v>
      </c>
      <c r="M12" s="562">
        <f t="shared" si="1"/>
        <v>0.66</v>
      </c>
      <c r="O12" s="560">
        <f t="shared" si="2"/>
        <v>23100</v>
      </c>
      <c r="Q12" s="557" t="s">
        <v>28</v>
      </c>
      <c r="R12" s="561">
        <f>+D9</f>
        <v>29821</v>
      </c>
      <c r="S12" s="562">
        <f>+D26</f>
        <v>1.08</v>
      </c>
      <c r="U12" s="563">
        <f t="shared" si="3"/>
        <v>32206.680000000004</v>
      </c>
      <c r="W12" s="553" t="s">
        <v>171</v>
      </c>
      <c r="X12" s="576"/>
      <c r="Y12" s="580">
        <f>SUM(Y7:Y11)</f>
        <v>7.75</v>
      </c>
      <c r="Z12" s="516"/>
      <c r="AA12" s="577">
        <f>SUM(AA7:AA11)</f>
        <v>355098.37</v>
      </c>
      <c r="AC12" s="571"/>
      <c r="AD12" s="548"/>
      <c r="AE12" s="548"/>
      <c r="AF12" s="548"/>
      <c r="AG12" s="574"/>
      <c r="AI12" s="571"/>
      <c r="AJ12" s="548"/>
      <c r="AK12" s="548"/>
      <c r="AL12" s="548"/>
      <c r="AM12" s="574"/>
      <c r="AO12" s="557" t="s">
        <v>173</v>
      </c>
      <c r="AP12" s="565">
        <f>+H15</f>
        <v>35000</v>
      </c>
      <c r="AQ12" s="562">
        <f>+H32</f>
        <v>0.8</v>
      </c>
      <c r="AS12" s="563">
        <f t="shared" si="4"/>
        <v>28000</v>
      </c>
    </row>
    <row r="13" spans="1:45" ht="28.5" customHeight="1" x14ac:dyDescent="0.3">
      <c r="A13" s="1547" t="s">
        <v>162</v>
      </c>
      <c r="B13" s="1547"/>
      <c r="C13" s="547">
        <v>0</v>
      </c>
      <c r="D13" s="547">
        <v>0</v>
      </c>
      <c r="E13" s="566">
        <v>50000</v>
      </c>
      <c r="F13" s="566">
        <v>50000</v>
      </c>
      <c r="G13" s="581">
        <v>0</v>
      </c>
      <c r="H13" s="581">
        <v>0</v>
      </c>
      <c r="I13" s="546" t="s">
        <v>142</v>
      </c>
      <c r="K13" s="567" t="s">
        <v>28</v>
      </c>
      <c r="L13" s="582">
        <f t="shared" si="0"/>
        <v>29821</v>
      </c>
      <c r="M13" s="569">
        <f t="shared" si="1"/>
        <v>0.59</v>
      </c>
      <c r="O13" s="583">
        <f t="shared" si="2"/>
        <v>17594.39</v>
      </c>
      <c r="Q13" s="584" t="s">
        <v>171</v>
      </c>
      <c r="R13" s="576"/>
      <c r="S13" s="551">
        <f>SUM(S7:S12)</f>
        <v>19.170000000000002</v>
      </c>
      <c r="T13" s="516"/>
      <c r="U13" s="577">
        <f>SUM(U7:U12)</f>
        <v>792624.35</v>
      </c>
      <c r="W13" s="571"/>
      <c r="X13" s="548"/>
      <c r="Y13" s="548"/>
      <c r="Z13" s="548"/>
      <c r="AA13" s="574"/>
      <c r="AC13" s="585" t="s">
        <v>174</v>
      </c>
      <c r="AD13" s="586"/>
      <c r="AE13" s="587">
        <f>+C55</f>
        <v>0.24</v>
      </c>
      <c r="AF13" s="586"/>
      <c r="AG13" s="570">
        <f>AE13*AG11</f>
        <v>23294.639999999999</v>
      </c>
      <c r="AI13" s="585" t="s">
        <v>174</v>
      </c>
      <c r="AJ13" s="586"/>
      <c r="AK13" s="587">
        <f>+C55</f>
        <v>0.24</v>
      </c>
      <c r="AL13" s="586"/>
      <c r="AM13" s="570">
        <f>AK13*AM11</f>
        <v>29697.612000000001</v>
      </c>
      <c r="AO13" s="557" t="s">
        <v>151</v>
      </c>
      <c r="AP13" s="565">
        <f>+H6</f>
        <v>35000</v>
      </c>
      <c r="AQ13" s="562">
        <f>+H23</f>
        <v>0.2</v>
      </c>
      <c r="AS13" s="563">
        <f t="shared" si="4"/>
        <v>7000</v>
      </c>
    </row>
    <row r="14" spans="1:45" ht="30.75" customHeight="1" x14ac:dyDescent="0.3">
      <c r="A14" s="1547" t="s">
        <v>166</v>
      </c>
      <c r="B14" s="1547"/>
      <c r="C14" s="581">
        <v>0</v>
      </c>
      <c r="D14" s="581">
        <v>0</v>
      </c>
      <c r="E14" s="566">
        <v>35000</v>
      </c>
      <c r="F14" s="581">
        <v>0</v>
      </c>
      <c r="G14" s="581">
        <v>0</v>
      </c>
      <c r="H14" s="581">
        <v>0</v>
      </c>
      <c r="I14" s="546" t="s">
        <v>142</v>
      </c>
      <c r="K14" s="549" t="s">
        <v>171</v>
      </c>
      <c r="L14" s="588"/>
      <c r="M14" s="551">
        <f>SUM(M7:M13)</f>
        <v>10.71</v>
      </c>
      <c r="N14" s="516"/>
      <c r="O14" s="589">
        <f>SUM(O7:O13)</f>
        <v>403872.01</v>
      </c>
      <c r="Q14" s="571"/>
      <c r="R14" s="548"/>
      <c r="S14" s="548"/>
      <c r="T14" s="548"/>
      <c r="U14" s="590"/>
      <c r="W14" s="585" t="s">
        <v>174</v>
      </c>
      <c r="X14" s="586"/>
      <c r="Y14" s="587">
        <f>+C55</f>
        <v>0.24</v>
      </c>
      <c r="Z14" s="586"/>
      <c r="AA14" s="570">
        <f>Y14*AA12</f>
        <v>85223.608800000002</v>
      </c>
      <c r="AC14" s="553" t="s">
        <v>58</v>
      </c>
      <c r="AD14" s="576"/>
      <c r="AE14" s="576"/>
      <c r="AF14" s="576"/>
      <c r="AG14" s="577">
        <f>AG11+AG13</f>
        <v>120355.64</v>
      </c>
      <c r="AI14" s="553" t="s">
        <v>58</v>
      </c>
      <c r="AJ14" s="576"/>
      <c r="AK14" s="576"/>
      <c r="AL14" s="576"/>
      <c r="AM14" s="577">
        <f>AM11+AM13</f>
        <v>153437.66200000001</v>
      </c>
      <c r="AO14" s="557" t="s">
        <v>159</v>
      </c>
      <c r="AP14" s="565">
        <f>+H8</f>
        <v>35000</v>
      </c>
      <c r="AQ14" s="562">
        <f>+H25</f>
        <v>5.26</v>
      </c>
      <c r="AS14" s="563">
        <f t="shared" si="4"/>
        <v>184100</v>
      </c>
    </row>
    <row r="15" spans="1:45" ht="29.25" customHeight="1" x14ac:dyDescent="0.3">
      <c r="A15" s="1547" t="s">
        <v>161</v>
      </c>
      <c r="B15" s="1547"/>
      <c r="C15" s="581">
        <v>0</v>
      </c>
      <c r="D15" s="581">
        <v>0</v>
      </c>
      <c r="E15" s="581">
        <v>0</v>
      </c>
      <c r="F15" s="566">
        <v>35000</v>
      </c>
      <c r="G15" s="581">
        <v>0</v>
      </c>
      <c r="H15" s="579">
        <v>35000</v>
      </c>
      <c r="I15" s="546" t="s">
        <v>142</v>
      </c>
      <c r="K15" s="571"/>
      <c r="L15" s="548"/>
      <c r="M15" s="548"/>
      <c r="N15" s="548"/>
      <c r="O15" s="591"/>
      <c r="Q15" s="571"/>
      <c r="R15" s="548"/>
      <c r="S15" s="548"/>
      <c r="T15" s="548"/>
      <c r="U15" s="590"/>
      <c r="W15" s="553" t="s">
        <v>58</v>
      </c>
      <c r="X15" s="588"/>
      <c r="Y15" s="588"/>
      <c r="Z15" s="588"/>
      <c r="AA15" s="577">
        <f>AA12+AA14</f>
        <v>440321.97879999998</v>
      </c>
      <c r="AC15" s="571"/>
      <c r="AD15" s="548"/>
      <c r="AE15" s="548"/>
      <c r="AF15" s="548"/>
      <c r="AG15" s="573"/>
      <c r="AH15" s="592"/>
      <c r="AI15" s="571"/>
      <c r="AJ15" s="548"/>
      <c r="AK15" s="548"/>
      <c r="AL15" s="548"/>
      <c r="AM15" s="574"/>
      <c r="AO15" s="567" t="s">
        <v>28</v>
      </c>
      <c r="AP15" s="593">
        <f>+H9</f>
        <v>29821</v>
      </c>
      <c r="AQ15" s="569">
        <f>+H26</f>
        <v>0.36</v>
      </c>
      <c r="AS15" s="570">
        <f t="shared" si="4"/>
        <v>10735.56</v>
      </c>
    </row>
    <row r="16" spans="1:45" ht="29.25" customHeight="1" x14ac:dyDescent="0.3">
      <c r="A16" s="1547" t="s">
        <v>163</v>
      </c>
      <c r="B16" s="1547"/>
      <c r="C16" s="581">
        <v>0</v>
      </c>
      <c r="D16" s="581">
        <v>0</v>
      </c>
      <c r="E16" s="581">
        <v>0</v>
      </c>
      <c r="F16" s="581">
        <v>0</v>
      </c>
      <c r="G16" s="579">
        <v>50000</v>
      </c>
      <c r="H16" s="581">
        <v>0</v>
      </c>
      <c r="I16" s="546" t="s">
        <v>142</v>
      </c>
      <c r="K16" s="571"/>
      <c r="L16" s="548"/>
      <c r="N16" s="548"/>
      <c r="O16" s="591"/>
      <c r="Q16" s="571" t="s">
        <v>174</v>
      </c>
      <c r="R16" s="548"/>
      <c r="S16" s="594">
        <f>+C55</f>
        <v>0.24</v>
      </c>
      <c r="T16" s="548"/>
      <c r="U16" s="563">
        <f>S16*U13</f>
        <v>190229.84399999998</v>
      </c>
      <c r="W16" s="571"/>
      <c r="X16" s="548"/>
      <c r="Y16" s="548"/>
      <c r="Z16" s="548"/>
      <c r="AA16" s="574"/>
      <c r="AC16" s="571" t="s">
        <v>175</v>
      </c>
      <c r="AD16" s="595">
        <f>+F39</f>
        <v>4033.4782608695655</v>
      </c>
      <c r="AG16" s="596">
        <f>+F42</f>
        <v>9478.6739130434798</v>
      </c>
      <c r="AH16" s="592"/>
      <c r="AI16" s="571" t="s">
        <v>175</v>
      </c>
      <c r="AJ16" s="595">
        <f>ROUND(G39,0)</f>
        <v>4033</v>
      </c>
      <c r="AK16" s="548"/>
      <c r="AL16" s="548"/>
      <c r="AM16" s="597">
        <f>+G42</f>
        <v>10687.449999999999</v>
      </c>
      <c r="AO16" s="553" t="s">
        <v>171</v>
      </c>
      <c r="AP16" s="576"/>
      <c r="AQ16" s="551">
        <f>SUM(AQ7:AQ15)</f>
        <v>11.419999999999998</v>
      </c>
      <c r="AR16" s="516"/>
      <c r="AS16" s="577">
        <f>SUM(AS7:AS15)</f>
        <v>486972.86999999994</v>
      </c>
    </row>
    <row r="17" spans="1:46" ht="27.75" customHeight="1" x14ac:dyDescent="0.25">
      <c r="A17" s="1547" t="s">
        <v>168</v>
      </c>
      <c r="B17" s="1547"/>
      <c r="C17" s="581">
        <v>0</v>
      </c>
      <c r="D17" s="581">
        <v>0</v>
      </c>
      <c r="E17" s="581">
        <v>0</v>
      </c>
      <c r="F17" s="581">
        <v>0</v>
      </c>
      <c r="G17" s="581">
        <v>0</v>
      </c>
      <c r="H17" s="579">
        <v>64674</v>
      </c>
      <c r="I17" s="546" t="s">
        <v>142</v>
      </c>
      <c r="K17" s="585" t="s">
        <v>174</v>
      </c>
      <c r="L17" s="548"/>
      <c r="M17" s="598">
        <f>+C55</f>
        <v>0.24</v>
      </c>
      <c r="N17" s="599"/>
      <c r="O17" s="597">
        <f>M17*O14</f>
        <v>96929.282399999996</v>
      </c>
      <c r="Q17" s="600" t="s">
        <v>58</v>
      </c>
      <c r="R17" s="588"/>
      <c r="S17" s="588"/>
      <c r="T17" s="588"/>
      <c r="U17" s="577">
        <f>U13+U16</f>
        <v>982854.1939999999</v>
      </c>
      <c r="W17" s="571" t="s">
        <v>175</v>
      </c>
      <c r="X17" s="548"/>
      <c r="Y17" s="548"/>
      <c r="Z17" s="548"/>
      <c r="AA17" s="601">
        <f>+E42</f>
        <v>89807</v>
      </c>
      <c r="AC17" s="571"/>
      <c r="AD17" s="573" t="s">
        <v>176</v>
      </c>
      <c r="AH17" s="592"/>
      <c r="AI17" s="571"/>
      <c r="AJ17" s="573" t="s">
        <v>176</v>
      </c>
      <c r="AK17" s="548"/>
      <c r="AL17" s="548"/>
      <c r="AM17" s="597"/>
      <c r="AO17" s="571"/>
      <c r="AP17" s="572"/>
      <c r="AQ17" s="548"/>
      <c r="AR17" s="548"/>
      <c r="AS17" s="602"/>
    </row>
    <row r="18" spans="1:46" ht="26.25" customHeight="1" x14ac:dyDescent="0.25">
      <c r="A18" s="1547" t="s">
        <v>172</v>
      </c>
      <c r="B18" s="1547"/>
      <c r="C18" s="581">
        <v>0</v>
      </c>
      <c r="D18" s="581">
        <v>0</v>
      </c>
      <c r="E18" s="581">
        <v>0</v>
      </c>
      <c r="F18" s="581">
        <v>0</v>
      </c>
      <c r="G18" s="581">
        <v>0</v>
      </c>
      <c r="H18" s="579">
        <v>33409</v>
      </c>
      <c r="I18" s="546" t="s">
        <v>142</v>
      </c>
      <c r="K18" s="549" t="s">
        <v>58</v>
      </c>
      <c r="L18" s="588"/>
      <c r="M18" s="588"/>
      <c r="N18" s="588"/>
      <c r="O18" s="589">
        <f>O17+O14</f>
        <v>500801.29240000003</v>
      </c>
      <c r="Q18" s="571"/>
      <c r="R18" s="548"/>
      <c r="S18" s="548"/>
      <c r="T18" s="548"/>
      <c r="U18" s="590"/>
      <c r="W18" s="571" t="s">
        <v>177</v>
      </c>
      <c r="X18" s="548"/>
      <c r="Y18" s="548"/>
      <c r="Z18" s="548"/>
      <c r="AA18" s="601">
        <f>+E49</f>
        <v>287062</v>
      </c>
      <c r="AC18" s="571"/>
      <c r="AD18" s="548"/>
      <c r="AE18" s="548"/>
      <c r="AF18" s="548"/>
      <c r="AG18" s="573"/>
      <c r="AH18" s="592"/>
      <c r="AI18" s="571" t="s">
        <v>178</v>
      </c>
      <c r="AJ18" s="548"/>
      <c r="AK18" s="548"/>
      <c r="AL18" s="548"/>
      <c r="AM18" s="597">
        <f>+G44</f>
        <v>1304</v>
      </c>
      <c r="AO18" s="585" t="s">
        <v>174</v>
      </c>
      <c r="AP18" s="603"/>
      <c r="AQ18" s="587">
        <f>+C55</f>
        <v>0.24</v>
      </c>
      <c r="AR18" s="586"/>
      <c r="AS18" s="570">
        <f>AQ18*AS16</f>
        <v>116873.48879999998</v>
      </c>
    </row>
    <row r="19" spans="1:46" x14ac:dyDescent="0.25">
      <c r="A19" s="1566" t="s">
        <v>179</v>
      </c>
      <c r="B19" s="1567"/>
      <c r="C19" s="604">
        <v>1</v>
      </c>
      <c r="D19" s="604">
        <v>2</v>
      </c>
      <c r="E19" s="604">
        <v>3</v>
      </c>
      <c r="F19" s="604">
        <v>4</v>
      </c>
      <c r="G19" s="604">
        <v>5</v>
      </c>
      <c r="H19" s="604">
        <v>6</v>
      </c>
      <c r="I19" s="543"/>
      <c r="K19" s="571"/>
      <c r="L19" s="548"/>
      <c r="M19" s="548"/>
      <c r="N19" s="548"/>
      <c r="O19" s="597"/>
      <c r="Q19" s="571"/>
      <c r="R19" s="548"/>
      <c r="S19" s="548"/>
      <c r="T19" s="548"/>
      <c r="U19" s="590"/>
      <c r="W19" s="571" t="s">
        <v>180</v>
      </c>
      <c r="X19" s="548"/>
      <c r="Y19" s="548"/>
      <c r="Z19" s="548"/>
      <c r="AA19" s="601">
        <f>+E47</f>
        <v>12301</v>
      </c>
      <c r="AC19" s="571" t="s">
        <v>181</v>
      </c>
      <c r="AD19" s="605">
        <f>+F40</f>
        <v>0.2</v>
      </c>
      <c r="AG19" s="596">
        <f>+F43</f>
        <v>19412.2</v>
      </c>
      <c r="AH19" s="592"/>
      <c r="AI19" s="571" t="s">
        <v>182</v>
      </c>
      <c r="AJ19" s="548"/>
      <c r="AK19" s="548"/>
      <c r="AL19" s="548"/>
      <c r="AM19" s="606">
        <f>+G50</f>
        <v>481</v>
      </c>
      <c r="AO19" s="553" t="s">
        <v>58</v>
      </c>
      <c r="AP19" s="578"/>
      <c r="AQ19" s="576"/>
      <c r="AR19" s="576"/>
      <c r="AS19" s="577">
        <f>AS16+AS18</f>
        <v>603846.35879999993</v>
      </c>
    </row>
    <row r="20" spans="1:46" x14ac:dyDescent="0.25">
      <c r="A20" s="1568" t="s">
        <v>29</v>
      </c>
      <c r="B20" s="1568"/>
      <c r="C20" s="607">
        <v>0.82</v>
      </c>
      <c r="D20" s="608">
        <v>0.63</v>
      </c>
      <c r="E20" s="608">
        <v>3.88</v>
      </c>
      <c r="F20" s="608">
        <v>0.5</v>
      </c>
      <c r="G20" s="609">
        <v>0</v>
      </c>
      <c r="H20" s="608">
        <v>0.19</v>
      </c>
      <c r="I20" s="610" t="s">
        <v>183</v>
      </c>
      <c r="K20" s="571"/>
      <c r="L20" s="548"/>
      <c r="M20" s="548"/>
      <c r="N20" s="548"/>
      <c r="O20" s="597"/>
      <c r="Q20" s="571" t="s">
        <v>175</v>
      </c>
      <c r="R20" s="548"/>
      <c r="S20" s="548"/>
      <c r="T20" s="548"/>
      <c r="U20" s="597">
        <f>+D42</f>
        <v>119672</v>
      </c>
      <c r="W20" s="571" t="s">
        <v>184</v>
      </c>
      <c r="X20" s="548"/>
      <c r="Y20" s="548"/>
      <c r="Z20" s="548"/>
      <c r="AA20" s="601">
        <f>+E52</f>
        <v>162338</v>
      </c>
      <c r="AC20" s="571"/>
      <c r="AD20" t="s">
        <v>185</v>
      </c>
      <c r="AH20" s="592"/>
      <c r="AI20" s="571" t="s">
        <v>186</v>
      </c>
      <c r="AJ20" s="548"/>
      <c r="AK20" s="548"/>
      <c r="AL20" s="548"/>
      <c r="AM20" s="606">
        <f>+G46</f>
        <v>280</v>
      </c>
      <c r="AO20" s="571"/>
      <c r="AP20" s="572"/>
      <c r="AQ20" s="548"/>
      <c r="AR20" s="548"/>
      <c r="AS20" s="602"/>
    </row>
    <row r="21" spans="1:46" ht="21.75" customHeight="1" x14ac:dyDescent="0.25">
      <c r="A21" s="1569" t="s">
        <v>143</v>
      </c>
      <c r="B21" s="1569"/>
      <c r="C21" s="607">
        <v>0.8</v>
      </c>
      <c r="D21" s="608">
        <v>1.04</v>
      </c>
      <c r="E21" s="609">
        <v>0</v>
      </c>
      <c r="F21" s="609">
        <v>0</v>
      </c>
      <c r="G21" s="609">
        <v>0</v>
      </c>
      <c r="H21" s="608">
        <v>0.62</v>
      </c>
      <c r="I21" s="610" t="s">
        <v>183</v>
      </c>
      <c r="K21" s="571" t="s">
        <v>175</v>
      </c>
      <c r="L21" s="548"/>
      <c r="M21" s="548"/>
      <c r="N21" s="548"/>
      <c r="O21" s="597">
        <f>+C42</f>
        <v>47080.896302438894</v>
      </c>
      <c r="Q21" s="571" t="s">
        <v>186</v>
      </c>
      <c r="R21" s="548"/>
      <c r="S21" s="548"/>
      <c r="T21" s="548"/>
      <c r="U21" s="597">
        <f>+D46</f>
        <v>85995</v>
      </c>
      <c r="W21" s="571" t="s">
        <v>178</v>
      </c>
      <c r="X21" s="595">
        <f>+E37</f>
        <v>7763.5782747603826</v>
      </c>
      <c r="AA21" s="611">
        <f>+E44</f>
        <v>24299.999999999996</v>
      </c>
      <c r="AB21" s="592"/>
      <c r="AC21" s="571"/>
      <c r="AD21" s="548"/>
      <c r="AE21" s="548"/>
      <c r="AF21" s="548"/>
      <c r="AG21" s="573"/>
      <c r="AH21" s="592"/>
      <c r="AI21" s="571" t="s">
        <v>187</v>
      </c>
      <c r="AJ21" s="548"/>
      <c r="AK21" s="548"/>
      <c r="AL21" s="548"/>
      <c r="AM21" s="597">
        <f>+G51</f>
        <v>4657</v>
      </c>
      <c r="AO21" s="571" t="s">
        <v>175</v>
      </c>
      <c r="AP21" s="595">
        <f>+H39</f>
        <v>884.23817863397562</v>
      </c>
      <c r="AS21" s="612">
        <f>+H42</f>
        <v>10098.000243999999</v>
      </c>
      <c r="AT21" s="8"/>
    </row>
    <row r="22" spans="1:46" ht="21" customHeight="1" x14ac:dyDescent="0.25">
      <c r="A22" s="1568" t="s">
        <v>144</v>
      </c>
      <c r="B22" s="1568"/>
      <c r="C22" s="607">
        <v>0.54</v>
      </c>
      <c r="D22" s="608">
        <v>4.1900000000000004</v>
      </c>
      <c r="E22" s="609">
        <v>0</v>
      </c>
      <c r="F22" s="609">
        <v>0</v>
      </c>
      <c r="G22" s="608">
        <v>0.6</v>
      </c>
      <c r="H22" s="609">
        <v>0</v>
      </c>
      <c r="I22" s="610" t="s">
        <v>183</v>
      </c>
      <c r="K22" s="571" t="s">
        <v>188</v>
      </c>
      <c r="L22" s="548"/>
      <c r="M22" s="548"/>
      <c r="N22" s="548"/>
      <c r="O22" s="597">
        <f>+C43</f>
        <v>40387</v>
      </c>
      <c r="Q22" s="571" t="s">
        <v>189</v>
      </c>
      <c r="R22" s="548"/>
      <c r="S22" s="548"/>
      <c r="T22" s="548"/>
      <c r="U22" s="597">
        <f>+D47</f>
        <v>17831</v>
      </c>
      <c r="W22" s="571"/>
      <c r="X22" t="s">
        <v>190</v>
      </c>
      <c r="AB22" s="592"/>
      <c r="AC22" s="585"/>
      <c r="AD22" s="586"/>
      <c r="AE22" s="586"/>
      <c r="AF22" s="586"/>
      <c r="AG22" s="613"/>
      <c r="AI22" s="585"/>
      <c r="AJ22" s="586"/>
      <c r="AK22" s="586"/>
      <c r="AL22" s="586"/>
      <c r="AM22" s="613"/>
      <c r="AO22" s="571"/>
      <c r="AP22" t="s">
        <v>176</v>
      </c>
      <c r="AS22" s="614"/>
      <c r="AT22" s="8"/>
    </row>
    <row r="23" spans="1:46" ht="21.75" customHeight="1" x14ac:dyDescent="0.25">
      <c r="A23" s="1570" t="s">
        <v>151</v>
      </c>
      <c r="B23" s="1570"/>
      <c r="C23" s="607">
        <v>3</v>
      </c>
      <c r="D23" s="609">
        <v>0</v>
      </c>
      <c r="E23" s="609">
        <v>0</v>
      </c>
      <c r="F23" s="609">
        <v>0</v>
      </c>
      <c r="G23" s="609">
        <v>0</v>
      </c>
      <c r="H23" s="608">
        <v>0.2</v>
      </c>
      <c r="I23" s="610" t="s">
        <v>183</v>
      </c>
      <c r="K23" s="615" t="s">
        <v>191</v>
      </c>
      <c r="L23" s="595">
        <f>+C37</f>
        <v>2589.0410958904108</v>
      </c>
      <c r="M23" s="548"/>
      <c r="N23" s="548"/>
      <c r="O23" s="597">
        <f>+C44</f>
        <v>22680</v>
      </c>
      <c r="Q23" s="571" t="s">
        <v>192</v>
      </c>
      <c r="R23" s="548"/>
      <c r="S23" s="548"/>
      <c r="T23" s="548"/>
      <c r="U23" s="597">
        <f>+D48</f>
        <v>107862</v>
      </c>
      <c r="W23" s="571" t="s">
        <v>193</v>
      </c>
      <c r="X23" s="548"/>
      <c r="Y23" s="548"/>
      <c r="Z23" s="548"/>
      <c r="AA23" s="601">
        <f>+E53</f>
        <v>3600</v>
      </c>
      <c r="AC23" s="553" t="s">
        <v>194</v>
      </c>
      <c r="AD23" s="588"/>
      <c r="AE23" s="588"/>
      <c r="AF23" s="616"/>
      <c r="AG23" s="617">
        <f>SUM(AG14:AG19)</f>
        <v>149246.51391304348</v>
      </c>
      <c r="AI23" s="553" t="s">
        <v>194</v>
      </c>
      <c r="AJ23" s="588"/>
      <c r="AK23" s="588"/>
      <c r="AL23" s="616"/>
      <c r="AM23" s="617">
        <f>SUM(AM14:AM21)</f>
        <v>170847.11200000002</v>
      </c>
      <c r="AO23" s="571" t="s">
        <v>184</v>
      </c>
      <c r="AP23" s="548"/>
      <c r="AQ23" s="548"/>
      <c r="AR23" s="548"/>
      <c r="AS23" s="597">
        <f>+H52</f>
        <v>59983</v>
      </c>
    </row>
    <row r="24" spans="1:46" ht="24" customHeight="1" x14ac:dyDescent="0.25">
      <c r="A24" s="1569" t="s">
        <v>155</v>
      </c>
      <c r="B24" s="1569"/>
      <c r="C24" s="607">
        <v>4.3</v>
      </c>
      <c r="D24" s="609">
        <v>0</v>
      </c>
      <c r="E24" s="609">
        <v>0</v>
      </c>
      <c r="F24" s="609">
        <v>0</v>
      </c>
      <c r="G24" s="609">
        <v>0</v>
      </c>
      <c r="H24" s="609">
        <v>0</v>
      </c>
      <c r="I24" s="610" t="s">
        <v>183</v>
      </c>
      <c r="K24" s="571"/>
      <c r="L24" s="618" t="s">
        <v>195</v>
      </c>
      <c r="M24" s="548"/>
      <c r="N24" s="548"/>
      <c r="O24" s="597"/>
      <c r="Q24" s="571" t="s">
        <v>196</v>
      </c>
      <c r="R24" s="595">
        <f>+D37</f>
        <v>1950.4581901489116</v>
      </c>
      <c r="U24" s="612">
        <f>+D44</f>
        <v>34055</v>
      </c>
      <c r="V24" s="592"/>
      <c r="W24" s="571" t="s">
        <v>182</v>
      </c>
      <c r="X24" s="548"/>
      <c r="Y24" s="548"/>
      <c r="Z24" s="548"/>
      <c r="AA24" s="619">
        <f>+E50</f>
        <v>40395</v>
      </c>
      <c r="AC24" s="571"/>
      <c r="AD24" s="548"/>
      <c r="AE24" s="548"/>
      <c r="AF24" s="548"/>
      <c r="AG24" s="574"/>
      <c r="AI24" s="571"/>
      <c r="AJ24" s="548"/>
      <c r="AK24" s="548"/>
      <c r="AL24" s="548"/>
      <c r="AM24" s="574"/>
      <c r="AO24" s="571" t="s">
        <v>197</v>
      </c>
      <c r="AP24" s="595">
        <f>+H37</f>
        <v>1255.6577736890524</v>
      </c>
      <c r="AS24" s="612">
        <f>+H47</f>
        <v>13649.000000000002</v>
      </c>
      <c r="AT24" s="8"/>
    </row>
    <row r="25" spans="1:46" x14ac:dyDescent="0.25">
      <c r="A25" s="1569" t="s">
        <v>159</v>
      </c>
      <c r="B25" s="1569"/>
      <c r="C25" s="607">
        <v>0.66</v>
      </c>
      <c r="D25" s="620">
        <v>0</v>
      </c>
      <c r="E25" s="620">
        <v>0</v>
      </c>
      <c r="F25" s="620">
        <v>0</v>
      </c>
      <c r="G25" s="620">
        <v>0</v>
      </c>
      <c r="H25" s="608">
        <v>5.26</v>
      </c>
      <c r="I25" s="610" t="s">
        <v>183</v>
      </c>
      <c r="K25" s="621" t="s">
        <v>198</v>
      </c>
      <c r="L25" s="595">
        <f>+C38</f>
        <v>2622</v>
      </c>
      <c r="M25" s="145"/>
      <c r="N25" s="548"/>
      <c r="O25" s="597">
        <f>+C45</f>
        <v>20871.12</v>
      </c>
      <c r="Q25" s="571"/>
      <c r="R25" t="s">
        <v>199</v>
      </c>
      <c r="U25" s="612"/>
      <c r="V25" s="592"/>
      <c r="W25" s="571" t="s">
        <v>186</v>
      </c>
      <c r="X25" s="548"/>
      <c r="Y25" s="548"/>
      <c r="Z25" s="548"/>
      <c r="AA25" s="601">
        <f>+E46</f>
        <v>50794</v>
      </c>
      <c r="AC25" s="571"/>
      <c r="AD25" s="548"/>
      <c r="AE25" s="548"/>
      <c r="AF25" s="548"/>
      <c r="AG25" s="574"/>
      <c r="AI25" s="571" t="s">
        <v>200</v>
      </c>
      <c r="AJ25" s="594">
        <f>+C56</f>
        <v>0.12</v>
      </c>
      <c r="AK25" s="548"/>
      <c r="AL25" s="548"/>
      <c r="AM25" s="563">
        <f>AJ25*AM23</f>
        <v>20501.653440000002</v>
      </c>
      <c r="AO25" s="571"/>
      <c r="AP25" t="s">
        <v>201</v>
      </c>
      <c r="AS25" s="614"/>
      <c r="AT25" s="8"/>
    </row>
    <row r="26" spans="1:46" x14ac:dyDescent="0.25">
      <c r="A26" s="1569" t="s">
        <v>28</v>
      </c>
      <c r="B26" s="1569"/>
      <c r="C26" s="607">
        <v>0.59</v>
      </c>
      <c r="D26" s="608">
        <v>1.08</v>
      </c>
      <c r="E26" s="608">
        <v>2.74</v>
      </c>
      <c r="F26" s="608">
        <v>0.5</v>
      </c>
      <c r="G26" s="620">
        <v>0</v>
      </c>
      <c r="H26" s="608">
        <v>0.36</v>
      </c>
      <c r="I26" s="610" t="s">
        <v>183</v>
      </c>
      <c r="K26" s="585"/>
      <c r="L26" s="145" t="s">
        <v>202</v>
      </c>
      <c r="M26" s="548"/>
      <c r="N26" s="548"/>
      <c r="O26" s="597"/>
      <c r="Q26" s="622" t="s">
        <v>198</v>
      </c>
      <c r="R26" s="595">
        <f>+D38</f>
        <v>2622.0895999999998</v>
      </c>
      <c r="U26" s="612">
        <f>+D45</f>
        <v>32068.155808</v>
      </c>
      <c r="V26" s="592"/>
      <c r="W26" s="571" t="s">
        <v>203</v>
      </c>
      <c r="X26" s="548"/>
      <c r="Y26" s="548"/>
      <c r="Z26" s="548"/>
      <c r="AA26" s="619">
        <f>+E43</f>
        <v>51200</v>
      </c>
      <c r="AC26" s="571" t="s">
        <v>204</v>
      </c>
      <c r="AD26" s="594">
        <f>+C56</f>
        <v>0.12</v>
      </c>
      <c r="AE26" s="548"/>
      <c r="AF26" s="548"/>
      <c r="AG26" s="563">
        <f>AD26*AG23</f>
        <v>17909.581669565217</v>
      </c>
      <c r="AI26" s="571"/>
      <c r="AJ26" s="573"/>
      <c r="AK26" s="548"/>
      <c r="AL26" s="548"/>
      <c r="AM26" s="574"/>
      <c r="AO26" s="571" t="s">
        <v>203</v>
      </c>
      <c r="AP26" s="595">
        <f>+H40</f>
        <v>1549.4575045207957</v>
      </c>
      <c r="AS26" s="612">
        <f>+H43</f>
        <v>17137</v>
      </c>
      <c r="AT26" s="8"/>
    </row>
    <row r="27" spans="1:46" x14ac:dyDescent="0.25">
      <c r="A27" s="1571" t="s">
        <v>165</v>
      </c>
      <c r="B27" s="1571"/>
      <c r="C27" s="607">
        <v>0</v>
      </c>
      <c r="D27" s="608">
        <v>5.95</v>
      </c>
      <c r="E27" s="620">
        <v>0</v>
      </c>
      <c r="F27" s="620">
        <v>0</v>
      </c>
      <c r="G27" s="620">
        <v>0</v>
      </c>
      <c r="H27" s="620">
        <v>0</v>
      </c>
      <c r="I27" s="610" t="s">
        <v>183</v>
      </c>
      <c r="K27" s="623" t="s">
        <v>205</v>
      </c>
      <c r="L27" s="588"/>
      <c r="M27" s="588"/>
      <c r="N27" s="624"/>
      <c r="O27" s="625">
        <f>SUM(O18:O25)</f>
        <v>631820.30870243895</v>
      </c>
      <c r="Q27" s="571"/>
      <c r="R27" t="s">
        <v>206</v>
      </c>
      <c r="V27" s="592"/>
      <c r="W27" s="571"/>
      <c r="X27" s="548"/>
      <c r="Y27" s="548"/>
      <c r="Z27" s="548"/>
      <c r="AA27" s="601"/>
      <c r="AC27" s="571"/>
      <c r="AD27" s="573"/>
      <c r="AE27" s="548"/>
      <c r="AF27" s="548"/>
      <c r="AG27" s="574"/>
      <c r="AI27" s="571" t="s">
        <v>207</v>
      </c>
      <c r="AJ27" s="573"/>
      <c r="AK27" s="548"/>
      <c r="AL27" s="548"/>
      <c r="AM27" s="563">
        <f>AM23+AM25</f>
        <v>191348.76544000002</v>
      </c>
      <c r="AO27" s="571"/>
      <c r="AP27" t="s">
        <v>208</v>
      </c>
      <c r="AS27" s="614"/>
      <c r="AT27" s="8"/>
    </row>
    <row r="28" spans="1:46" ht="22.5" customHeight="1" x14ac:dyDescent="0.25">
      <c r="A28" s="1571" t="s">
        <v>169</v>
      </c>
      <c r="B28" s="1571"/>
      <c r="C28" s="607">
        <v>0</v>
      </c>
      <c r="D28" s="608">
        <v>6.28</v>
      </c>
      <c r="E28" s="620">
        <v>0</v>
      </c>
      <c r="F28" s="620">
        <v>0</v>
      </c>
      <c r="G28" s="620">
        <v>0</v>
      </c>
      <c r="H28" s="620">
        <v>0</v>
      </c>
      <c r="I28" s="610" t="s">
        <v>183</v>
      </c>
      <c r="K28" s="571"/>
      <c r="L28" s="548"/>
      <c r="M28" s="548"/>
      <c r="N28" s="548"/>
      <c r="O28" s="597"/>
      <c r="Q28" s="553" t="s">
        <v>205</v>
      </c>
      <c r="R28" s="588"/>
      <c r="S28" s="588"/>
      <c r="T28" s="588"/>
      <c r="U28" s="617">
        <f>SUM(U17:U26)</f>
        <v>1380337.3498079998</v>
      </c>
      <c r="W28" s="571" t="s">
        <v>209</v>
      </c>
      <c r="X28" s="548"/>
      <c r="Y28" s="548"/>
      <c r="Z28" s="548"/>
      <c r="AA28" s="619">
        <f>+E45</f>
        <v>308197</v>
      </c>
      <c r="AC28" s="571" t="s">
        <v>207</v>
      </c>
      <c r="AD28" s="573"/>
      <c r="AE28" s="548"/>
      <c r="AF28" s="548"/>
      <c r="AG28" s="563">
        <f>AG23+AG26</f>
        <v>167156.09558260872</v>
      </c>
      <c r="AI28" s="571" t="s">
        <v>210</v>
      </c>
      <c r="AJ28" s="626">
        <f>+ROUND(C57,4)</f>
        <v>3.9300000000000002E-2</v>
      </c>
      <c r="AK28" s="548"/>
      <c r="AL28" s="548"/>
      <c r="AM28" s="563">
        <f>AJ28*AM27</f>
        <v>7520.0064817920011</v>
      </c>
      <c r="AO28" s="571" t="s">
        <v>209</v>
      </c>
      <c r="AP28" s="595">
        <f>+H38</f>
        <v>1417.0212765957447</v>
      </c>
      <c r="AQ28" s="548"/>
      <c r="AR28" s="548"/>
      <c r="AS28" s="597">
        <f>+H45</f>
        <v>9324</v>
      </c>
    </row>
    <row r="29" spans="1:46" ht="22.5" customHeight="1" x14ac:dyDescent="0.25">
      <c r="A29" s="1568" t="s">
        <v>160</v>
      </c>
      <c r="B29" s="1568"/>
      <c r="C29" s="607">
        <v>0</v>
      </c>
      <c r="D29" s="620">
        <v>0</v>
      </c>
      <c r="E29" s="608">
        <v>0.95</v>
      </c>
      <c r="F29" s="620">
        <v>0</v>
      </c>
      <c r="G29" s="608">
        <v>0.05</v>
      </c>
      <c r="H29" s="608">
        <v>3.67</v>
      </c>
      <c r="I29" s="610" t="s">
        <v>183</v>
      </c>
      <c r="K29" s="56" t="s">
        <v>200</v>
      </c>
      <c r="L29" s="627">
        <f>+C56</f>
        <v>0.12</v>
      </c>
      <c r="M29" s="548"/>
      <c r="N29" s="548"/>
      <c r="O29" s="597">
        <f>L29*O27</f>
        <v>75818.437044292674</v>
      </c>
      <c r="Q29" s="571"/>
      <c r="R29" s="548"/>
      <c r="S29" s="548"/>
      <c r="T29" s="548"/>
      <c r="U29" s="590"/>
      <c r="W29" s="585"/>
      <c r="X29" s="586"/>
      <c r="Y29" s="586"/>
      <c r="Z29" s="586"/>
      <c r="AA29" s="613"/>
      <c r="AC29" s="571" t="s">
        <v>210</v>
      </c>
      <c r="AD29" s="626">
        <f>+ROUND(C57,4)</f>
        <v>3.9300000000000002E-2</v>
      </c>
      <c r="AE29" s="548"/>
      <c r="AF29" s="548"/>
      <c r="AG29" s="563">
        <f>AD29*AG28</f>
        <v>6569.2345563965227</v>
      </c>
      <c r="AI29" s="585"/>
      <c r="AJ29" s="586"/>
      <c r="AK29" s="586"/>
      <c r="AL29" s="586"/>
      <c r="AM29" s="613"/>
      <c r="AO29" s="571"/>
      <c r="AP29" s="548" t="s">
        <v>211</v>
      </c>
      <c r="AQ29" s="548"/>
      <c r="AR29" s="548"/>
      <c r="AS29" s="590"/>
    </row>
    <row r="30" spans="1:46" ht="20.25" customHeight="1" x14ac:dyDescent="0.25">
      <c r="A30" s="1547" t="s">
        <v>162</v>
      </c>
      <c r="B30" s="1547"/>
      <c r="C30" s="607">
        <v>0</v>
      </c>
      <c r="D30" s="620">
        <v>0</v>
      </c>
      <c r="E30" s="608">
        <v>0.16</v>
      </c>
      <c r="F30" s="608">
        <v>0.5</v>
      </c>
      <c r="G30" s="620">
        <v>0</v>
      </c>
      <c r="H30" s="620">
        <v>0</v>
      </c>
      <c r="I30" s="610" t="s">
        <v>183</v>
      </c>
      <c r="K30" s="571"/>
      <c r="L30" s="548"/>
      <c r="M30" s="548"/>
      <c r="N30" s="548"/>
      <c r="O30" s="597"/>
      <c r="Q30" s="56" t="s">
        <v>200</v>
      </c>
      <c r="R30" s="594">
        <f>+C56</f>
        <v>0.12</v>
      </c>
      <c r="S30" s="548"/>
      <c r="T30" s="548"/>
      <c r="U30" s="597">
        <f>R30*U28</f>
        <v>165640.48197695997</v>
      </c>
      <c r="W30" s="553" t="s">
        <v>205</v>
      </c>
      <c r="X30" s="588"/>
      <c r="Y30" s="588"/>
      <c r="Z30" s="588"/>
      <c r="AA30" s="617">
        <f>SUM(AA15:AA28)</f>
        <v>1470315.9787999999</v>
      </c>
      <c r="AC30" s="585"/>
      <c r="AD30" s="586"/>
      <c r="AE30" s="586"/>
      <c r="AF30" s="586"/>
      <c r="AG30" s="613"/>
      <c r="AI30" s="553" t="s">
        <v>212</v>
      </c>
      <c r="AJ30" s="588"/>
      <c r="AK30" s="588"/>
      <c r="AL30" s="588"/>
      <c r="AM30" s="617">
        <f>SUM(AM27:AM28)</f>
        <v>198868.77192179201</v>
      </c>
      <c r="AO30" s="553" t="s">
        <v>213</v>
      </c>
      <c r="AP30" s="588"/>
      <c r="AQ30" s="588"/>
      <c r="AR30" s="588"/>
      <c r="AS30" s="617">
        <f>SUM(AS19:AS28)</f>
        <v>714037.35904399992</v>
      </c>
    </row>
    <row r="31" spans="1:46" x14ac:dyDescent="0.25">
      <c r="A31" s="1547" t="s">
        <v>166</v>
      </c>
      <c r="B31" s="1547"/>
      <c r="C31" s="607">
        <v>0</v>
      </c>
      <c r="D31" s="620">
        <v>0</v>
      </c>
      <c r="E31" s="608">
        <v>0.02</v>
      </c>
      <c r="F31" s="620">
        <v>0</v>
      </c>
      <c r="G31" s="620">
        <v>0</v>
      </c>
      <c r="H31" s="620">
        <v>0</v>
      </c>
      <c r="I31" s="610" t="s">
        <v>183</v>
      </c>
      <c r="K31" s="571" t="s">
        <v>214</v>
      </c>
      <c r="L31" s="548"/>
      <c r="M31" s="548"/>
      <c r="N31" s="548"/>
      <c r="O31" s="597">
        <f>O27+O29</f>
        <v>707638.74574673164</v>
      </c>
      <c r="Q31" s="571"/>
      <c r="R31" s="548"/>
      <c r="S31" s="548"/>
      <c r="T31" s="548"/>
      <c r="U31" s="590"/>
      <c r="W31" s="571"/>
      <c r="X31" s="548"/>
      <c r="Y31" s="548"/>
      <c r="Z31" s="548"/>
      <c r="AA31" s="602"/>
      <c r="AC31" s="553" t="s">
        <v>212</v>
      </c>
      <c r="AD31" s="588"/>
      <c r="AE31" s="588"/>
      <c r="AF31" s="588"/>
      <c r="AG31" s="617">
        <f>SUM(AG28:AG29)</f>
        <v>173725.33013900524</v>
      </c>
      <c r="AI31" s="628"/>
      <c r="AJ31" s="629"/>
      <c r="AK31" s="629"/>
      <c r="AL31" s="629" t="s">
        <v>215</v>
      </c>
      <c r="AM31" s="630">
        <f>AM30/12</f>
        <v>16572.397660149334</v>
      </c>
      <c r="AO31" s="571"/>
      <c r="AP31" s="548"/>
      <c r="AQ31" s="548"/>
      <c r="AR31" s="548"/>
      <c r="AS31" s="602"/>
    </row>
    <row r="32" spans="1:46" x14ac:dyDescent="0.25">
      <c r="A32" s="1547" t="s">
        <v>161</v>
      </c>
      <c r="B32" s="1547"/>
      <c r="C32" s="607">
        <v>0</v>
      </c>
      <c r="D32" s="620">
        <v>0</v>
      </c>
      <c r="E32" s="620">
        <v>0</v>
      </c>
      <c r="F32" s="608">
        <v>0.85</v>
      </c>
      <c r="G32" s="620">
        <v>0</v>
      </c>
      <c r="H32" s="608">
        <v>0.8</v>
      </c>
      <c r="I32" s="610" t="s">
        <v>183</v>
      </c>
      <c r="K32" s="571"/>
      <c r="L32" s="548"/>
      <c r="M32" s="548"/>
      <c r="N32" s="548"/>
      <c r="O32" s="597"/>
      <c r="Q32" s="571" t="s">
        <v>214</v>
      </c>
      <c r="R32" s="548"/>
      <c r="S32" s="548"/>
      <c r="T32" s="548"/>
      <c r="U32" s="563">
        <f>U28+U30</f>
        <v>1545977.8317849599</v>
      </c>
      <c r="W32" s="571" t="s">
        <v>200</v>
      </c>
      <c r="X32" s="594">
        <f>+C56</f>
        <v>0.12</v>
      </c>
      <c r="Y32" s="548"/>
      <c r="Z32" s="548"/>
      <c r="AA32" s="563">
        <f>X32*AA30</f>
        <v>176437.917456</v>
      </c>
      <c r="AC32" s="571"/>
      <c r="AD32" s="548"/>
      <c r="AE32" s="548"/>
      <c r="AF32" s="548"/>
      <c r="AG32" s="574"/>
      <c r="AI32" s="524" t="str">
        <f>AC35</f>
        <v>CAF Oct 2016</v>
      </c>
      <c r="AJ32" s="517">
        <f>AD35</f>
        <v>2.6438643292682744E-2</v>
      </c>
      <c r="AK32" s="516"/>
      <c r="AL32" s="586" t="s">
        <v>215</v>
      </c>
      <c r="AM32" s="631">
        <f>AM31*(AJ32+1)</f>
        <v>17010.549370390512</v>
      </c>
      <c r="AO32" s="571" t="s">
        <v>200</v>
      </c>
      <c r="AP32" s="594">
        <f>+C56</f>
        <v>0.12</v>
      </c>
      <c r="AQ32" s="548"/>
      <c r="AR32" s="548"/>
      <c r="AS32" s="563">
        <f>AP32*AS30</f>
        <v>85684.483085279993</v>
      </c>
    </row>
    <row r="33" spans="1:46" x14ac:dyDescent="0.25">
      <c r="A33" s="1547" t="s">
        <v>163</v>
      </c>
      <c r="B33" s="1547"/>
      <c r="C33" s="607">
        <v>0</v>
      </c>
      <c r="D33" s="620">
        <v>0</v>
      </c>
      <c r="E33" s="620">
        <v>0</v>
      </c>
      <c r="F33" s="620">
        <v>0</v>
      </c>
      <c r="G33" s="608">
        <v>2</v>
      </c>
      <c r="H33" s="620">
        <v>0</v>
      </c>
      <c r="I33" s="610" t="s">
        <v>183</v>
      </c>
      <c r="K33" s="621" t="s">
        <v>78</v>
      </c>
      <c r="L33" s="632">
        <f>+C57</f>
        <v>3.9329999999999997E-2</v>
      </c>
      <c r="M33" s="548"/>
      <c r="N33" s="548"/>
      <c r="O33" s="597">
        <f>L33*O31</f>
        <v>27831.431870218952</v>
      </c>
      <c r="Q33" s="571"/>
      <c r="R33" s="548"/>
      <c r="S33" s="548"/>
      <c r="T33" s="548"/>
      <c r="U33" s="590"/>
      <c r="W33" s="571"/>
      <c r="X33" s="573"/>
      <c r="Y33" s="548"/>
      <c r="Z33" s="548"/>
      <c r="AA33" s="574"/>
      <c r="AC33" s="628"/>
      <c r="AD33" s="629"/>
      <c r="AE33" s="629"/>
      <c r="AF33" s="1557" t="s">
        <v>216</v>
      </c>
      <c r="AG33" s="633">
        <f>AG31/365/10</f>
        <v>47.595980860001433</v>
      </c>
      <c r="AI33" s="1220" t="s">
        <v>490</v>
      </c>
      <c r="AJ33" s="1221"/>
      <c r="AK33" s="1222">
        <v>1.8700000000000001E-2</v>
      </c>
      <c r="AL33" s="1221"/>
      <c r="AM33" s="1223">
        <f>AM32*(AK33+1)</f>
        <v>17328.646643616812</v>
      </c>
      <c r="AO33" s="571"/>
      <c r="AP33" s="548"/>
      <c r="AQ33" s="548"/>
      <c r="AR33" s="548"/>
      <c r="AS33" s="602"/>
    </row>
    <row r="34" spans="1:46" x14ac:dyDescent="0.25">
      <c r="A34" s="1547" t="s">
        <v>168</v>
      </c>
      <c r="B34" s="1547"/>
      <c r="C34" s="607">
        <v>0</v>
      </c>
      <c r="D34" s="620">
        <v>0</v>
      </c>
      <c r="E34" s="620">
        <v>0</v>
      </c>
      <c r="F34" s="620">
        <v>0</v>
      </c>
      <c r="G34" s="620">
        <v>0</v>
      </c>
      <c r="H34" s="608">
        <v>0.03</v>
      </c>
      <c r="I34" s="610" t="s">
        <v>183</v>
      </c>
      <c r="K34" s="571"/>
      <c r="L34" s="548"/>
      <c r="M34" s="548"/>
      <c r="N34" s="548"/>
      <c r="O34" s="597"/>
      <c r="Q34" s="571" t="s">
        <v>78</v>
      </c>
      <c r="R34" s="626">
        <f>+C57</f>
        <v>3.9329999999999997E-2</v>
      </c>
      <c r="S34" s="548"/>
      <c r="T34" s="548"/>
      <c r="U34" s="597">
        <f>R34*U32</f>
        <v>60803.30812410247</v>
      </c>
      <c r="W34" s="571" t="s">
        <v>207</v>
      </c>
      <c r="X34" s="573"/>
      <c r="Y34" s="548"/>
      <c r="Z34" s="548"/>
      <c r="AA34" s="563">
        <f>AA30+AA32</f>
        <v>1646753.8962559998</v>
      </c>
      <c r="AC34" s="571"/>
      <c r="AD34" s="548"/>
      <c r="AE34" s="548"/>
      <c r="AF34" s="1558"/>
      <c r="AG34" s="574"/>
      <c r="AO34" s="571" t="s">
        <v>207</v>
      </c>
      <c r="AP34" s="548"/>
      <c r="AQ34" s="548"/>
      <c r="AR34" s="548"/>
      <c r="AS34" s="563">
        <f>AS30+AS32</f>
        <v>799721.84212927986</v>
      </c>
    </row>
    <row r="35" spans="1:46" ht="16.5" customHeight="1" x14ac:dyDescent="0.25">
      <c r="A35" s="1547" t="s">
        <v>172</v>
      </c>
      <c r="B35" s="1547"/>
      <c r="C35" s="607">
        <v>0</v>
      </c>
      <c r="D35" s="620">
        <v>0</v>
      </c>
      <c r="E35" s="620">
        <v>0</v>
      </c>
      <c r="F35" s="620">
        <v>0</v>
      </c>
      <c r="G35" s="620">
        <v>0</v>
      </c>
      <c r="H35" s="608">
        <v>0.28999999999999998</v>
      </c>
      <c r="I35" s="610" t="s">
        <v>183</v>
      </c>
      <c r="K35" s="549" t="s">
        <v>212</v>
      </c>
      <c r="L35" s="588"/>
      <c r="M35" s="588"/>
      <c r="N35" s="636"/>
      <c r="O35" s="625">
        <f>SUM(O31:O33)</f>
        <v>735470.17761695059</v>
      </c>
      <c r="Q35" s="571"/>
      <c r="R35" s="548"/>
      <c r="S35" s="548"/>
      <c r="T35" s="548"/>
      <c r="U35" s="590"/>
      <c r="W35" s="571" t="s">
        <v>210</v>
      </c>
      <c r="X35" s="626">
        <f>+C57</f>
        <v>3.9329999999999997E-2</v>
      </c>
      <c r="Y35" s="548"/>
      <c r="Z35" s="548"/>
      <c r="AA35" s="563">
        <f>X35*AA34</f>
        <v>64766.830739748468</v>
      </c>
      <c r="AC35" s="524" t="str">
        <f>W41</f>
        <v>CAF Oct 2016</v>
      </c>
      <c r="AD35" s="517">
        <f>X41</f>
        <v>2.6438643292682744E-2</v>
      </c>
      <c r="AE35" s="516"/>
      <c r="AF35" s="1559"/>
      <c r="AG35" s="637">
        <f>AG33*(AD35+1)</f>
        <v>48.854354020124362</v>
      </c>
      <c r="AI35" s="544"/>
      <c r="AJ35" s="544"/>
      <c r="AO35" s="571" t="s">
        <v>210</v>
      </c>
      <c r="AP35" s="626">
        <f>+ROUND(C57,4)</f>
        <v>3.9300000000000002E-2</v>
      </c>
      <c r="AQ35" s="548"/>
      <c r="AR35" s="548"/>
      <c r="AS35" s="563">
        <f>AP35*AS34</f>
        <v>31429.068395680701</v>
      </c>
    </row>
    <row r="36" spans="1:46" ht="15.6" customHeight="1" x14ac:dyDescent="0.25">
      <c r="A36" s="1560" t="s">
        <v>218</v>
      </c>
      <c r="B36" s="1561"/>
      <c r="C36" s="638">
        <v>1</v>
      </c>
      <c r="D36" s="638">
        <v>2</v>
      </c>
      <c r="E36" s="638">
        <v>3</v>
      </c>
      <c r="F36" s="638">
        <v>4</v>
      </c>
      <c r="G36" s="638">
        <v>5</v>
      </c>
      <c r="H36" s="638">
        <v>6</v>
      </c>
      <c r="I36" s="639"/>
      <c r="K36" s="571"/>
      <c r="L36" s="548"/>
      <c r="M36" s="548"/>
      <c r="N36" s="548"/>
      <c r="O36" s="574"/>
      <c r="Q36" s="553" t="s">
        <v>212</v>
      </c>
      <c r="R36" s="588"/>
      <c r="S36" s="588"/>
      <c r="T36" s="588"/>
      <c r="U36" s="625">
        <f>SUM(U32:U34)</f>
        <v>1606781.1399090623</v>
      </c>
      <c r="W36" s="571"/>
      <c r="X36" s="548"/>
      <c r="Y36" s="548"/>
      <c r="Z36" s="548"/>
      <c r="AA36" s="574"/>
      <c r="AC36" s="1220" t="s">
        <v>490</v>
      </c>
      <c r="AD36" s="1221"/>
      <c r="AE36" s="1222">
        <v>1.8700000000000001E-2</v>
      </c>
      <c r="AF36" s="1221"/>
      <c r="AG36" s="1238">
        <f>AG35*(AE36+1)</f>
        <v>49.767930440300681</v>
      </c>
      <c r="AO36" s="571"/>
      <c r="AP36" s="548"/>
      <c r="AQ36" s="548"/>
      <c r="AR36" s="548"/>
      <c r="AS36" s="602"/>
    </row>
    <row r="37" spans="1:46" ht="16.899999999999999" customHeight="1" x14ac:dyDescent="0.25">
      <c r="A37" s="1562" t="s">
        <v>196</v>
      </c>
      <c r="B37" s="1562"/>
      <c r="C37" s="640">
        <f>+'[6]UFR SchB (1)'!AG33</f>
        <v>2589.0410958904108</v>
      </c>
      <c r="D37" s="640">
        <f>+'[6]UFR SchB (2)'!AG33</f>
        <v>1950.4581901489116</v>
      </c>
      <c r="E37" s="640">
        <f>+'[6]UFR SchB (3)'!AG34</f>
        <v>7763.5782747603826</v>
      </c>
      <c r="F37" s="640">
        <v>0</v>
      </c>
      <c r="G37" s="640">
        <v>0</v>
      </c>
      <c r="H37" s="641">
        <f>+'[6]UFR SchB (4)'!AE34</f>
        <v>1255.6577736890524</v>
      </c>
      <c r="I37" s="642" t="s">
        <v>219</v>
      </c>
      <c r="K37" s="585"/>
      <c r="L37" s="586"/>
      <c r="M37" s="586"/>
      <c r="N37" s="586" t="s">
        <v>215</v>
      </c>
      <c r="O37" s="643">
        <f>O35/12</f>
        <v>61289.181468079216</v>
      </c>
      <c r="Q37" s="571"/>
      <c r="R37" s="548"/>
      <c r="S37" s="548"/>
      <c r="T37" s="548"/>
      <c r="U37" s="590"/>
      <c r="W37" s="553" t="s">
        <v>212</v>
      </c>
      <c r="X37" s="588"/>
      <c r="Y37" s="588"/>
      <c r="Z37" s="588"/>
      <c r="AA37" s="617">
        <f>SUM(AA34:AA35)+65542</f>
        <v>1777062.7269957482</v>
      </c>
      <c r="AC37" s="644"/>
      <c r="AO37" s="553" t="s">
        <v>212</v>
      </c>
      <c r="AP37" s="588"/>
      <c r="AQ37" s="588"/>
      <c r="AR37" s="588"/>
      <c r="AS37" s="617">
        <f>SUM(AS34:AS35)</f>
        <v>831150.91052496061</v>
      </c>
    </row>
    <row r="38" spans="1:46" ht="30" customHeight="1" x14ac:dyDescent="0.25">
      <c r="A38" s="1563" t="s">
        <v>198</v>
      </c>
      <c r="B38" s="1563"/>
      <c r="C38" s="645">
        <v>2622</v>
      </c>
      <c r="D38" s="640">
        <v>2622.0895999999998</v>
      </c>
      <c r="E38" s="640">
        <v>0</v>
      </c>
      <c r="F38" s="640">
        <v>0</v>
      </c>
      <c r="G38" s="640">
        <v>0</v>
      </c>
      <c r="H38" s="640">
        <f>+'[6]Model drafting'!K37</f>
        <v>1417.0212765957447</v>
      </c>
      <c r="I38" s="646" t="s">
        <v>220</v>
      </c>
      <c r="K38" s="524" t="s">
        <v>221</v>
      </c>
      <c r="L38" s="647">
        <f>'[7]CAF Sp. 2016'!$BD$26</f>
        <v>2.6438643292682744E-2</v>
      </c>
      <c r="M38" s="516"/>
      <c r="N38" s="588" t="s">
        <v>215</v>
      </c>
      <c r="O38" s="631">
        <f>O37*(L38+1)</f>
        <v>62909.584274614259</v>
      </c>
      <c r="Q38" s="585"/>
      <c r="R38" s="586"/>
      <c r="S38" s="586"/>
      <c r="T38" s="586" t="s">
        <v>215</v>
      </c>
      <c r="U38" s="570">
        <f>U36/12</f>
        <v>133898.4283257552</v>
      </c>
      <c r="W38" s="585"/>
      <c r="X38" s="586"/>
      <c r="Y38" s="586"/>
      <c r="Z38" s="586" t="s">
        <v>215</v>
      </c>
      <c r="AA38" s="570">
        <f>AA37/12</f>
        <v>148088.56058297903</v>
      </c>
      <c r="AD38" s="544"/>
      <c r="AO38" s="571" t="s">
        <v>222</v>
      </c>
      <c r="AP38" s="648">
        <v>0.8</v>
      </c>
      <c r="AQ38" s="548"/>
      <c r="AR38" s="548"/>
      <c r="AS38" s="602"/>
    </row>
    <row r="39" spans="1:46" ht="41.25" customHeight="1" x14ac:dyDescent="0.25">
      <c r="A39" s="1562" t="s">
        <v>175</v>
      </c>
      <c r="B39" s="1562"/>
      <c r="C39" s="640">
        <v>0</v>
      </c>
      <c r="D39" s="640">
        <v>0</v>
      </c>
      <c r="E39" s="640">
        <v>0</v>
      </c>
      <c r="F39" s="640">
        <f>+'[6]UFR FY11 SchB of provider'!AG34</f>
        <v>4033.4782608695655</v>
      </c>
      <c r="G39" s="649">
        <f>+'[6]UFR FY11 SchB of provider'!AG34</f>
        <v>4033.4782608695655</v>
      </c>
      <c r="H39" s="640">
        <f>+'[6]Model drafting'!K26</f>
        <v>884.23817863397562</v>
      </c>
      <c r="I39" s="646" t="s">
        <v>223</v>
      </c>
      <c r="K39" s="1220" t="s">
        <v>490</v>
      </c>
      <c r="L39" s="1221"/>
      <c r="M39" s="1222">
        <v>1.8700000000000001E-2</v>
      </c>
      <c r="N39" s="1221"/>
      <c r="O39" s="1223">
        <f>O38*(M39+1)</f>
        <v>64085.993500549543</v>
      </c>
      <c r="Q39" s="524" t="str">
        <f>K38</f>
        <v>CAF Oct 2016</v>
      </c>
      <c r="R39" s="517">
        <f>L38</f>
        <v>2.6438643292682744E-2</v>
      </c>
      <c r="S39" s="516"/>
      <c r="T39" s="588" t="s">
        <v>215</v>
      </c>
      <c r="U39" s="631">
        <f>U38*(R39+1)-1</f>
        <v>137437.52110971068</v>
      </c>
      <c r="W39" s="585"/>
      <c r="X39" s="586"/>
      <c r="Y39" s="586">
        <v>25.32</v>
      </c>
      <c r="Z39" s="586" t="s">
        <v>224</v>
      </c>
      <c r="AA39" s="570">
        <f>Y39*9000</f>
        <v>227880</v>
      </c>
      <c r="AE39" s="644"/>
      <c r="AK39" s="544"/>
      <c r="AO39" s="571" t="s">
        <v>225</v>
      </c>
      <c r="AP39" s="548"/>
      <c r="AQ39" s="548"/>
      <c r="AR39" t="s">
        <v>226</v>
      </c>
      <c r="AS39" s="650">
        <f>AS37/0.8/365/10</f>
        <v>284.64072278252075</v>
      </c>
      <c r="AT39" s="8"/>
    </row>
    <row r="40" spans="1:46" ht="57" customHeight="1" x14ac:dyDescent="0.25">
      <c r="A40" s="1564" t="s">
        <v>181</v>
      </c>
      <c r="B40" s="1565"/>
      <c r="C40" s="640">
        <v>0</v>
      </c>
      <c r="D40" s="640"/>
      <c r="E40" s="640">
        <v>0</v>
      </c>
      <c r="F40" s="651">
        <v>0.2</v>
      </c>
      <c r="G40" s="640">
        <v>0</v>
      </c>
      <c r="H40" s="640">
        <f>+'[6]Model drafting'!K33</f>
        <v>1549.4575045207957</v>
      </c>
      <c r="I40" s="646" t="s">
        <v>227</v>
      </c>
      <c r="K40" s="650"/>
      <c r="L40" s="652"/>
      <c r="Q40" s="1220" t="s">
        <v>490</v>
      </c>
      <c r="R40" s="1221"/>
      <c r="S40" s="1222">
        <v>1.8700000000000001E-2</v>
      </c>
      <c r="T40" s="1221"/>
      <c r="U40" s="1223">
        <f>U39*(S40+1)</f>
        <v>140007.60275446225</v>
      </c>
      <c r="W40" s="585"/>
      <c r="X40" s="586"/>
      <c r="Y40" s="586"/>
      <c r="Z40" s="586" t="s">
        <v>228</v>
      </c>
      <c r="AA40" s="570">
        <f>AA41*12</f>
        <v>1824045.8545435108</v>
      </c>
      <c r="AC40" s="544"/>
      <c r="AF40" s="544"/>
      <c r="AO40" s="524" t="str">
        <f>AI32</f>
        <v>CAF Oct 2016</v>
      </c>
      <c r="AP40" s="517">
        <f>AJ32</f>
        <v>2.6438643292682744E-2</v>
      </c>
      <c r="AQ40" s="516"/>
      <c r="AR40" s="516" t="s">
        <v>226</v>
      </c>
      <c r="AS40" s="637">
        <f>AS39*(AP40+1)</f>
        <v>292.16623731873921</v>
      </c>
    </row>
    <row r="41" spans="1:46" x14ac:dyDescent="0.25">
      <c r="A41" s="1555" t="s">
        <v>229</v>
      </c>
      <c r="B41" s="1556"/>
      <c r="C41" s="604">
        <v>1</v>
      </c>
      <c r="D41" s="604">
        <v>2</v>
      </c>
      <c r="E41" s="604">
        <v>3</v>
      </c>
      <c r="F41" s="604">
        <v>4</v>
      </c>
      <c r="G41" s="604">
        <v>5</v>
      </c>
      <c r="H41" s="604">
        <v>6</v>
      </c>
      <c r="I41" s="639"/>
      <c r="L41" s="650"/>
      <c r="M41" s="650"/>
      <c r="S41" s="544"/>
      <c r="W41" s="524" t="str">
        <f>K38</f>
        <v>CAF Oct 2016</v>
      </c>
      <c r="X41" s="517">
        <f>R39</f>
        <v>2.6438643292682744E-2</v>
      </c>
      <c r="Y41" s="516"/>
      <c r="Z41" s="588" t="s">
        <v>215</v>
      </c>
      <c r="AA41" s="631">
        <f>AA38*(X41+1)</f>
        <v>152003.82121195924</v>
      </c>
      <c r="AO41" s="1220" t="s">
        <v>490</v>
      </c>
      <c r="AP41" s="1221"/>
      <c r="AQ41" s="1222">
        <v>1.8700000000000001E-2</v>
      </c>
      <c r="AR41" s="1221"/>
      <c r="AS41" s="1238">
        <f>AS40*(AQ41+1)</f>
        <v>297.62974595659961</v>
      </c>
    </row>
    <row r="42" spans="1:46" x14ac:dyDescent="0.25">
      <c r="A42" s="1548" t="s">
        <v>175</v>
      </c>
      <c r="B42" s="1549"/>
      <c r="C42" s="653">
        <v>47080.896302438894</v>
      </c>
      <c r="D42" s="654">
        <v>119672</v>
      </c>
      <c r="E42" s="653">
        <v>89807</v>
      </c>
      <c r="F42" s="655">
        <f>SUM(AE7:AE10)*AD16</f>
        <v>9478.6739130434798</v>
      </c>
      <c r="G42" s="655">
        <f>SUM(AK7:AK9)*AJ16</f>
        <v>10687.449999999999</v>
      </c>
      <c r="H42" s="655">
        <f>884.2382*AQ16</f>
        <v>10098.000243999999</v>
      </c>
      <c r="I42" s="610" t="s">
        <v>183</v>
      </c>
      <c r="L42" s="652"/>
      <c r="M42" s="544"/>
      <c r="Q42" s="644"/>
      <c r="S42" s="544"/>
      <c r="W42" s="1224" t="s">
        <v>217</v>
      </c>
      <c r="X42" s="1225"/>
      <c r="Y42" s="1226" t="s">
        <v>230</v>
      </c>
      <c r="Z42" s="629"/>
      <c r="AA42" s="1227"/>
      <c r="AT42" s="656"/>
    </row>
    <row r="43" spans="1:46" x14ac:dyDescent="0.25">
      <c r="A43" s="1548" t="s">
        <v>188</v>
      </c>
      <c r="B43" s="1549"/>
      <c r="C43" s="653">
        <v>40387</v>
      </c>
      <c r="D43" s="657">
        <v>0</v>
      </c>
      <c r="E43" s="658">
        <v>51200</v>
      </c>
      <c r="F43" s="655">
        <f>AG11*0.2</f>
        <v>19412.2</v>
      </c>
      <c r="G43" s="654">
        <v>0</v>
      </c>
      <c r="H43" s="655">
        <f>SUM(AQ7:AQ14)*AP26</f>
        <v>17137</v>
      </c>
      <c r="I43" s="610" t="s">
        <v>183</v>
      </c>
      <c r="N43" s="650"/>
      <c r="W43" s="1228" t="s">
        <v>231</v>
      </c>
      <c r="X43" s="1229">
        <v>9000</v>
      </c>
      <c r="Y43" s="1230">
        <v>25.16</v>
      </c>
      <c r="Z43" s="1229"/>
      <c r="AA43" s="1231">
        <f>X43*Y43</f>
        <v>226440</v>
      </c>
      <c r="AP43" s="544"/>
      <c r="AS43" s="656"/>
    </row>
    <row r="44" spans="1:46" x14ac:dyDescent="0.25">
      <c r="A44" s="1550" t="s">
        <v>191</v>
      </c>
      <c r="B44" s="1551"/>
      <c r="C44" s="655">
        <f>SUM(M8,M10:M12)*L23</f>
        <v>22680</v>
      </c>
      <c r="D44" s="655">
        <f>SUM(S8:S11)*R24</f>
        <v>34055</v>
      </c>
      <c r="E44" s="655">
        <f>3.13*X21</f>
        <v>24299.999999999996</v>
      </c>
      <c r="F44" s="654">
        <v>0</v>
      </c>
      <c r="G44" s="654">
        <v>1304</v>
      </c>
      <c r="H44" s="654">
        <v>0</v>
      </c>
      <c r="I44" s="610" t="s">
        <v>183</v>
      </c>
      <c r="W44" s="1228" t="s">
        <v>232</v>
      </c>
      <c r="X44" s="1232"/>
      <c r="Y44" s="1233"/>
      <c r="Z44" s="1229"/>
      <c r="AA44" s="1234">
        <f>AA40-AA39+2</f>
        <v>1596167.8545435108</v>
      </c>
      <c r="AO44" s="544"/>
      <c r="AT44" s="656"/>
    </row>
    <row r="45" spans="1:46" x14ac:dyDescent="0.25">
      <c r="A45" s="1552" t="s">
        <v>198</v>
      </c>
      <c r="B45" s="1553"/>
      <c r="C45" s="655">
        <f>SUM(M10:M12)*L25</f>
        <v>20871.12</v>
      </c>
      <c r="D45" s="655">
        <f>SUM(S10:S11)*R26</f>
        <v>32068.155808</v>
      </c>
      <c r="E45" s="658">
        <v>308197</v>
      </c>
      <c r="F45" s="657">
        <v>0</v>
      </c>
      <c r="G45" s="657">
        <v>0</v>
      </c>
      <c r="H45" s="655">
        <f>SUM(AQ10:AQ14)*AP28</f>
        <v>9324</v>
      </c>
      <c r="I45" s="610" t="s">
        <v>183</v>
      </c>
      <c r="W45" s="1228" t="s">
        <v>491</v>
      </c>
      <c r="X45" s="1232"/>
      <c r="Y45" s="1233">
        <v>1.8700000000000001E-2</v>
      </c>
      <c r="Z45" s="1229"/>
      <c r="AA45" s="1234">
        <f>AA44*(Y45+1)+AA43</f>
        <v>1852456.1934234744</v>
      </c>
      <c r="AP45" s="544"/>
      <c r="AR45" s="544"/>
    </row>
    <row r="46" spans="1:46" x14ac:dyDescent="0.25">
      <c r="A46" s="1547" t="s">
        <v>186</v>
      </c>
      <c r="B46" s="1547"/>
      <c r="C46" s="655">
        <v>0</v>
      </c>
      <c r="D46" s="654">
        <v>85995</v>
      </c>
      <c r="E46" s="653">
        <v>50794</v>
      </c>
      <c r="F46" s="545">
        <v>0</v>
      </c>
      <c r="G46" s="654">
        <v>280</v>
      </c>
      <c r="H46" s="545">
        <v>0</v>
      </c>
      <c r="I46" s="610" t="s">
        <v>183</v>
      </c>
      <c r="W46" s="1235" t="s">
        <v>494</v>
      </c>
      <c r="X46" s="1236"/>
      <c r="Y46" s="1236"/>
      <c r="Z46" s="1236"/>
      <c r="AA46" s="1237">
        <f>(AA45)/12</f>
        <v>154371.34945195619</v>
      </c>
      <c r="AC46" s="748"/>
    </row>
    <row r="47" spans="1:46" x14ac:dyDescent="0.25">
      <c r="A47" s="1547" t="s">
        <v>233</v>
      </c>
      <c r="B47" s="1547"/>
      <c r="C47" s="655">
        <v>0</v>
      </c>
      <c r="D47" s="654">
        <v>17831</v>
      </c>
      <c r="E47" s="653">
        <v>12301</v>
      </c>
      <c r="F47" s="545">
        <v>0</v>
      </c>
      <c r="G47" s="545">
        <v>0</v>
      </c>
      <c r="H47" s="660">
        <f>SUM(AQ8:AQ14)*AP24</f>
        <v>13649.000000000002</v>
      </c>
      <c r="I47" s="610" t="s">
        <v>183</v>
      </c>
      <c r="AA47" s="659"/>
    </row>
    <row r="48" spans="1:46" x14ac:dyDescent="0.25">
      <c r="A48" s="1547" t="s">
        <v>192</v>
      </c>
      <c r="B48" s="1547"/>
      <c r="C48" s="655">
        <v>0</v>
      </c>
      <c r="D48" s="654">
        <v>107862</v>
      </c>
      <c r="E48" s="655">
        <v>0</v>
      </c>
      <c r="F48" s="545">
        <v>0</v>
      </c>
      <c r="G48" s="545">
        <v>0</v>
      </c>
      <c r="H48" s="545">
        <v>0</v>
      </c>
      <c r="I48" s="610" t="s">
        <v>183</v>
      </c>
    </row>
    <row r="49" spans="1:18" x14ac:dyDescent="0.25">
      <c r="A49" s="1554" t="s">
        <v>177</v>
      </c>
      <c r="B49" s="1554"/>
      <c r="C49" s="655">
        <v>0</v>
      </c>
      <c r="D49" s="545">
        <v>0</v>
      </c>
      <c r="E49" s="653">
        <v>287062</v>
      </c>
      <c r="F49" s="545">
        <v>0</v>
      </c>
      <c r="G49" s="545">
        <v>0</v>
      </c>
      <c r="H49" s="545">
        <v>0</v>
      </c>
      <c r="I49" s="610" t="s">
        <v>183</v>
      </c>
    </row>
    <row r="50" spans="1:18" x14ac:dyDescent="0.25">
      <c r="A50" s="1547" t="s">
        <v>182</v>
      </c>
      <c r="B50" s="1547"/>
      <c r="C50" s="655">
        <v>0</v>
      </c>
      <c r="D50" s="545">
        <v>0</v>
      </c>
      <c r="E50" s="658">
        <v>40395</v>
      </c>
      <c r="F50" s="545">
        <v>0</v>
      </c>
      <c r="G50" s="654">
        <v>481</v>
      </c>
      <c r="H50" s="545">
        <v>0</v>
      </c>
      <c r="I50" s="610" t="s">
        <v>183</v>
      </c>
      <c r="J50" s="8"/>
    </row>
    <row r="51" spans="1:18" x14ac:dyDescent="0.25">
      <c r="A51" s="1547" t="s">
        <v>187</v>
      </c>
      <c r="B51" s="1547"/>
      <c r="C51" s="655">
        <v>0</v>
      </c>
      <c r="D51" s="545">
        <v>0</v>
      </c>
      <c r="E51" s="655">
        <v>0</v>
      </c>
      <c r="F51" s="545">
        <v>0</v>
      </c>
      <c r="G51" s="654">
        <v>4657</v>
      </c>
      <c r="H51" s="545">
        <v>0</v>
      </c>
      <c r="I51" s="610" t="s">
        <v>183</v>
      </c>
    </row>
    <row r="52" spans="1:18" x14ac:dyDescent="0.25">
      <c r="A52" s="1547" t="s">
        <v>184</v>
      </c>
      <c r="B52" s="1547"/>
      <c r="C52" s="655">
        <v>0</v>
      </c>
      <c r="D52" s="655">
        <v>0</v>
      </c>
      <c r="E52" s="661">
        <v>162338</v>
      </c>
      <c r="F52" s="545">
        <v>0</v>
      </c>
      <c r="G52" s="545">
        <v>0</v>
      </c>
      <c r="H52" s="654">
        <v>59983</v>
      </c>
      <c r="I52" s="610" t="s">
        <v>183</v>
      </c>
    </row>
    <row r="53" spans="1:18" x14ac:dyDescent="0.25">
      <c r="A53" s="1547" t="s">
        <v>193</v>
      </c>
      <c r="B53" s="1547"/>
      <c r="C53" s="655">
        <v>0</v>
      </c>
      <c r="D53" s="655">
        <v>0</v>
      </c>
      <c r="E53" s="653">
        <v>3600</v>
      </c>
      <c r="F53" s="545">
        <v>0</v>
      </c>
      <c r="G53" s="545">
        <v>0</v>
      </c>
      <c r="H53" s="545">
        <v>0</v>
      </c>
      <c r="I53" s="610" t="s">
        <v>183</v>
      </c>
    </row>
    <row r="54" spans="1:18" x14ac:dyDescent="0.25">
      <c r="A54" s="1536"/>
      <c r="B54" s="1536"/>
      <c r="C54" s="1536"/>
      <c r="D54" s="1536"/>
      <c r="E54" s="1536"/>
      <c r="F54" s="1536"/>
      <c r="G54" s="1536"/>
      <c r="H54" s="1536"/>
      <c r="I54" s="1536"/>
    </row>
    <row r="55" spans="1:18" ht="27" customHeight="1" x14ac:dyDescent="0.25">
      <c r="A55" s="1537" t="s">
        <v>234</v>
      </c>
      <c r="B55" s="1537"/>
      <c r="C55" s="1538">
        <v>0.24</v>
      </c>
      <c r="D55" s="1538"/>
      <c r="E55" s="662"/>
      <c r="F55" s="662"/>
      <c r="G55" s="662"/>
      <c r="H55" s="662"/>
      <c r="I55" s="610" t="s">
        <v>183</v>
      </c>
    </row>
    <row r="56" spans="1:18" ht="27.75" customHeight="1" x14ac:dyDescent="0.25">
      <c r="A56" s="1539" t="s">
        <v>200</v>
      </c>
      <c r="B56" s="1540"/>
      <c r="C56" s="1541">
        <v>0.12</v>
      </c>
      <c r="D56" s="1541"/>
      <c r="E56" s="1542"/>
      <c r="F56" s="1542"/>
      <c r="G56" s="1542"/>
      <c r="H56" s="1261"/>
      <c r="I56" s="610" t="s">
        <v>183</v>
      </c>
    </row>
    <row r="57" spans="1:18" ht="30" x14ac:dyDescent="0.25">
      <c r="A57" s="1539" t="s">
        <v>88</v>
      </c>
      <c r="B57" s="1540"/>
      <c r="C57" s="1545">
        <f>'[6]Source CAF 2.07% and 3.93%'!AN39</f>
        <v>3.9329999999999997E-2</v>
      </c>
      <c r="D57" s="1546"/>
      <c r="E57" s="1543"/>
      <c r="F57" s="1543"/>
      <c r="G57" s="1543"/>
      <c r="H57" s="1544"/>
      <c r="I57" s="664" t="s">
        <v>235</v>
      </c>
    </row>
    <row r="62" spans="1:18" x14ac:dyDescent="0.25">
      <c r="R62" s="211"/>
    </row>
    <row r="63" spans="1:18" x14ac:dyDescent="0.25">
      <c r="R63" s="211"/>
    </row>
    <row r="64" spans="1:18" x14ac:dyDescent="0.25">
      <c r="R64" s="211"/>
    </row>
    <row r="65" spans="18:18" x14ac:dyDescent="0.25">
      <c r="R65" s="211"/>
    </row>
    <row r="66" spans="18:18" x14ac:dyDescent="0.25">
      <c r="R66" s="211"/>
    </row>
  </sheetData>
  <mergeCells count="68">
    <mergeCell ref="K5:O5"/>
    <mergeCell ref="A6:B6"/>
    <mergeCell ref="A1:I1"/>
    <mergeCell ref="A2:B2"/>
    <mergeCell ref="A3:B3"/>
    <mergeCell ref="A4:B4"/>
    <mergeCell ref="A5:B5"/>
    <mergeCell ref="Q5:U5"/>
    <mergeCell ref="W5:AA5"/>
    <mergeCell ref="AC5:AG5"/>
    <mergeCell ref="AI5:AM5"/>
    <mergeCell ref="AO5:AS5"/>
    <mergeCell ref="A18:B18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30:B30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41:B41"/>
    <mergeCell ref="A31:B31"/>
    <mergeCell ref="A32:B32"/>
    <mergeCell ref="A33:B33"/>
    <mergeCell ref="AF33:AF35"/>
    <mergeCell ref="A34:B34"/>
    <mergeCell ref="A35:B35"/>
    <mergeCell ref="A36:B36"/>
    <mergeCell ref="A37:B37"/>
    <mergeCell ref="A38:B38"/>
    <mergeCell ref="A39:B39"/>
    <mergeCell ref="A40:B40"/>
    <mergeCell ref="A53:B53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4:I54"/>
    <mergeCell ref="A55:B55"/>
    <mergeCell ref="C55:D55"/>
    <mergeCell ref="A56:B56"/>
    <mergeCell ref="C56:D56"/>
    <mergeCell ref="E56:H57"/>
    <mergeCell ref="A57:B57"/>
    <mergeCell ref="C57:D57"/>
  </mergeCells>
  <pageMargins left="0.25" right="0.25" top="0.75" bottom="0.75" header="0.3" footer="0.3"/>
  <pageSetup scale="5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121"/>
  <sheetViews>
    <sheetView topLeftCell="N13" zoomScale="70" zoomScaleNormal="70" workbookViewId="0">
      <selection activeCell="N39" sqref="A39:XFD39"/>
    </sheetView>
  </sheetViews>
  <sheetFormatPr defaultColWidth="9.140625" defaultRowHeight="20.25" customHeight="1" x14ac:dyDescent="0.25"/>
  <cols>
    <col min="1" max="1" width="0" style="817" hidden="1" customWidth="1"/>
    <col min="2" max="2" width="11.42578125" style="817" hidden="1" customWidth="1"/>
    <col min="3" max="3" width="14" style="817" hidden="1" customWidth="1"/>
    <col min="4" max="4" width="13.5703125" style="817" hidden="1" customWidth="1"/>
    <col min="5" max="5" width="15.5703125" style="817" hidden="1" customWidth="1"/>
    <col min="6" max="6" width="15.42578125" style="817" hidden="1" customWidth="1"/>
    <col min="7" max="7" width="17.7109375" style="817" hidden="1" customWidth="1"/>
    <col min="8" max="8" width="15.85546875" style="817" hidden="1" customWidth="1"/>
    <col min="9" max="9" width="15.42578125" style="817" hidden="1" customWidth="1"/>
    <col min="10" max="10" width="14.7109375" style="817" hidden="1" customWidth="1"/>
    <col min="11" max="11" width="17.85546875" style="817" hidden="1" customWidth="1"/>
    <col min="12" max="12" width="15.85546875" style="817" hidden="1" customWidth="1"/>
    <col min="13" max="13" width="52.7109375" style="817" hidden="1" customWidth="1"/>
    <col min="14" max="14" width="16.5703125" style="817" customWidth="1"/>
    <col min="15" max="15" width="9.140625" style="817"/>
    <col min="16" max="16" width="24.7109375" style="817" customWidth="1"/>
    <col min="17" max="18" width="9.140625" style="817"/>
    <col min="19" max="19" width="21.7109375" style="817" customWidth="1"/>
    <col min="20" max="20" width="18.140625" style="817" customWidth="1"/>
    <col min="21" max="21" width="9.85546875" style="817" bestFit="1" customWidth="1"/>
    <col min="22" max="22" width="14" style="817" customWidth="1"/>
    <col min="23" max="23" width="17.28515625" style="817" customWidth="1"/>
    <col min="24" max="25" width="9.140625" style="817"/>
    <col min="26" max="26" width="18.5703125" style="817" customWidth="1"/>
    <col min="27" max="27" width="9.85546875" style="817" bestFit="1" customWidth="1"/>
    <col min="28" max="28" width="14.5703125" style="817" customWidth="1"/>
    <col min="29" max="29" width="20" style="817" customWidth="1"/>
    <col min="30" max="31" width="9.140625" style="817"/>
    <col min="32" max="32" width="18" style="817" customWidth="1"/>
    <col min="33" max="33" width="9.85546875" style="817" bestFit="1" customWidth="1"/>
    <col min="34" max="34" width="14" style="817" customWidth="1"/>
    <col min="35" max="35" width="16.7109375" style="817" customWidth="1"/>
    <col min="36" max="16384" width="9.140625" style="817"/>
  </cols>
  <sheetData>
    <row r="1" spans="3:39" ht="20.25" customHeight="1" x14ac:dyDescent="0.3">
      <c r="P1" s="818"/>
      <c r="Q1" s="819"/>
      <c r="R1" s="819"/>
      <c r="S1" s="819"/>
      <c r="T1" s="819"/>
      <c r="U1" s="819"/>
      <c r="V1" s="819"/>
      <c r="W1" s="819"/>
      <c r="X1" s="819"/>
      <c r="Y1" s="819"/>
      <c r="Z1" s="819"/>
      <c r="AA1" s="819"/>
      <c r="AB1" s="819"/>
      <c r="AC1" s="819"/>
      <c r="AD1" s="819"/>
      <c r="AE1" s="819"/>
      <c r="AF1" s="819"/>
      <c r="AG1" s="819"/>
      <c r="AH1" s="819"/>
      <c r="AI1" s="819"/>
      <c r="AJ1" s="819"/>
      <c r="AK1" s="819"/>
      <c r="AL1" s="819"/>
      <c r="AM1" s="820"/>
    </row>
    <row r="2" spans="3:39" ht="20.25" customHeight="1" x14ac:dyDescent="0.5">
      <c r="D2" s="821"/>
      <c r="E2" s="1586" t="s">
        <v>495</v>
      </c>
      <c r="F2" s="1586"/>
      <c r="G2" s="1586"/>
      <c r="H2" s="1586"/>
      <c r="I2" s="1586"/>
      <c r="J2" s="1586"/>
      <c r="K2" s="1586"/>
      <c r="L2" s="1586"/>
      <c r="M2" s="1586"/>
      <c r="N2" s="822"/>
      <c r="P2" s="818"/>
      <c r="Q2" s="819"/>
      <c r="R2" s="819"/>
      <c r="S2" s="1587" t="s">
        <v>496</v>
      </c>
      <c r="T2" s="1587"/>
      <c r="U2" s="1587"/>
      <c r="V2" s="1587"/>
      <c r="W2" s="1587"/>
      <c r="X2" s="1587"/>
      <c r="Y2" s="1587"/>
      <c r="Z2" s="1587"/>
      <c r="AA2" s="1587"/>
      <c r="AB2" s="1587"/>
      <c r="AC2" s="1587"/>
      <c r="AD2" s="1587"/>
      <c r="AE2" s="1587"/>
      <c r="AF2" s="1587"/>
      <c r="AG2" s="1587"/>
      <c r="AH2" s="1587"/>
      <c r="AI2" s="1587"/>
      <c r="AJ2" s="819"/>
      <c r="AK2" s="819"/>
      <c r="AL2" s="819"/>
      <c r="AM2" s="820"/>
    </row>
    <row r="3" spans="3:39" ht="20.25" customHeight="1" x14ac:dyDescent="0.3">
      <c r="D3" s="821"/>
      <c r="E3" s="823" t="s">
        <v>497</v>
      </c>
      <c r="F3" s="824" t="s">
        <v>498</v>
      </c>
      <c r="G3" s="825" t="s">
        <v>499</v>
      </c>
      <c r="H3" s="826"/>
      <c r="I3" s="827"/>
      <c r="J3" s="828"/>
      <c r="K3" s="828"/>
      <c r="L3" s="829"/>
      <c r="N3" s="822"/>
      <c r="P3" s="818"/>
      <c r="Q3" s="819"/>
      <c r="R3" s="819"/>
      <c r="S3" s="819"/>
      <c r="T3" s="819"/>
      <c r="V3" s="830"/>
      <c r="W3" s="830"/>
      <c r="X3" s="830"/>
      <c r="Y3" s="830"/>
      <c r="Z3" s="830"/>
      <c r="AB3" s="830"/>
      <c r="AC3" s="830"/>
      <c r="AD3" s="830"/>
      <c r="AE3" s="830"/>
      <c r="AF3" s="830"/>
      <c r="AH3" s="830"/>
      <c r="AI3" s="830"/>
      <c r="AJ3" s="819"/>
      <c r="AK3" s="819"/>
      <c r="AL3" s="819"/>
      <c r="AM3" s="820"/>
    </row>
    <row r="4" spans="3:39" ht="20.25" customHeight="1" x14ac:dyDescent="0.3">
      <c r="D4" s="821"/>
      <c r="E4" s="831" t="s">
        <v>500</v>
      </c>
      <c r="F4" s="832">
        <v>10</v>
      </c>
      <c r="G4" s="833">
        <f>F4*8</f>
        <v>80</v>
      </c>
      <c r="H4" s="834"/>
      <c r="I4" s="835"/>
      <c r="J4" s="828"/>
      <c r="K4" s="828"/>
      <c r="L4" s="828"/>
      <c r="M4" s="819"/>
      <c r="N4" s="822"/>
      <c r="P4" s="818"/>
      <c r="Q4" s="819"/>
      <c r="R4" s="819"/>
      <c r="S4" s="1588" t="s">
        <v>501</v>
      </c>
      <c r="T4" s="1588"/>
      <c r="U4" s="1588"/>
      <c r="V4" s="1588"/>
      <c r="W4" s="1588"/>
      <c r="X4" s="836"/>
      <c r="Y4" s="1588" t="s">
        <v>502</v>
      </c>
      <c r="Z4" s="1588"/>
      <c r="AA4" s="1588"/>
      <c r="AB4" s="1588"/>
      <c r="AC4" s="1588"/>
      <c r="AD4" s="836"/>
      <c r="AE4" s="1588" t="s">
        <v>503</v>
      </c>
      <c r="AF4" s="1588"/>
      <c r="AG4" s="1588"/>
      <c r="AH4" s="1588"/>
      <c r="AI4" s="1588"/>
      <c r="AJ4" s="819"/>
      <c r="AK4" s="819"/>
      <c r="AL4" s="819"/>
      <c r="AM4" s="820"/>
    </row>
    <row r="5" spans="3:39" ht="30.75" customHeight="1" thickBot="1" x14ac:dyDescent="0.35">
      <c r="C5" s="1581" t="s">
        <v>504</v>
      </c>
      <c r="D5" s="1582"/>
      <c r="E5" s="831" t="s">
        <v>505</v>
      </c>
      <c r="F5" s="837">
        <v>13</v>
      </c>
      <c r="G5" s="833">
        <f>F5*8</f>
        <v>104</v>
      </c>
      <c r="H5" s="834"/>
      <c r="I5" s="835"/>
      <c r="J5" s="828"/>
      <c r="K5" s="828"/>
      <c r="L5" s="828"/>
      <c r="M5" s="819"/>
      <c r="N5" s="822"/>
      <c r="P5" s="818"/>
      <c r="Q5" s="819"/>
      <c r="R5" s="821"/>
      <c r="S5" s="1583" t="s">
        <v>506</v>
      </c>
      <c r="T5" s="1583"/>
      <c r="U5" s="1583"/>
      <c r="V5" s="1583"/>
      <c r="W5" s="1583"/>
      <c r="X5" s="836"/>
      <c r="Y5" s="1583" t="s">
        <v>506</v>
      </c>
      <c r="Z5" s="1583"/>
      <c r="AA5" s="1583"/>
      <c r="AB5" s="1583"/>
      <c r="AC5" s="1583"/>
      <c r="AD5" s="836"/>
      <c r="AE5" s="1584" t="s">
        <v>506</v>
      </c>
      <c r="AF5" s="1583"/>
      <c r="AG5" s="1583"/>
      <c r="AH5" s="1583"/>
      <c r="AI5" s="1585"/>
      <c r="AJ5" s="819"/>
      <c r="AK5" s="819"/>
      <c r="AL5" s="819"/>
      <c r="AM5" s="820"/>
    </row>
    <row r="6" spans="3:39" ht="31.5" customHeight="1" x14ac:dyDescent="0.3">
      <c r="D6" s="821"/>
      <c r="E6" s="831" t="s">
        <v>507</v>
      </c>
      <c r="F6" s="832">
        <v>10</v>
      </c>
      <c r="G6" s="833">
        <f>F6*8</f>
        <v>80</v>
      </c>
      <c r="H6" s="834"/>
      <c r="I6" s="827"/>
      <c r="J6" s="828"/>
      <c r="K6" s="828"/>
      <c r="L6" s="828"/>
      <c r="M6" s="819"/>
      <c r="N6" s="822"/>
      <c r="P6" s="818"/>
      <c r="Q6" s="819"/>
      <c r="R6" s="821"/>
      <c r="S6" s="838" t="s">
        <v>508</v>
      </c>
      <c r="T6" s="839"/>
      <c r="U6" s="840">
        <v>15</v>
      </c>
      <c r="V6" s="838" t="s">
        <v>509</v>
      </c>
      <c r="W6" s="841">
        <f>U6*365</f>
        <v>5475</v>
      </c>
      <c r="X6" s="836"/>
      <c r="Y6" s="838" t="s">
        <v>510</v>
      </c>
      <c r="Z6" s="839"/>
      <c r="AA6" s="840">
        <v>11</v>
      </c>
      <c r="AB6" s="838" t="s">
        <v>509</v>
      </c>
      <c r="AC6" s="841">
        <f>AA6*365</f>
        <v>4015</v>
      </c>
      <c r="AD6" s="836"/>
      <c r="AE6" s="842" t="s">
        <v>511</v>
      </c>
      <c r="AF6" s="839"/>
      <c r="AG6" s="840">
        <v>8</v>
      </c>
      <c r="AH6" s="838" t="s">
        <v>509</v>
      </c>
      <c r="AI6" s="843">
        <f>AG6*365</f>
        <v>2920</v>
      </c>
      <c r="AJ6" s="819"/>
      <c r="AK6" s="819"/>
      <c r="AL6" s="819"/>
      <c r="AM6" s="820"/>
    </row>
    <row r="7" spans="3:39" ht="20.25" customHeight="1" x14ac:dyDescent="0.3">
      <c r="D7" s="821"/>
      <c r="E7" s="844" t="s">
        <v>512</v>
      </c>
      <c r="F7" s="832">
        <v>10</v>
      </c>
      <c r="G7" s="833">
        <f>F7*8</f>
        <v>80</v>
      </c>
      <c r="H7" s="845"/>
      <c r="I7" s="839"/>
      <c r="J7" s="828"/>
      <c r="K7" s="828"/>
      <c r="L7" s="828"/>
      <c r="M7" s="819"/>
      <c r="N7" s="822"/>
      <c r="P7" s="818"/>
      <c r="Q7" s="819"/>
      <c r="R7" s="821"/>
      <c r="S7" s="838"/>
      <c r="T7" s="846"/>
      <c r="U7" s="847" t="s">
        <v>513</v>
      </c>
      <c r="V7" s="838"/>
      <c r="W7" s="838"/>
      <c r="X7" s="836"/>
      <c r="Y7" s="838"/>
      <c r="Z7" s="830"/>
      <c r="AA7" s="847" t="s">
        <v>513</v>
      </c>
      <c r="AB7" s="838"/>
      <c r="AC7" s="838"/>
      <c r="AD7" s="836"/>
      <c r="AE7" s="842"/>
      <c r="AF7" s="830"/>
      <c r="AG7" s="847" t="s">
        <v>513</v>
      </c>
      <c r="AH7" s="838"/>
      <c r="AI7" s="848"/>
      <c r="AJ7" s="819"/>
      <c r="AK7" s="819"/>
      <c r="AL7" s="819"/>
      <c r="AM7" s="820"/>
    </row>
    <row r="8" spans="3:39" ht="38.25" customHeight="1" x14ac:dyDescent="0.3">
      <c r="D8" s="821"/>
      <c r="E8" s="831"/>
      <c r="F8" s="849" t="s">
        <v>514</v>
      </c>
      <c r="G8" s="833">
        <f>SUM(G4:G7)</f>
        <v>344</v>
      </c>
      <c r="H8" s="850"/>
      <c r="I8" s="851"/>
      <c r="J8" s="828"/>
      <c r="K8" s="828"/>
      <c r="L8" s="828"/>
      <c r="M8" s="819"/>
      <c r="N8" s="822"/>
      <c r="P8" s="818"/>
      <c r="Q8" s="819"/>
      <c r="R8" s="821"/>
      <c r="S8" s="852"/>
      <c r="T8" s="852"/>
      <c r="U8" s="853" t="s">
        <v>21</v>
      </c>
      <c r="V8" s="853" t="s">
        <v>22</v>
      </c>
      <c r="W8" s="853" t="s">
        <v>23</v>
      </c>
      <c r="X8" s="836"/>
      <c r="Y8" s="852"/>
      <c r="Z8" s="852"/>
      <c r="AA8" s="853" t="s">
        <v>21</v>
      </c>
      <c r="AB8" s="853" t="s">
        <v>22</v>
      </c>
      <c r="AC8" s="853" t="s">
        <v>23</v>
      </c>
      <c r="AD8" s="836"/>
      <c r="AE8" s="854"/>
      <c r="AF8" s="852"/>
      <c r="AG8" s="853" t="s">
        <v>21</v>
      </c>
      <c r="AH8" s="853" t="s">
        <v>22</v>
      </c>
      <c r="AI8" s="855" t="s">
        <v>23</v>
      </c>
      <c r="AJ8" s="819"/>
      <c r="AK8" s="819"/>
      <c r="AL8" s="819"/>
      <c r="AM8" s="820"/>
    </row>
    <row r="9" spans="3:39" ht="43.15" customHeight="1" x14ac:dyDescent="0.3">
      <c r="C9" s="1591" t="s">
        <v>515</v>
      </c>
      <c r="D9" s="1592"/>
      <c r="E9" s="831"/>
      <c r="F9" s="849" t="s">
        <v>516</v>
      </c>
      <c r="G9" s="856">
        <f>G8/(52*40)</f>
        <v>0.16538461538461538</v>
      </c>
      <c r="H9" s="834"/>
      <c r="I9" s="851"/>
      <c r="J9" s="828"/>
      <c r="K9" s="828"/>
      <c r="L9" s="828"/>
      <c r="M9" s="819"/>
      <c r="N9" s="822"/>
      <c r="P9" s="818"/>
      <c r="Q9" s="819"/>
      <c r="R9" s="821"/>
      <c r="S9" s="857" t="s">
        <v>29</v>
      </c>
      <c r="T9" s="838"/>
      <c r="U9" s="858">
        <f>+G12</f>
        <v>54790.268340320108</v>
      </c>
      <c r="V9" s="859">
        <f>+G22*U6</f>
        <v>0.53999999999999992</v>
      </c>
      <c r="W9" s="860">
        <f>U9*V9</f>
        <v>29586.744903772855</v>
      </c>
      <c r="X9" s="836"/>
      <c r="Y9" s="857" t="s">
        <v>29</v>
      </c>
      <c r="Z9" s="838"/>
      <c r="AA9" s="858">
        <f>+H12</f>
        <v>54788.215463033521</v>
      </c>
      <c r="AB9" s="859">
        <f>+H22*AA6</f>
        <v>0.495</v>
      </c>
      <c r="AC9" s="860">
        <f>AA9*AB9</f>
        <v>27120.166654201592</v>
      </c>
      <c r="AD9" s="836"/>
      <c r="AE9" s="861" t="s">
        <v>29</v>
      </c>
      <c r="AF9" s="838"/>
      <c r="AG9" s="858">
        <f>+I12</f>
        <v>54788.215463033521</v>
      </c>
      <c r="AH9" s="859">
        <f>+I22*AG6</f>
        <v>0.44800000000000001</v>
      </c>
      <c r="AI9" s="862">
        <f>AG9*AH9</f>
        <v>24545.120527439019</v>
      </c>
      <c r="AJ9" s="819"/>
      <c r="AK9" s="819"/>
      <c r="AL9" s="819"/>
      <c r="AM9" s="820"/>
    </row>
    <row r="10" spans="3:39" ht="30" customHeight="1" thickBot="1" x14ac:dyDescent="0.35">
      <c r="D10" s="821"/>
      <c r="E10" s="863"/>
      <c r="F10" s="864"/>
      <c r="J10" s="1593" t="s">
        <v>517</v>
      </c>
      <c r="K10" s="1593"/>
      <c r="L10" s="1593"/>
      <c r="M10" s="819"/>
      <c r="N10" s="822"/>
      <c r="P10" s="818"/>
      <c r="Q10" s="819"/>
      <c r="R10" s="821"/>
      <c r="S10" s="865" t="s">
        <v>518</v>
      </c>
      <c r="T10" s="838"/>
      <c r="U10" s="858">
        <f>+G13</f>
        <v>35717.5</v>
      </c>
      <c r="V10" s="859">
        <f>+G23*U6</f>
        <v>1</v>
      </c>
      <c r="W10" s="860">
        <f>U10*V10</f>
        <v>35717.5</v>
      </c>
      <c r="X10" s="836"/>
      <c r="Y10" s="865" t="s">
        <v>518</v>
      </c>
      <c r="Z10" s="838"/>
      <c r="AA10" s="858">
        <f>+H13</f>
        <v>35717.5</v>
      </c>
      <c r="AB10" s="859">
        <f>+H23*AA6</f>
        <v>1</v>
      </c>
      <c r="AC10" s="860">
        <f>AA10*AB10</f>
        <v>35717.5</v>
      </c>
      <c r="AD10" s="836"/>
      <c r="AE10" s="866" t="s">
        <v>518</v>
      </c>
      <c r="AF10" s="838"/>
      <c r="AG10" s="858">
        <f>+I13</f>
        <v>35717.5</v>
      </c>
      <c r="AH10" s="859">
        <f>+I23*AG6</f>
        <v>1</v>
      </c>
      <c r="AI10" s="862">
        <f>AG10*AH10</f>
        <v>35717.5</v>
      </c>
      <c r="AJ10" s="819"/>
      <c r="AK10" s="819"/>
      <c r="AL10" s="819"/>
      <c r="AM10" s="820"/>
    </row>
    <row r="11" spans="3:39" ht="32.25" customHeight="1" x14ac:dyDescent="0.3">
      <c r="D11" s="821"/>
      <c r="E11" s="1594" t="s">
        <v>3</v>
      </c>
      <c r="F11" s="1595"/>
      <c r="G11" s="867" t="s">
        <v>519</v>
      </c>
      <c r="H11" s="868" t="s">
        <v>520</v>
      </c>
      <c r="I11" s="867" t="s">
        <v>521</v>
      </c>
      <c r="J11" s="869" t="s">
        <v>522</v>
      </c>
      <c r="K11" s="870" t="s">
        <v>523</v>
      </c>
      <c r="L11" s="871" t="s">
        <v>524</v>
      </c>
      <c r="M11" s="872"/>
      <c r="N11" s="822"/>
      <c r="P11" s="818"/>
      <c r="Q11" s="819"/>
      <c r="R11" s="821"/>
      <c r="S11" s="857" t="s">
        <v>525</v>
      </c>
      <c r="T11" s="838"/>
      <c r="U11" s="858">
        <f>+G14</f>
        <v>48884.140386814011</v>
      </c>
      <c r="V11" s="859">
        <f>+G24*U6</f>
        <v>0.19499999999999998</v>
      </c>
      <c r="W11" s="860">
        <f>U11*V11</f>
        <v>9532.407375428731</v>
      </c>
      <c r="X11" s="836"/>
      <c r="Y11" s="857" t="s">
        <v>525</v>
      </c>
      <c r="Z11" s="838"/>
      <c r="AA11" s="858">
        <f>+H14</f>
        <v>48883.113948170721</v>
      </c>
      <c r="AB11" s="859">
        <f>+H24*AA6</f>
        <v>0.19500000000000001</v>
      </c>
      <c r="AC11" s="860">
        <f>AA11*AB11</f>
        <v>9532.207219893291</v>
      </c>
      <c r="AD11" s="836"/>
      <c r="AE11" s="861" t="s">
        <v>525</v>
      </c>
      <c r="AF11" s="838"/>
      <c r="AG11" s="858">
        <f>+I14</f>
        <v>48883.113948170721</v>
      </c>
      <c r="AH11" s="859">
        <f>+I24*AG6</f>
        <v>0.19500000000000001</v>
      </c>
      <c r="AI11" s="862">
        <f>AG11*AH11</f>
        <v>9532.207219893291</v>
      </c>
      <c r="AJ11" s="819"/>
      <c r="AK11" s="819"/>
      <c r="AL11" s="819"/>
      <c r="AM11" s="820"/>
    </row>
    <row r="12" spans="3:39" ht="24.75" customHeight="1" x14ac:dyDescent="0.3">
      <c r="D12" s="821"/>
      <c r="E12" s="1596" t="s">
        <v>29</v>
      </c>
      <c r="F12" s="1596"/>
      <c r="G12" s="873">
        <f>53379*(G46+1)</f>
        <v>54790.268340320108</v>
      </c>
      <c r="H12" s="873">
        <f>53377*(G46+1)</f>
        <v>54788.215463033521</v>
      </c>
      <c r="I12" s="873">
        <f>53377*(G46+1)</f>
        <v>54788.215463033521</v>
      </c>
      <c r="J12" s="874">
        <v>52305</v>
      </c>
      <c r="K12" s="873">
        <v>52305</v>
      </c>
      <c r="L12" s="875">
        <v>52305</v>
      </c>
      <c r="M12" s="876" t="s">
        <v>526</v>
      </c>
      <c r="N12" s="822"/>
      <c r="P12" s="818"/>
      <c r="Q12" s="819"/>
      <c r="R12" s="821"/>
      <c r="S12" s="851" t="s">
        <v>527</v>
      </c>
      <c r="T12" s="847"/>
      <c r="U12" s="877">
        <f>+G15</f>
        <v>23484.91615853658</v>
      </c>
      <c r="V12" s="878">
        <f>+G25*U6</f>
        <v>2.4230769230769234</v>
      </c>
      <c r="W12" s="879">
        <f>U12*V12</f>
        <v>56905.758384146335</v>
      </c>
      <c r="X12" s="836"/>
      <c r="Y12" s="851" t="s">
        <v>527</v>
      </c>
      <c r="Z12" s="847"/>
      <c r="AA12" s="877">
        <f>+H15</f>
        <v>23484.91615853658</v>
      </c>
      <c r="AB12" s="880">
        <f>H25*AA6</f>
        <v>2.6653846153846152</v>
      </c>
      <c r="AC12" s="879">
        <f>AA12*AB12</f>
        <v>62596.334222560959</v>
      </c>
      <c r="AD12" s="836"/>
      <c r="AE12" s="881" t="s">
        <v>527</v>
      </c>
      <c r="AF12" s="847"/>
      <c r="AG12" s="877">
        <f>I15</f>
        <v>25129.270865091457</v>
      </c>
      <c r="AH12" s="880">
        <f>+I25*AG6</f>
        <v>3.2307692307692308</v>
      </c>
      <c r="AI12" s="882">
        <f>AG12*AH12</f>
        <v>81186.875102603168</v>
      </c>
      <c r="AJ12" s="819"/>
      <c r="AK12" s="819"/>
      <c r="AL12" s="819"/>
      <c r="AM12" s="820"/>
    </row>
    <row r="13" spans="3:39" s="883" customFormat="1" ht="4.9000000000000004" customHeight="1" x14ac:dyDescent="0.3">
      <c r="D13" s="884"/>
      <c r="E13" s="1597" t="s">
        <v>528</v>
      </c>
      <c r="F13" s="1598"/>
      <c r="G13" s="885">
        <f>35000*(2.05%+1)</f>
        <v>35717.5</v>
      </c>
      <c r="H13" s="885">
        <f t="shared" ref="H13:I13" si="0">35000*(2.05%+1)</f>
        <v>35717.5</v>
      </c>
      <c r="I13" s="885">
        <f t="shared" si="0"/>
        <v>35717.5</v>
      </c>
      <c r="J13" s="886">
        <v>35000</v>
      </c>
      <c r="K13" s="885">
        <v>35000</v>
      </c>
      <c r="L13" s="887">
        <v>35000</v>
      </c>
      <c r="M13" s="888" t="s">
        <v>526</v>
      </c>
      <c r="N13" s="889"/>
      <c r="P13" s="890"/>
      <c r="Q13" s="891"/>
      <c r="R13" s="884"/>
      <c r="S13" s="892" t="s">
        <v>529</v>
      </c>
      <c r="T13" s="892"/>
      <c r="U13" s="893">
        <v>0</v>
      </c>
      <c r="V13" s="893">
        <v>0</v>
      </c>
      <c r="W13" s="893">
        <v>0</v>
      </c>
      <c r="X13" s="894"/>
      <c r="Y13" s="892" t="s">
        <v>529</v>
      </c>
      <c r="Z13" s="892"/>
      <c r="AA13" s="893">
        <v>0</v>
      </c>
      <c r="AB13" s="893">
        <v>0</v>
      </c>
      <c r="AC13" s="893">
        <v>0</v>
      </c>
      <c r="AD13" s="894"/>
      <c r="AE13" s="895" t="s">
        <v>529</v>
      </c>
      <c r="AF13" s="892"/>
      <c r="AG13" s="893">
        <v>0</v>
      </c>
      <c r="AH13" s="893">
        <v>0</v>
      </c>
      <c r="AI13" s="896">
        <v>0</v>
      </c>
      <c r="AJ13" s="891"/>
      <c r="AK13" s="891"/>
      <c r="AL13" s="891"/>
      <c r="AM13" s="897"/>
    </row>
    <row r="14" spans="3:39" ht="30" customHeight="1" x14ac:dyDescent="0.3">
      <c r="D14" s="821"/>
      <c r="E14" s="1596" t="s">
        <v>530</v>
      </c>
      <c r="F14" s="1596"/>
      <c r="G14" s="873">
        <f>47625*(G46+1)</f>
        <v>48884.140386814011</v>
      </c>
      <c r="H14" s="873">
        <f>47624*(G46+1)</f>
        <v>48883.113948170721</v>
      </c>
      <c r="I14" s="873">
        <f>47624*(G46+1)</f>
        <v>48883.113948170721</v>
      </c>
      <c r="J14" s="874">
        <f>+[8]CleanData!AC144</f>
        <v>46666.96535244921</v>
      </c>
      <c r="K14" s="873">
        <f>+[8]CleanData!AC144</f>
        <v>46666.96535244921</v>
      </c>
      <c r="L14" s="875">
        <f>+[8]CleanData!AC144</f>
        <v>46666.96535244921</v>
      </c>
      <c r="M14" s="876" t="s">
        <v>531</v>
      </c>
      <c r="N14" s="822"/>
      <c r="P14" s="818"/>
      <c r="Q14" s="819"/>
      <c r="R14" s="821"/>
      <c r="S14" s="898" t="s">
        <v>43</v>
      </c>
      <c r="T14" s="898"/>
      <c r="U14" s="898"/>
      <c r="V14" s="899">
        <f>SUM(V9:V12)</f>
        <v>4.1580769230769237</v>
      </c>
      <c r="W14" s="900">
        <f>SUM(W9:W12)</f>
        <v>131742.41066334792</v>
      </c>
      <c r="X14" s="836"/>
      <c r="Y14" s="898" t="s">
        <v>43</v>
      </c>
      <c r="Z14" s="898"/>
      <c r="AA14" s="898"/>
      <c r="AB14" s="899">
        <f>SUM(AB9:AB12)</f>
        <v>4.3553846153846152</v>
      </c>
      <c r="AC14" s="900">
        <f>SUM(AC9:AC12)</f>
        <v>134966.20809665584</v>
      </c>
      <c r="AD14" s="836"/>
      <c r="AE14" s="901" t="s">
        <v>43</v>
      </c>
      <c r="AF14" s="898"/>
      <c r="AG14" s="898"/>
      <c r="AH14" s="899">
        <f>SUM(AH9:AH12)</f>
        <v>4.8737692307692306</v>
      </c>
      <c r="AI14" s="902">
        <f>SUM(AI9:AI12)</f>
        <v>150981.70284993548</v>
      </c>
      <c r="AJ14" s="819"/>
      <c r="AK14" s="819"/>
      <c r="AL14" s="819"/>
      <c r="AM14" s="820"/>
    </row>
    <row r="15" spans="3:39" ht="36.75" customHeight="1" x14ac:dyDescent="0.3">
      <c r="C15" s="1591" t="s">
        <v>532</v>
      </c>
      <c r="D15" s="1592"/>
      <c r="E15" s="1599" t="s">
        <v>527</v>
      </c>
      <c r="F15" s="1599"/>
      <c r="G15" s="903">
        <f>22880*(G46+1)</f>
        <v>23484.91615853658</v>
      </c>
      <c r="H15" s="904">
        <f>22880*(G46+1)</f>
        <v>23484.91615853658</v>
      </c>
      <c r="I15" s="905">
        <f>24482*(G46+1)</f>
        <v>25129.270865091457</v>
      </c>
      <c r="J15" s="906">
        <f>(2080*9)*1.07</f>
        <v>20030.400000000001</v>
      </c>
      <c r="K15" s="905">
        <f>(2080*9)*1.07</f>
        <v>20030.400000000001</v>
      </c>
      <c r="L15" s="907">
        <f>(2080*9)*1.07</f>
        <v>20030.400000000001</v>
      </c>
      <c r="M15" s="23" t="s">
        <v>533</v>
      </c>
      <c r="N15" s="822"/>
      <c r="P15" s="818"/>
      <c r="Q15" s="819"/>
      <c r="R15" s="821"/>
      <c r="S15" s="838" t="s">
        <v>50</v>
      </c>
      <c r="T15" s="838"/>
      <c r="U15" s="838"/>
      <c r="V15" s="838" t="s">
        <v>51</v>
      </c>
      <c r="W15" s="838"/>
      <c r="X15" s="836"/>
      <c r="Y15" s="838" t="s">
        <v>50</v>
      </c>
      <c r="Z15" s="838"/>
      <c r="AA15" s="838"/>
      <c r="AB15" s="838" t="s">
        <v>51</v>
      </c>
      <c r="AC15" s="838"/>
      <c r="AD15" s="836"/>
      <c r="AE15" s="842" t="s">
        <v>50</v>
      </c>
      <c r="AF15" s="838"/>
      <c r="AG15" s="838"/>
      <c r="AH15" s="838" t="s">
        <v>51</v>
      </c>
      <c r="AI15" s="848"/>
      <c r="AJ15" s="819"/>
      <c r="AK15" s="819"/>
      <c r="AL15" s="819"/>
      <c r="AM15" s="820"/>
    </row>
    <row r="16" spans="3:39" ht="24.75" customHeight="1" thickBot="1" x14ac:dyDescent="0.35">
      <c r="D16" s="821"/>
      <c r="E16" s="1600" t="s">
        <v>534</v>
      </c>
      <c r="F16" s="1600"/>
      <c r="G16" s="908">
        <v>0</v>
      </c>
      <c r="H16" s="909">
        <v>0</v>
      </c>
      <c r="I16" s="908">
        <v>0</v>
      </c>
      <c r="J16" s="910">
        <v>26705</v>
      </c>
      <c r="K16" s="911">
        <v>26705</v>
      </c>
      <c r="L16" s="912">
        <v>26705</v>
      </c>
      <c r="M16" s="876" t="s">
        <v>535</v>
      </c>
      <c r="N16" s="822"/>
      <c r="P16" s="913"/>
      <c r="Q16" s="819"/>
      <c r="R16" s="821"/>
      <c r="S16" s="838" t="s">
        <v>56</v>
      </c>
      <c r="T16" s="838"/>
      <c r="U16" s="914">
        <f>$I$28</f>
        <v>0.24847479945378861</v>
      </c>
      <c r="V16" s="838"/>
      <c r="W16" s="860">
        <f>U16*W14</f>
        <v>32734.669069134037</v>
      </c>
      <c r="X16" s="836"/>
      <c r="Y16" s="838" t="s">
        <v>56</v>
      </c>
      <c r="Z16" s="838"/>
      <c r="AA16" s="914">
        <f>$I$28</f>
        <v>0.24847479945378861</v>
      </c>
      <c r="AB16" s="838"/>
      <c r="AC16" s="860">
        <f>AA16*AC14</f>
        <v>33535.701489854859</v>
      </c>
      <c r="AD16" s="836"/>
      <c r="AE16" s="842" t="s">
        <v>56</v>
      </c>
      <c r="AF16" s="838"/>
      <c r="AG16" s="914">
        <f>$I$28</f>
        <v>0.24847479945378861</v>
      </c>
      <c r="AH16" s="838"/>
      <c r="AI16" s="862">
        <f>AG16*AI14</f>
        <v>37515.148336829225</v>
      </c>
      <c r="AJ16" s="819"/>
      <c r="AK16" s="819"/>
      <c r="AL16" s="819"/>
      <c r="AM16" s="820"/>
    </row>
    <row r="17" spans="3:39" ht="20.25" customHeight="1" x14ac:dyDescent="0.3">
      <c r="D17" s="821"/>
      <c r="I17" s="915"/>
      <c r="J17" s="828"/>
      <c r="K17" s="828"/>
      <c r="L17" s="828"/>
      <c r="M17" s="819"/>
      <c r="N17" s="822"/>
      <c r="P17" s="818"/>
      <c r="Q17" s="819"/>
      <c r="R17" s="821"/>
      <c r="S17" s="898" t="s">
        <v>58</v>
      </c>
      <c r="T17" s="898"/>
      <c r="U17" s="898"/>
      <c r="V17" s="916"/>
      <c r="W17" s="900">
        <f>W16+W14</f>
        <v>164477.07973248197</v>
      </c>
      <c r="X17" s="917"/>
      <c r="Y17" s="898" t="s">
        <v>58</v>
      </c>
      <c r="Z17" s="898"/>
      <c r="AA17" s="898"/>
      <c r="AB17" s="916"/>
      <c r="AC17" s="900">
        <f>AC16+AC14</f>
        <v>168501.90958651071</v>
      </c>
      <c r="AD17" s="917"/>
      <c r="AE17" s="901" t="s">
        <v>58</v>
      </c>
      <c r="AF17" s="898"/>
      <c r="AG17" s="898"/>
      <c r="AH17" s="916"/>
      <c r="AI17" s="902">
        <f>AI16+AI14</f>
        <v>188496.85118676472</v>
      </c>
      <c r="AJ17" s="819"/>
      <c r="AK17" s="819"/>
      <c r="AL17" s="819"/>
      <c r="AM17" s="820"/>
    </row>
    <row r="18" spans="3:39" ht="20.25" customHeight="1" x14ac:dyDescent="0.3">
      <c r="D18" s="821"/>
      <c r="E18" s="918" t="s">
        <v>536</v>
      </c>
      <c r="F18" s="919"/>
      <c r="G18" s="919"/>
      <c r="H18" s="920"/>
      <c r="I18" s="919"/>
      <c r="J18" s="819"/>
      <c r="K18" s="819"/>
      <c r="L18" s="828"/>
      <c r="M18" s="819"/>
      <c r="N18" s="822"/>
      <c r="P18" s="818"/>
      <c r="Q18" s="819"/>
      <c r="R18" s="821"/>
      <c r="S18" s="847"/>
      <c r="T18" s="847"/>
      <c r="U18" s="847"/>
      <c r="V18" s="847"/>
      <c r="W18" s="847"/>
      <c r="X18" s="836"/>
      <c r="Y18" s="847"/>
      <c r="Z18" s="847"/>
      <c r="AA18" s="847"/>
      <c r="AB18" s="847"/>
      <c r="AC18" s="847"/>
      <c r="AD18" s="836"/>
      <c r="AE18" s="921"/>
      <c r="AF18" s="847"/>
      <c r="AG18" s="847"/>
      <c r="AH18" s="847"/>
      <c r="AI18" s="922"/>
      <c r="AJ18" s="819"/>
      <c r="AK18" s="819"/>
      <c r="AL18" s="819"/>
      <c r="AM18" s="820"/>
    </row>
    <row r="19" spans="3:39" ht="20.25" customHeight="1" thickBot="1" x14ac:dyDescent="0.35">
      <c r="D19" s="821"/>
      <c r="E19" s="923" t="s">
        <v>528</v>
      </c>
      <c r="F19" s="924"/>
      <c r="G19" s="925">
        <f>1/15</f>
        <v>6.6666666666666666E-2</v>
      </c>
      <c r="H19" s="926">
        <f>1/11</f>
        <v>9.0909090909090912E-2</v>
      </c>
      <c r="I19" s="927">
        <f>1/8</f>
        <v>0.125</v>
      </c>
      <c r="J19" s="819"/>
      <c r="K19" s="819"/>
      <c r="L19" s="828"/>
      <c r="M19" s="819"/>
      <c r="N19" s="822"/>
      <c r="P19" s="818"/>
      <c r="Q19" s="819"/>
      <c r="R19" s="821"/>
      <c r="S19" s="1589" t="s">
        <v>537</v>
      </c>
      <c r="T19" s="1590"/>
      <c r="U19" s="865"/>
      <c r="V19" s="928">
        <f>+G35</f>
        <v>479.43922589557911</v>
      </c>
      <c r="W19" s="929">
        <f>V19*U6</f>
        <v>7191.5883884336863</v>
      </c>
      <c r="X19" s="836"/>
      <c r="Y19" s="1589" t="s">
        <v>537</v>
      </c>
      <c r="Z19" s="1590"/>
      <c r="AA19" s="865"/>
      <c r="AB19" s="928">
        <f>+H35</f>
        <v>1138.320455411585</v>
      </c>
      <c r="AC19" s="929">
        <f>AB19*AA6</f>
        <v>12521.525009527435</v>
      </c>
      <c r="AD19" s="836"/>
      <c r="AE19" s="1589" t="s">
        <v>537</v>
      </c>
      <c r="AF19" s="1590"/>
      <c r="AG19" s="865"/>
      <c r="AH19" s="928">
        <f>+I35</f>
        <v>4553.2715572599072</v>
      </c>
      <c r="AI19" s="930">
        <f>AH19*AG6</f>
        <v>36426.172458079258</v>
      </c>
      <c r="AJ19" s="819"/>
      <c r="AK19" s="819"/>
      <c r="AL19" s="819"/>
      <c r="AM19" s="820"/>
    </row>
    <row r="20" spans="3:39" ht="20.25" hidden="1" customHeight="1" thickBot="1" x14ac:dyDescent="0.35">
      <c r="D20" s="821"/>
      <c r="E20" s="931"/>
      <c r="F20" s="819"/>
      <c r="G20" s="819"/>
      <c r="H20" s="819"/>
      <c r="I20" s="915"/>
      <c r="J20" s="819"/>
      <c r="K20" s="819"/>
      <c r="L20" s="828"/>
      <c r="M20" s="819"/>
      <c r="N20" s="822"/>
      <c r="P20" s="818"/>
      <c r="Q20" s="819"/>
      <c r="R20" s="821"/>
      <c r="S20" s="1601" t="s">
        <v>538</v>
      </c>
      <c r="T20" s="1602"/>
      <c r="U20" s="865"/>
      <c r="V20" s="928">
        <v>0</v>
      </c>
      <c r="W20" s="932">
        <f>V20*W6</f>
        <v>0</v>
      </c>
      <c r="X20" s="836"/>
      <c r="Y20" s="1601" t="s">
        <v>538</v>
      </c>
      <c r="Z20" s="1602"/>
      <c r="AA20" s="865"/>
      <c r="AB20" s="928">
        <v>0</v>
      </c>
      <c r="AC20" s="929">
        <f>AB20*AC6</f>
        <v>0</v>
      </c>
      <c r="AD20" s="836"/>
      <c r="AE20" s="1601" t="s">
        <v>538</v>
      </c>
      <c r="AF20" s="1602"/>
      <c r="AG20" s="865"/>
      <c r="AH20" s="928">
        <v>0</v>
      </c>
      <c r="AI20" s="933">
        <f>AH20*AI6</f>
        <v>0</v>
      </c>
      <c r="AJ20" s="819"/>
      <c r="AK20" s="819"/>
      <c r="AL20" s="819"/>
      <c r="AM20" s="820"/>
    </row>
    <row r="21" spans="3:39" ht="20.25" customHeight="1" x14ac:dyDescent="0.3">
      <c r="D21" s="821"/>
      <c r="E21" s="1603" t="s">
        <v>152</v>
      </c>
      <c r="F21" s="1604"/>
      <c r="G21" s="934" t="s">
        <v>539</v>
      </c>
      <c r="H21" s="935" t="s">
        <v>540</v>
      </c>
      <c r="I21" s="934" t="s">
        <v>541</v>
      </c>
      <c r="J21" s="936" t="s">
        <v>542</v>
      </c>
      <c r="K21" s="937" t="s">
        <v>543</v>
      </c>
      <c r="L21" s="938" t="s">
        <v>544</v>
      </c>
      <c r="M21" s="939"/>
      <c r="N21" s="822"/>
      <c r="P21" s="818"/>
      <c r="Q21" s="819"/>
      <c r="R21" s="821"/>
      <c r="S21" s="1605" t="s">
        <v>545</v>
      </c>
      <c r="T21" s="1606"/>
      <c r="U21" s="865"/>
      <c r="V21" s="928">
        <f>+G32</f>
        <v>1473.1960627858227</v>
      </c>
      <c r="W21" s="932">
        <f>V21*V14</f>
        <v>6125.6625518375122</v>
      </c>
      <c r="X21" s="836"/>
      <c r="Y21" s="1605" t="s">
        <v>545</v>
      </c>
      <c r="Z21" s="1606"/>
      <c r="AA21" s="865"/>
      <c r="AB21" s="928">
        <f>+H32</f>
        <v>1473.1960627858227</v>
      </c>
      <c r="AC21" s="879">
        <f>AB21*AB14</f>
        <v>6416.3354673025597</v>
      </c>
      <c r="AD21" s="836"/>
      <c r="AE21" s="1605" t="s">
        <v>545</v>
      </c>
      <c r="AF21" s="1606"/>
      <c r="AG21" s="865"/>
      <c r="AH21" s="928">
        <f>+I32</f>
        <v>1473.1960627858227</v>
      </c>
      <c r="AI21" s="933">
        <f>AH21*AH14</f>
        <v>7180.0176416959184</v>
      </c>
      <c r="AJ21" s="819"/>
      <c r="AK21" s="819"/>
      <c r="AL21" s="819"/>
      <c r="AM21" s="820"/>
    </row>
    <row r="22" spans="3:39" ht="20.25" customHeight="1" x14ac:dyDescent="0.3">
      <c r="D22" s="821"/>
      <c r="E22" s="1607" t="s">
        <v>29</v>
      </c>
      <c r="F22" s="1608"/>
      <c r="G22" s="940">
        <v>3.5999999999999997E-2</v>
      </c>
      <c r="H22" s="941">
        <v>4.4999999999999998E-2</v>
      </c>
      <c r="I22" s="940">
        <v>5.6000000000000001E-2</v>
      </c>
      <c r="J22" s="942">
        <v>5.6000000000000001E-2</v>
      </c>
      <c r="K22" s="940">
        <v>5.6000000000000001E-2</v>
      </c>
      <c r="L22" s="943">
        <v>5.6000000000000001E-2</v>
      </c>
      <c r="M22" s="944" t="s">
        <v>546</v>
      </c>
      <c r="N22" s="822"/>
      <c r="P22" s="818"/>
      <c r="Q22" s="819"/>
      <c r="R22" s="821"/>
      <c r="S22" s="1605" t="s">
        <v>547</v>
      </c>
      <c r="T22" s="1606"/>
      <c r="U22" s="865"/>
      <c r="V22" s="928">
        <f>+G36</f>
        <v>607.46248288357151</v>
      </c>
      <c r="W22" s="865"/>
      <c r="X22" s="836"/>
      <c r="Y22" s="1605" t="s">
        <v>547</v>
      </c>
      <c r="Z22" s="1606"/>
      <c r="AA22" s="865"/>
      <c r="AB22" s="928">
        <f>+H36</f>
        <v>607.46248288357151</v>
      </c>
      <c r="AC22" s="865"/>
      <c r="AD22" s="836"/>
      <c r="AE22" s="1605" t="s">
        <v>547</v>
      </c>
      <c r="AF22" s="1606"/>
      <c r="AG22" s="865"/>
      <c r="AH22" s="928">
        <f>+I36</f>
        <v>607.46248288357151</v>
      </c>
      <c r="AI22" s="945"/>
      <c r="AJ22" s="819"/>
      <c r="AK22" s="819"/>
      <c r="AL22" s="819"/>
      <c r="AM22" s="820"/>
    </row>
    <row r="23" spans="3:39" ht="20.25" customHeight="1" x14ac:dyDescent="0.3">
      <c r="D23" s="821"/>
      <c r="E23" s="1609" t="s">
        <v>528</v>
      </c>
      <c r="F23" s="1610"/>
      <c r="G23" s="940">
        <f>G19*T85</f>
        <v>6.6666666666666666E-2</v>
      </c>
      <c r="H23" s="941">
        <f>H19*Z85</f>
        <v>9.0909090909090912E-2</v>
      </c>
      <c r="I23" s="940">
        <f>I19*AF85</f>
        <v>0.125</v>
      </c>
      <c r="J23" s="942">
        <f>I19*AF85</f>
        <v>0.125</v>
      </c>
      <c r="K23" s="940">
        <f>I19*AF85</f>
        <v>0.125</v>
      </c>
      <c r="L23" s="943">
        <f>I19*AF85</f>
        <v>0.125</v>
      </c>
      <c r="M23" s="944" t="s">
        <v>546</v>
      </c>
      <c r="N23" s="822"/>
      <c r="P23" s="818"/>
      <c r="Q23" s="819"/>
      <c r="R23" s="821"/>
      <c r="S23" s="1605" t="s">
        <v>548</v>
      </c>
      <c r="T23" s="1606"/>
      <c r="U23" s="865"/>
      <c r="V23" s="928">
        <f>+G37</f>
        <v>2104.9074614138713</v>
      </c>
      <c r="W23" s="865"/>
      <c r="X23" s="836"/>
      <c r="Y23" s="1605" t="s">
        <v>548</v>
      </c>
      <c r="Z23" s="1606"/>
      <c r="AA23" s="865"/>
      <c r="AB23" s="928">
        <f>+H37</f>
        <v>2104.9074614138713</v>
      </c>
      <c r="AC23" s="865"/>
      <c r="AD23" s="836"/>
      <c r="AE23" s="1605" t="s">
        <v>548</v>
      </c>
      <c r="AF23" s="1606"/>
      <c r="AG23" s="865"/>
      <c r="AH23" s="928">
        <f>+I37</f>
        <v>2104.9074614138713</v>
      </c>
      <c r="AI23" s="945"/>
      <c r="AJ23" s="819"/>
      <c r="AK23" s="819"/>
      <c r="AL23" s="819"/>
      <c r="AM23" s="820"/>
    </row>
    <row r="24" spans="3:39" ht="20.25" customHeight="1" x14ac:dyDescent="0.3">
      <c r="D24" s="821"/>
      <c r="E24" s="1607" t="s">
        <v>530</v>
      </c>
      <c r="F24" s="1608"/>
      <c r="G24" s="940">
        <v>1.2999999999999999E-2</v>
      </c>
      <c r="H24" s="946">
        <f>(H23/G23)*(G24)</f>
        <v>1.7727272727272727E-2</v>
      </c>
      <c r="I24" s="947">
        <f>(G24/G23)*I23</f>
        <v>2.4375000000000001E-2</v>
      </c>
      <c r="J24" s="948">
        <f>(G24/G23)*I23</f>
        <v>2.4375000000000001E-2</v>
      </c>
      <c r="K24" s="947">
        <f>(H24/H23)*K23</f>
        <v>2.4374999999999997E-2</v>
      </c>
      <c r="L24" s="949">
        <f>(I24/I23)*L23</f>
        <v>2.4375000000000001E-2</v>
      </c>
      <c r="M24" s="944" t="s">
        <v>546</v>
      </c>
      <c r="N24" s="822"/>
      <c r="P24" s="818"/>
      <c r="Q24" s="819"/>
      <c r="R24" s="821"/>
      <c r="S24" s="1605" t="s">
        <v>549</v>
      </c>
      <c r="T24" s="1606"/>
      <c r="U24" s="865"/>
      <c r="V24" s="928">
        <f>+G38</f>
        <v>0</v>
      </c>
      <c r="W24" s="865"/>
      <c r="X24" s="836"/>
      <c r="Y24" s="1605" t="s">
        <v>549</v>
      </c>
      <c r="Z24" s="1606"/>
      <c r="AA24" s="865"/>
      <c r="AB24" s="928">
        <f>+H38</f>
        <v>0</v>
      </c>
      <c r="AC24" s="865"/>
      <c r="AD24" s="836"/>
      <c r="AE24" s="1605" t="s">
        <v>549</v>
      </c>
      <c r="AF24" s="1606"/>
      <c r="AG24" s="865"/>
      <c r="AH24" s="928">
        <f>+I38</f>
        <v>1343.0436428163107</v>
      </c>
      <c r="AI24" s="945"/>
      <c r="AJ24" s="819"/>
      <c r="AK24" s="819"/>
      <c r="AL24" s="819"/>
      <c r="AM24" s="820"/>
    </row>
    <row r="25" spans="3:39" ht="20.25" customHeight="1" x14ac:dyDescent="0.3">
      <c r="D25" s="821"/>
      <c r="E25" s="1611" t="s">
        <v>527</v>
      </c>
      <c r="F25" s="1612"/>
      <c r="G25" s="950">
        <f>2688/(2080*8)</f>
        <v>0.16153846153846155</v>
      </c>
      <c r="H25" s="951">
        <f>4032/(2080*8)</f>
        <v>0.24230769230769231</v>
      </c>
      <c r="I25" s="950">
        <f>6720/(2080*8)</f>
        <v>0.40384615384615385</v>
      </c>
      <c r="J25" s="952">
        <f>6720/(2080*8)</f>
        <v>0.40384615384615385</v>
      </c>
      <c r="K25" s="950">
        <f>6720/(2080*8)</f>
        <v>0.40384615384615385</v>
      </c>
      <c r="L25" s="953">
        <f>6720/(2080*8)</f>
        <v>0.40384615384615385</v>
      </c>
      <c r="M25" s="944" t="s">
        <v>546</v>
      </c>
      <c r="N25" s="822"/>
      <c r="P25" s="818"/>
      <c r="Q25" s="819"/>
      <c r="R25" s="821"/>
      <c r="S25" s="1613" t="s">
        <v>229</v>
      </c>
      <c r="T25" s="1614"/>
      <c r="U25" s="838"/>
      <c r="V25" s="929">
        <f>SUM(V22:V23)*(2.64%+1)</f>
        <v>2783.9765108268953</v>
      </c>
      <c r="W25" s="932">
        <f>V25*V14</f>
        <v>11575.988484057527</v>
      </c>
      <c r="X25" s="836"/>
      <c r="Y25" s="1613" t="s">
        <v>229</v>
      </c>
      <c r="Z25" s="1614"/>
      <c r="AA25" s="838"/>
      <c r="AB25" s="929">
        <f>SUM(AB22:AB23)*(2.64%+1)</f>
        <v>2783.9765108268953</v>
      </c>
      <c r="AC25" s="932">
        <f>AB25*AB14</f>
        <v>12125.288464847601</v>
      </c>
      <c r="AD25" s="836"/>
      <c r="AE25" s="1613" t="s">
        <v>229</v>
      </c>
      <c r="AF25" s="1614"/>
      <c r="AG25" s="838"/>
      <c r="AH25" s="929">
        <f>SUM(AH22:AH24)*(2.64%+1)</f>
        <v>4162.4765058135563</v>
      </c>
      <c r="AI25" s="933">
        <f>AH25*AH14</f>
        <v>20286.949917833932</v>
      </c>
      <c r="AJ25" s="819"/>
      <c r="AK25" s="819"/>
      <c r="AL25" s="819"/>
      <c r="AM25" s="820"/>
    </row>
    <row r="26" spans="3:39" ht="20.25" customHeight="1" thickBot="1" x14ac:dyDescent="0.35">
      <c r="D26" s="821"/>
      <c r="I26" s="915"/>
      <c r="J26" s="819"/>
      <c r="K26" s="954"/>
      <c r="L26" s="828"/>
      <c r="M26" s="819"/>
      <c r="N26" s="822"/>
      <c r="P26" s="818"/>
      <c r="Q26" s="819"/>
      <c r="R26" s="821"/>
      <c r="S26" s="847"/>
      <c r="T26" s="847"/>
      <c r="U26" s="847"/>
      <c r="V26" s="847"/>
      <c r="W26" s="847"/>
      <c r="X26" s="836"/>
      <c r="Y26" s="847"/>
      <c r="Z26" s="847"/>
      <c r="AA26" s="847"/>
      <c r="AB26" s="847"/>
      <c r="AC26" s="847"/>
      <c r="AD26" s="836"/>
      <c r="AE26" s="921"/>
      <c r="AF26" s="847"/>
      <c r="AG26" s="847"/>
      <c r="AH26" s="847"/>
      <c r="AI26" s="922"/>
      <c r="AJ26" s="819"/>
      <c r="AK26" s="819"/>
      <c r="AL26" s="819"/>
      <c r="AM26" s="820"/>
    </row>
    <row r="27" spans="3:39" ht="20.25" customHeight="1" x14ac:dyDescent="0.3">
      <c r="D27" s="821"/>
      <c r="E27" s="955" t="s">
        <v>63</v>
      </c>
      <c r="F27" s="956"/>
      <c r="G27" s="934" t="s">
        <v>539</v>
      </c>
      <c r="H27" s="935" t="s">
        <v>540</v>
      </c>
      <c r="I27" s="934" t="s">
        <v>541</v>
      </c>
      <c r="J27" s="936" t="s">
        <v>542</v>
      </c>
      <c r="K27" s="937" t="s">
        <v>543</v>
      </c>
      <c r="L27" s="938" t="s">
        <v>544</v>
      </c>
      <c r="M27" s="957"/>
      <c r="N27" s="822"/>
      <c r="P27" s="818"/>
      <c r="Q27" s="819"/>
      <c r="R27" s="821"/>
      <c r="S27" s="898" t="s">
        <v>67</v>
      </c>
      <c r="T27" s="898"/>
      <c r="U27" s="898"/>
      <c r="V27" s="898"/>
      <c r="W27" s="900">
        <f>SUM(W17:W25)</f>
        <v>189370.3191568107</v>
      </c>
      <c r="X27" s="836"/>
      <c r="Y27" s="898" t="s">
        <v>67</v>
      </c>
      <c r="Z27" s="898"/>
      <c r="AA27" s="898"/>
      <c r="AB27" s="898"/>
      <c r="AC27" s="900">
        <f>SUM(AC17:AC25)</f>
        <v>199565.0585281883</v>
      </c>
      <c r="AD27" s="836"/>
      <c r="AE27" s="901" t="s">
        <v>67</v>
      </c>
      <c r="AF27" s="898"/>
      <c r="AG27" s="898"/>
      <c r="AH27" s="898"/>
      <c r="AI27" s="902">
        <f>SUM(AI17:AI25)</f>
        <v>252389.99120437383</v>
      </c>
      <c r="AJ27" s="819"/>
      <c r="AK27" s="819"/>
      <c r="AL27" s="819"/>
      <c r="AM27" s="820"/>
    </row>
    <row r="28" spans="3:39" ht="20.25" customHeight="1" x14ac:dyDescent="0.3">
      <c r="D28" s="821"/>
      <c r="E28" s="1607" t="s">
        <v>65</v>
      </c>
      <c r="F28" s="1608"/>
      <c r="G28" s="958">
        <f>+[8]CleanData!BU144</f>
        <v>0.24847479945378861</v>
      </c>
      <c r="H28" s="959">
        <f>+[8]CleanData!BU144</f>
        <v>0.24847479945378861</v>
      </c>
      <c r="I28" s="960">
        <f>+[8]CleanData!BU144</f>
        <v>0.24847479945378861</v>
      </c>
      <c r="J28" s="961">
        <f>+[8]CleanData!BU144</f>
        <v>0.24847479945378861</v>
      </c>
      <c r="K28" s="960">
        <f>+[8]CleanData!BU144</f>
        <v>0.24847479945378861</v>
      </c>
      <c r="L28" s="962">
        <f>+[8]CleanData!BU144</f>
        <v>0.24847479945378861</v>
      </c>
      <c r="M28" s="963" t="s">
        <v>550</v>
      </c>
      <c r="N28" s="822"/>
      <c r="P28" s="818"/>
      <c r="Q28" s="819"/>
      <c r="R28" s="821"/>
      <c r="S28" s="838"/>
      <c r="T28" s="838"/>
      <c r="U28" s="838"/>
      <c r="V28" s="838"/>
      <c r="W28" s="838"/>
      <c r="X28" s="836"/>
      <c r="Y28" s="838"/>
      <c r="Z28" s="838"/>
      <c r="AA28" s="838"/>
      <c r="AB28" s="838"/>
      <c r="AC28" s="838"/>
      <c r="AD28" s="836"/>
      <c r="AE28" s="842"/>
      <c r="AF28" s="838"/>
      <c r="AG28" s="838"/>
      <c r="AH28" s="838"/>
      <c r="AI28" s="848"/>
      <c r="AJ28" s="819"/>
      <c r="AK28" s="819"/>
      <c r="AL28" s="819"/>
      <c r="AM28" s="820"/>
    </row>
    <row r="29" spans="3:39" ht="16.899999999999999" customHeight="1" x14ac:dyDescent="0.3">
      <c r="D29" s="821"/>
      <c r="E29" s="1607" t="s">
        <v>538</v>
      </c>
      <c r="F29" s="1608"/>
      <c r="G29" s="964">
        <v>0</v>
      </c>
      <c r="H29" s="965">
        <v>0</v>
      </c>
      <c r="I29" s="964">
        <v>0</v>
      </c>
      <c r="J29" s="966">
        <v>0</v>
      </c>
      <c r="K29" s="964">
        <v>0</v>
      </c>
      <c r="L29" s="967">
        <v>0</v>
      </c>
      <c r="M29" s="963" t="s">
        <v>551</v>
      </c>
      <c r="N29" s="822"/>
      <c r="P29" s="818"/>
      <c r="Q29" s="819"/>
      <c r="R29" s="821"/>
      <c r="S29" s="838" t="s">
        <v>552</v>
      </c>
      <c r="T29" s="838"/>
      <c r="U29" s="914">
        <f>$G$43</f>
        <v>9.9440000000000001E-2</v>
      </c>
      <c r="V29" s="838"/>
      <c r="W29" s="860">
        <f>U29*W27</f>
        <v>18830.984536953256</v>
      </c>
      <c r="X29" s="836"/>
      <c r="Y29" s="838" t="s">
        <v>552</v>
      </c>
      <c r="Z29" s="838"/>
      <c r="AA29" s="914">
        <f>$G$43</f>
        <v>9.9440000000000001E-2</v>
      </c>
      <c r="AB29" s="838"/>
      <c r="AC29" s="860">
        <f>AA29*AC27</f>
        <v>19844.749420043045</v>
      </c>
      <c r="AD29" s="836"/>
      <c r="AE29" s="842" t="s">
        <v>552</v>
      </c>
      <c r="AF29" s="838"/>
      <c r="AG29" s="914">
        <f>$G$43</f>
        <v>9.9440000000000001E-2</v>
      </c>
      <c r="AH29" s="838"/>
      <c r="AI29" s="862">
        <f>AG29*AI27</f>
        <v>25097.660725362934</v>
      </c>
      <c r="AJ29" s="819"/>
      <c r="AK29" s="819"/>
      <c r="AL29" s="819"/>
      <c r="AM29" s="820"/>
    </row>
    <row r="30" spans="3:39" ht="16.899999999999999" customHeight="1" x14ac:dyDescent="0.3">
      <c r="D30" s="821"/>
      <c r="E30" s="968"/>
      <c r="F30" s="969"/>
      <c r="G30" s="964"/>
      <c r="H30" s="965"/>
      <c r="I30" s="964"/>
      <c r="J30" s="966"/>
      <c r="K30" s="964"/>
      <c r="L30" s="967"/>
      <c r="M30" s="970"/>
      <c r="N30" s="822"/>
      <c r="P30" s="818"/>
      <c r="Q30" s="819"/>
      <c r="R30" s="821"/>
      <c r="S30" s="838" t="s">
        <v>553</v>
      </c>
      <c r="T30" s="838"/>
      <c r="U30" s="914">
        <v>0.05</v>
      </c>
      <c r="V30" s="971">
        <v>36764</v>
      </c>
      <c r="W30" s="860">
        <f>V30*U6*U30</f>
        <v>27573</v>
      </c>
      <c r="X30" s="836"/>
      <c r="Y30" s="838" t="s">
        <v>553</v>
      </c>
      <c r="Z30" s="838"/>
      <c r="AA30" s="914">
        <v>0.05</v>
      </c>
      <c r="AB30" s="971">
        <v>36764</v>
      </c>
      <c r="AC30" s="860">
        <f>AB30*AA30*AA6</f>
        <v>20220.2</v>
      </c>
      <c r="AD30" s="836"/>
      <c r="AE30" s="838" t="s">
        <v>553</v>
      </c>
      <c r="AF30" s="838"/>
      <c r="AG30" s="914">
        <v>0.05</v>
      </c>
      <c r="AH30" s="971">
        <v>36764</v>
      </c>
      <c r="AI30" s="862">
        <f>AH30*AG30*AG6</f>
        <v>14705.6</v>
      </c>
      <c r="AJ30" s="819"/>
      <c r="AK30" s="819"/>
      <c r="AL30" s="819"/>
      <c r="AM30" s="820"/>
    </row>
    <row r="31" spans="3:39" ht="16.899999999999999" customHeight="1" x14ac:dyDescent="0.3">
      <c r="C31" s="1591" t="s">
        <v>554</v>
      </c>
      <c r="D31" s="1592"/>
      <c r="E31" s="1616" t="s">
        <v>555</v>
      </c>
      <c r="F31" s="1617"/>
      <c r="G31" s="972" t="s">
        <v>556</v>
      </c>
      <c r="H31" s="973" t="s">
        <v>557</v>
      </c>
      <c r="I31" s="974" t="s">
        <v>557</v>
      </c>
      <c r="J31" s="975" t="s">
        <v>557</v>
      </c>
      <c r="K31" s="974" t="s">
        <v>557</v>
      </c>
      <c r="L31" s="976" t="s">
        <v>557</v>
      </c>
      <c r="M31" s="977" t="s">
        <v>558</v>
      </c>
      <c r="N31" s="822"/>
      <c r="P31" s="818"/>
      <c r="Q31" s="819"/>
      <c r="R31" s="821"/>
      <c r="S31" s="838"/>
      <c r="T31" s="838"/>
      <c r="U31" s="838"/>
      <c r="V31" s="838"/>
      <c r="W31" s="838"/>
      <c r="X31" s="836"/>
      <c r="Y31" s="838"/>
      <c r="Z31" s="838"/>
      <c r="AA31" s="838"/>
      <c r="AB31" s="838"/>
      <c r="AC31" s="838"/>
      <c r="AD31" s="836"/>
      <c r="AE31" s="842"/>
      <c r="AF31" s="838"/>
      <c r="AG31" s="838"/>
      <c r="AH31" s="838"/>
      <c r="AI31" s="848"/>
      <c r="AJ31" s="819"/>
      <c r="AK31" s="819"/>
      <c r="AL31" s="819"/>
      <c r="AM31" s="820"/>
    </row>
    <row r="32" spans="3:39" ht="16.899999999999999" customHeight="1" thickBot="1" x14ac:dyDescent="0.35">
      <c r="D32" s="821"/>
      <c r="E32" s="1607" t="s">
        <v>545</v>
      </c>
      <c r="F32" s="1608"/>
      <c r="G32" s="964">
        <f>1435.25*(G46+1)</f>
        <v>1473.1960627858227</v>
      </c>
      <c r="H32" s="965">
        <f>1435.25*(G46+1)</f>
        <v>1473.1960627858227</v>
      </c>
      <c r="I32" s="964">
        <f>1435.25*(G46+1)</f>
        <v>1473.1960627858227</v>
      </c>
      <c r="J32" s="978">
        <f>+'[8]CleanData Position Break out'!BB146</f>
        <v>1435.2505189555341</v>
      </c>
      <c r="K32" s="979">
        <f>+'[8]CleanData Position Break out'!BB146</f>
        <v>1435.2505189555341</v>
      </c>
      <c r="L32" s="980">
        <f>+'[8]CleanData Position Break out'!BB146</f>
        <v>1435.2505189555341</v>
      </c>
      <c r="M32" s="963" t="s">
        <v>559</v>
      </c>
      <c r="N32" s="822"/>
      <c r="P32" s="818"/>
      <c r="Q32" s="819"/>
      <c r="R32" s="821"/>
      <c r="S32" s="981" t="s">
        <v>72</v>
      </c>
      <c r="T32" s="981"/>
      <c r="U32" s="981"/>
      <c r="V32" s="981"/>
      <c r="W32" s="982">
        <f>SUM(W27:W30)</f>
        <v>235774.30369376397</v>
      </c>
      <c r="X32" s="836"/>
      <c r="Y32" s="981" t="s">
        <v>72</v>
      </c>
      <c r="Z32" s="981"/>
      <c r="AA32" s="981"/>
      <c r="AB32" s="981"/>
      <c r="AC32" s="982">
        <f>SUM(AC27:AC30)</f>
        <v>239630.00794823136</v>
      </c>
      <c r="AD32" s="836"/>
      <c r="AE32" s="983" t="s">
        <v>72</v>
      </c>
      <c r="AF32" s="981"/>
      <c r="AG32" s="981"/>
      <c r="AH32" s="981"/>
      <c r="AI32" s="984">
        <f>SUM(AI27:AI30)</f>
        <v>292193.25192973675</v>
      </c>
      <c r="AJ32" s="819"/>
      <c r="AK32" s="819"/>
      <c r="AL32" s="819"/>
      <c r="AM32" s="820"/>
    </row>
    <row r="33" spans="3:39" ht="16.899999999999999" customHeight="1" thickBot="1" x14ac:dyDescent="0.35">
      <c r="D33" s="821"/>
      <c r="E33" s="985"/>
      <c r="F33" s="986"/>
      <c r="G33" s="986"/>
      <c r="H33" s="986"/>
      <c r="I33" s="987"/>
      <c r="J33" s="819"/>
      <c r="K33" s="954"/>
      <c r="L33" s="988"/>
      <c r="M33" s="989"/>
      <c r="N33" s="822"/>
      <c r="P33" s="818"/>
      <c r="Q33" s="819"/>
      <c r="R33" s="821"/>
      <c r="S33" s="838"/>
      <c r="T33" s="838"/>
      <c r="U33" s="838"/>
      <c r="V33" s="838"/>
      <c r="W33" s="838"/>
      <c r="X33" s="836"/>
      <c r="Y33" s="838"/>
      <c r="Z33" s="838"/>
      <c r="AA33" s="838"/>
      <c r="AB33" s="838"/>
      <c r="AC33" s="838"/>
      <c r="AD33" s="836"/>
      <c r="AE33" s="842"/>
      <c r="AF33" s="838"/>
      <c r="AG33" s="838"/>
      <c r="AH33" s="838"/>
      <c r="AI33" s="848"/>
      <c r="AJ33" s="819"/>
      <c r="AK33" s="819"/>
      <c r="AL33" s="819"/>
      <c r="AM33" s="820"/>
    </row>
    <row r="34" spans="3:39" ht="16.899999999999999" customHeight="1" x14ac:dyDescent="0.3">
      <c r="D34" s="821"/>
      <c r="E34" s="1618" t="s">
        <v>560</v>
      </c>
      <c r="F34" s="1619"/>
      <c r="G34" s="934" t="s">
        <v>539</v>
      </c>
      <c r="H34" s="935" t="s">
        <v>540</v>
      </c>
      <c r="I34" s="934" t="s">
        <v>541</v>
      </c>
      <c r="J34" s="936" t="s">
        <v>542</v>
      </c>
      <c r="K34" s="937" t="s">
        <v>543</v>
      </c>
      <c r="L34" s="938" t="s">
        <v>544</v>
      </c>
      <c r="M34" s="990"/>
      <c r="N34" s="822"/>
      <c r="P34" s="818"/>
      <c r="Q34" s="819"/>
      <c r="R34" s="821"/>
      <c r="S34" s="838" t="s">
        <v>78</v>
      </c>
      <c r="T34" s="838"/>
      <c r="U34" s="991">
        <v>1.8700000000000001E-2</v>
      </c>
      <c r="V34" s="838"/>
      <c r="W34" s="971">
        <f>W32*(1+U34)</f>
        <v>240183.28317283734</v>
      </c>
      <c r="X34" s="836"/>
      <c r="Y34" s="838" t="s">
        <v>78</v>
      </c>
      <c r="Z34" s="838"/>
      <c r="AA34" s="991">
        <v>1.8700000000000001E-2</v>
      </c>
      <c r="AB34" s="838"/>
      <c r="AC34" s="971">
        <f>AC32*(1+AA34)</f>
        <v>244111.08909686326</v>
      </c>
      <c r="AD34" s="836"/>
      <c r="AE34" s="842" t="s">
        <v>78</v>
      </c>
      <c r="AF34" s="838"/>
      <c r="AG34" s="991">
        <v>1.8700000000000001E-2</v>
      </c>
      <c r="AH34" s="838"/>
      <c r="AI34" s="992">
        <f>AI32*(1+AG34)</f>
        <v>297657.26574082283</v>
      </c>
      <c r="AJ34" s="819"/>
      <c r="AK34" s="819"/>
      <c r="AL34" s="819"/>
      <c r="AM34" s="820"/>
    </row>
    <row r="35" spans="3:39" ht="16.899999999999999" customHeight="1" x14ac:dyDescent="0.3">
      <c r="D35" s="821"/>
      <c r="E35" s="1607" t="s">
        <v>537</v>
      </c>
      <c r="F35" s="1608"/>
      <c r="G35" s="993">
        <f>467.09*(G46+1)</f>
        <v>479.43922589557911</v>
      </c>
      <c r="H35" s="994">
        <f>1109*(G46+1)</f>
        <v>1138.320455411585</v>
      </c>
      <c r="I35" s="993">
        <f>4435.99*(G46+1)</f>
        <v>4553.2715572599072</v>
      </c>
      <c r="J35" s="995">
        <f>362.24*12</f>
        <v>4346.88</v>
      </c>
      <c r="K35" s="993">
        <f>362.24*12</f>
        <v>4346.88</v>
      </c>
      <c r="L35" s="996">
        <f>362.24*12</f>
        <v>4346.88</v>
      </c>
      <c r="M35" s="963" t="s">
        <v>561</v>
      </c>
      <c r="N35" s="822"/>
      <c r="P35" s="818"/>
      <c r="Q35" s="819"/>
      <c r="R35" s="821"/>
      <c r="S35" s="838"/>
      <c r="T35" s="838"/>
      <c r="U35" s="838"/>
      <c r="V35" s="838"/>
      <c r="W35" s="838"/>
      <c r="X35" s="836"/>
      <c r="Y35" s="838"/>
      <c r="Z35" s="838"/>
      <c r="AA35" s="838"/>
      <c r="AB35" s="838"/>
      <c r="AC35" s="838"/>
      <c r="AD35" s="836"/>
      <c r="AE35" s="842"/>
      <c r="AF35" s="838"/>
      <c r="AG35" s="838"/>
      <c r="AH35" s="838"/>
      <c r="AI35" s="848"/>
      <c r="AJ35" s="819"/>
      <c r="AK35" s="819"/>
      <c r="AL35" s="819"/>
      <c r="AM35" s="820"/>
    </row>
    <row r="36" spans="3:39" ht="16.899999999999999" customHeight="1" x14ac:dyDescent="0.3">
      <c r="D36" s="821"/>
      <c r="E36" s="1607" t="s">
        <v>547</v>
      </c>
      <c r="F36" s="1608"/>
      <c r="G36" s="993">
        <v>607.46248288357151</v>
      </c>
      <c r="H36" s="994">
        <v>607.46248288357151</v>
      </c>
      <c r="I36" s="993">
        <v>607.46248288357151</v>
      </c>
      <c r="J36" s="995">
        <f>+'[8]Total Other Program Expense'!F145</f>
        <v>595.25965985651339</v>
      </c>
      <c r="K36" s="993">
        <f>+'[8]Total Other Program Expense'!F145</f>
        <v>595.25965985651339</v>
      </c>
      <c r="L36" s="996">
        <f>+'[8]Total Other Program Expense'!F145</f>
        <v>595.25965985651339</v>
      </c>
      <c r="M36" s="963" t="s">
        <v>562</v>
      </c>
      <c r="N36" s="822"/>
      <c r="P36" s="818"/>
      <c r="Q36" s="819"/>
      <c r="R36" s="821"/>
      <c r="S36" s="838"/>
      <c r="T36" s="838"/>
      <c r="U36" s="838"/>
      <c r="V36" s="838"/>
      <c r="W36" s="997" t="s">
        <v>83</v>
      </c>
      <c r="X36" s="836"/>
      <c r="Y36" s="838"/>
      <c r="Z36" s="838"/>
      <c r="AA36" s="838"/>
      <c r="AB36" s="838"/>
      <c r="AC36" s="997" t="s">
        <v>83</v>
      </c>
      <c r="AD36" s="836"/>
      <c r="AE36" s="842"/>
      <c r="AF36" s="838"/>
      <c r="AG36" s="838"/>
      <c r="AH36" s="838"/>
      <c r="AI36" s="998" t="s">
        <v>83</v>
      </c>
      <c r="AJ36" s="819"/>
      <c r="AK36" s="819"/>
      <c r="AL36" s="819"/>
      <c r="AM36" s="820"/>
    </row>
    <row r="37" spans="3:39" ht="16.899999999999999" customHeight="1" x14ac:dyDescent="0.3">
      <c r="D37" s="821"/>
      <c r="E37" s="1607" t="s">
        <v>548</v>
      </c>
      <c r="F37" s="1608"/>
      <c r="G37" s="993">
        <f>2050.69*(G46+1)</f>
        <v>2104.9074614138713</v>
      </c>
      <c r="H37" s="994">
        <f>2050.69*(G46+1)</f>
        <v>2104.9074614138713</v>
      </c>
      <c r="I37" s="993">
        <f>2050.69*(G46+1)</f>
        <v>2104.9074614138713</v>
      </c>
      <c r="J37" s="995">
        <f>+'[8]Total Other Program Expense'!H145</f>
        <v>2050.6945263847924</v>
      </c>
      <c r="K37" s="993">
        <f>+'[8]Total Other Program Expense'!H145</f>
        <v>2050.6945263847924</v>
      </c>
      <c r="L37" s="996">
        <f>+'[8]Total Other Program Expense'!H145</f>
        <v>2050.6945263847924</v>
      </c>
      <c r="M37" s="963" t="s">
        <v>563</v>
      </c>
      <c r="N37" s="822"/>
      <c r="P37" s="818"/>
      <c r="Q37" s="819"/>
      <c r="R37" s="821"/>
      <c r="S37" s="838" t="s">
        <v>564</v>
      </c>
      <c r="T37" s="838"/>
      <c r="U37" s="838"/>
      <c r="V37" s="999">
        <f>W32/W6</f>
        <v>43.063799761418075</v>
      </c>
      <c r="W37" s="999">
        <f>V37*(1+$U$34)</f>
        <v>43.869092816956588</v>
      </c>
      <c r="X37" s="836"/>
      <c r="Y37" s="838" t="s">
        <v>564</v>
      </c>
      <c r="Z37" s="838"/>
      <c r="AA37" s="838"/>
      <c r="AB37" s="999">
        <f>AC32/AC6</f>
        <v>59.683688156471071</v>
      </c>
      <c r="AC37" s="999">
        <f>AB37*(AA34+1)</f>
        <v>60.799773124997074</v>
      </c>
      <c r="AD37" s="836"/>
      <c r="AE37" s="842" t="s">
        <v>564</v>
      </c>
      <c r="AF37" s="838"/>
      <c r="AG37" s="838"/>
      <c r="AH37" s="999">
        <f>AI32/AI6</f>
        <v>100.06618216771807</v>
      </c>
      <c r="AI37" s="1000">
        <f>AH37*(AG34+1)</f>
        <v>101.93741977425439</v>
      </c>
      <c r="AJ37" s="819"/>
      <c r="AK37" s="819"/>
      <c r="AL37" s="819"/>
      <c r="AM37" s="820"/>
    </row>
    <row r="38" spans="3:39" ht="16.899999999999999" customHeight="1" x14ac:dyDescent="0.3">
      <c r="D38" s="821"/>
      <c r="E38" s="1607" t="s">
        <v>549</v>
      </c>
      <c r="F38" s="1608"/>
      <c r="G38" s="993">
        <v>0</v>
      </c>
      <c r="H38" s="994">
        <v>0</v>
      </c>
      <c r="I38" s="993">
        <f>1308.45*(G46+1)</f>
        <v>1343.0436428163107</v>
      </c>
      <c r="J38" s="995">
        <f>+'[8]Total Other Program Expense'!J145</f>
        <v>1282.1659565169891</v>
      </c>
      <c r="K38" s="993">
        <f>+'[8]Total Other Program Expense'!J145</f>
        <v>1282.1659565169891</v>
      </c>
      <c r="L38" s="996">
        <f>+'[8]Total Other Program Expense'!J145</f>
        <v>1282.1659565169891</v>
      </c>
      <c r="M38" s="963" t="s">
        <v>565</v>
      </c>
      <c r="N38" s="822"/>
      <c r="P38" s="818"/>
      <c r="Q38" s="819"/>
      <c r="R38" s="821"/>
      <c r="S38" s="1001" t="s">
        <v>566</v>
      </c>
      <c r="T38" s="1002">
        <v>0.95</v>
      </c>
      <c r="U38" s="1003"/>
      <c r="V38" s="1004"/>
      <c r="W38" s="1005">
        <f>W37/T38</f>
        <v>46.177992438901676</v>
      </c>
      <c r="X38" s="1006"/>
      <c r="Y38" s="1001" t="s">
        <v>566</v>
      </c>
      <c r="Z38" s="1002">
        <v>0.95</v>
      </c>
      <c r="AA38" s="1003"/>
      <c r="AB38" s="1004"/>
      <c r="AC38" s="1005">
        <f>AC37/Z38</f>
        <v>63.999761184207451</v>
      </c>
      <c r="AD38" s="1006"/>
      <c r="AE38" s="1007" t="s">
        <v>566</v>
      </c>
      <c r="AF38" s="1008">
        <v>0.95</v>
      </c>
      <c r="AG38" s="1009"/>
      <c r="AH38" s="1010"/>
      <c r="AI38" s="1011">
        <f>AI37/AF38</f>
        <v>107.30254713079411</v>
      </c>
      <c r="AJ38" s="1012"/>
      <c r="AK38" s="819"/>
      <c r="AL38" s="819"/>
      <c r="AM38" s="820"/>
    </row>
    <row r="39" spans="3:39" ht="24" customHeight="1" x14ac:dyDescent="0.3">
      <c r="D39" s="821"/>
      <c r="E39" s="1620"/>
      <c r="F39" s="1621"/>
      <c r="G39" s="993"/>
      <c r="H39" s="993"/>
      <c r="I39" s="993"/>
      <c r="J39" s="995"/>
      <c r="K39" s="993"/>
      <c r="L39" s="996"/>
      <c r="M39" s="963"/>
      <c r="N39" s="822"/>
      <c r="P39" s="818"/>
      <c r="Q39" s="819"/>
      <c r="R39" s="819"/>
      <c r="S39" s="1013"/>
      <c r="T39" s="1014"/>
      <c r="U39" s="1013"/>
      <c r="V39" s="1015"/>
      <c r="W39" s="1015"/>
      <c r="X39" s="1012"/>
      <c r="Y39" s="1013"/>
      <c r="Z39" s="1014"/>
      <c r="AA39" s="1013"/>
      <c r="AB39" s="1015"/>
      <c r="AC39" s="1015"/>
      <c r="AD39" s="1012"/>
      <c r="AE39" s="1016"/>
      <c r="AF39" s="1017"/>
      <c r="AG39" s="1018"/>
      <c r="AH39" s="1015"/>
      <c r="AI39" s="1015"/>
      <c r="AJ39" s="1012"/>
      <c r="AK39" s="819"/>
      <c r="AL39" s="819"/>
      <c r="AM39" s="820"/>
    </row>
    <row r="40" spans="3:39" ht="20.25" customHeight="1" thickBot="1" x14ac:dyDescent="0.35">
      <c r="D40" s="821"/>
      <c r="E40" s="1615" t="s">
        <v>229</v>
      </c>
      <c r="F40" s="1615"/>
      <c r="G40" s="993">
        <f>SUM(G35:G39)</f>
        <v>3191.8091701930216</v>
      </c>
      <c r="H40" s="993">
        <f>SUM(H35:H39)</f>
        <v>3850.6903997090276</v>
      </c>
      <c r="I40" s="993">
        <f>SUM(I35:I39)</f>
        <v>8608.6851443736596</v>
      </c>
      <c r="J40" s="1019">
        <f>SUM(J35,J36,J37,J38,J39)</f>
        <v>8275.0001427582938</v>
      </c>
      <c r="K40" s="1020">
        <f>SUM(K35:K39)</f>
        <v>8275.0001427582938</v>
      </c>
      <c r="L40" s="1021">
        <f>SUM(L35:L39)</f>
        <v>8275.0001427582938</v>
      </c>
      <c r="N40" s="822"/>
      <c r="P40" s="818"/>
      <c r="Q40" s="819"/>
      <c r="R40" s="819"/>
      <c r="S40" s="819"/>
      <c r="T40" s="819"/>
      <c r="U40" s="819"/>
      <c r="V40" s="819"/>
      <c r="W40" s="819"/>
      <c r="X40" s="819"/>
      <c r="Y40" s="819"/>
      <c r="Z40" s="819"/>
      <c r="AA40" s="819"/>
      <c r="AB40" s="819"/>
      <c r="AC40" s="819"/>
      <c r="AD40" s="819"/>
      <c r="AE40" s="819"/>
      <c r="AF40" s="819"/>
      <c r="AG40" s="819"/>
      <c r="AH40" s="819"/>
      <c r="AI40" s="819"/>
      <c r="AJ40" s="819"/>
      <c r="AK40" s="819"/>
      <c r="AL40" s="819"/>
      <c r="AM40" s="820"/>
    </row>
    <row r="41" spans="3:39" ht="20.25" customHeight="1" x14ac:dyDescent="0.3">
      <c r="D41" s="821"/>
      <c r="E41" s="1022"/>
      <c r="F41" s="1023"/>
      <c r="N41" s="822"/>
      <c r="P41" s="818"/>
      <c r="Q41" s="819"/>
      <c r="R41" s="819"/>
      <c r="S41" s="819"/>
      <c r="T41" s="819"/>
      <c r="U41" s="819"/>
      <c r="V41" s="819"/>
      <c r="W41" s="1024"/>
      <c r="X41" s="819"/>
      <c r="Y41" s="819"/>
      <c r="Z41" s="819"/>
      <c r="AA41" s="819"/>
      <c r="AB41" s="819"/>
      <c r="AC41" s="1024"/>
      <c r="AD41" s="819"/>
      <c r="AE41" s="819"/>
      <c r="AF41" s="819"/>
      <c r="AG41" s="819"/>
      <c r="AH41" s="819"/>
      <c r="AI41" s="1024"/>
      <c r="AJ41" s="819"/>
      <c r="AK41" s="819"/>
      <c r="AL41" s="819"/>
      <c r="AM41" s="820"/>
    </row>
    <row r="42" spans="3:39" ht="20.25" customHeight="1" x14ac:dyDescent="0.3">
      <c r="D42" s="821"/>
      <c r="E42" s="1023"/>
      <c r="F42" s="1023"/>
      <c r="G42" s="1025"/>
      <c r="H42" s="1025"/>
      <c r="I42" s="1026"/>
      <c r="J42" s="1023"/>
      <c r="K42" s="1026"/>
      <c r="L42" s="1023"/>
      <c r="N42" s="822"/>
      <c r="P42" s="818"/>
      <c r="Q42" s="819"/>
      <c r="R42" s="819"/>
      <c r="S42" s="819"/>
      <c r="T42" s="819"/>
      <c r="U42" s="819"/>
      <c r="V42" s="819"/>
      <c r="W42" s="819"/>
      <c r="X42" s="819"/>
      <c r="Y42" s="819"/>
      <c r="Z42" s="819"/>
      <c r="AA42" s="819"/>
      <c r="AB42" s="819"/>
      <c r="AC42" s="819"/>
      <c r="AD42" s="819"/>
      <c r="AE42" s="819"/>
      <c r="AF42" s="819"/>
      <c r="AG42" s="819"/>
      <c r="AH42" s="819"/>
      <c r="AI42" s="819"/>
      <c r="AJ42" s="819"/>
      <c r="AK42" s="819"/>
      <c r="AL42" s="819"/>
      <c r="AM42" s="820"/>
    </row>
    <row r="43" spans="3:39" ht="29.25" customHeight="1" x14ac:dyDescent="0.25">
      <c r="D43" s="821"/>
      <c r="E43" s="1622" t="s">
        <v>552</v>
      </c>
      <c r="F43" s="1623"/>
      <c r="G43" s="960">
        <v>9.9440000000000001E-2</v>
      </c>
      <c r="H43" s="1025"/>
      <c r="I43" s="1026"/>
      <c r="J43" s="1023"/>
      <c r="K43" s="1023"/>
      <c r="L43" s="1023"/>
      <c r="M43" s="1027" t="s">
        <v>567</v>
      </c>
      <c r="N43" s="822"/>
      <c r="P43" s="818"/>
      <c r="Q43" s="819"/>
      <c r="R43" s="819"/>
      <c r="S43" s="819"/>
      <c r="T43" s="819"/>
      <c r="U43" s="819"/>
      <c r="V43" s="819"/>
      <c r="W43" s="819"/>
      <c r="X43" s="819"/>
      <c r="Y43" s="819"/>
      <c r="Z43" s="819"/>
      <c r="AA43" s="819"/>
      <c r="AB43" s="819"/>
      <c r="AC43" s="819"/>
      <c r="AD43" s="819"/>
      <c r="AE43" s="819"/>
      <c r="AF43" s="819"/>
      <c r="AG43" s="819"/>
      <c r="AH43" s="819"/>
      <c r="AI43" s="819"/>
      <c r="AJ43" s="819"/>
      <c r="AK43" s="819"/>
      <c r="AL43" s="819"/>
      <c r="AM43" s="820"/>
    </row>
    <row r="44" spans="3:39" ht="20.25" customHeight="1" thickBot="1" x14ac:dyDescent="0.3">
      <c r="C44" s="819"/>
      <c r="D44" s="821"/>
      <c r="E44" s="1025" t="s">
        <v>568</v>
      </c>
      <c r="F44" s="1025"/>
      <c r="G44" s="1025">
        <v>36764</v>
      </c>
      <c r="H44" s="1025"/>
      <c r="I44" s="1025"/>
      <c r="J44" s="1023"/>
      <c r="K44" s="1023"/>
      <c r="L44" s="1023"/>
      <c r="M44" s="829" t="s">
        <v>569</v>
      </c>
      <c r="N44" s="822"/>
      <c r="P44" s="1028"/>
      <c r="Q44" s="1029"/>
      <c r="R44" s="1029"/>
      <c r="S44" s="1029"/>
      <c r="T44" s="1029"/>
      <c r="U44" s="1029"/>
      <c r="V44" s="1029"/>
      <c r="W44" s="1029"/>
      <c r="X44" s="1029"/>
      <c r="Y44" s="1029"/>
      <c r="Z44" s="1029"/>
      <c r="AA44" s="1029"/>
      <c r="AB44" s="1029"/>
      <c r="AC44" s="1029"/>
      <c r="AD44" s="1029"/>
      <c r="AE44" s="1029"/>
      <c r="AF44" s="1029"/>
      <c r="AG44" s="1029"/>
      <c r="AH44" s="1029"/>
      <c r="AI44" s="1029"/>
      <c r="AJ44" s="1029"/>
      <c r="AK44" s="1029"/>
      <c r="AL44" s="1029"/>
      <c r="AM44" s="1030"/>
    </row>
    <row r="45" spans="3:39" ht="20.25" customHeight="1" x14ac:dyDescent="0.25">
      <c r="C45" s="819"/>
      <c r="D45" s="821"/>
      <c r="E45" s="1023"/>
      <c r="F45" s="1025"/>
      <c r="G45" s="1025"/>
      <c r="H45" s="1025"/>
      <c r="I45" s="1025"/>
      <c r="J45" s="1023"/>
      <c r="K45" s="1023"/>
      <c r="L45" s="828"/>
      <c r="M45" s="829"/>
      <c r="N45" s="822"/>
    </row>
    <row r="46" spans="3:39" ht="20.25" customHeight="1" x14ac:dyDescent="0.25">
      <c r="C46" s="819"/>
      <c r="D46" s="821"/>
      <c r="E46" s="1622" t="s">
        <v>570</v>
      </c>
      <c r="F46" s="1623"/>
      <c r="G46" s="1031">
        <f>'[9]AMSS &amp; Support Services'!J65</f>
        <v>2.6438643292682744E-2</v>
      </c>
      <c r="H46" s="1025"/>
      <c r="I46" s="1025"/>
      <c r="J46" s="1023"/>
      <c r="K46" s="1023"/>
      <c r="L46" s="1023"/>
      <c r="M46" s="927" t="s">
        <v>235</v>
      </c>
      <c r="N46" s="822"/>
    </row>
    <row r="47" spans="3:39" ht="20.25" customHeight="1" x14ac:dyDescent="0.25">
      <c r="C47" s="819"/>
      <c r="D47" s="821"/>
      <c r="E47" s="1023"/>
      <c r="F47" s="1023"/>
      <c r="G47" s="1023"/>
      <c r="H47" s="1025"/>
      <c r="I47" s="1025"/>
      <c r="J47" s="828"/>
      <c r="K47" s="1023"/>
      <c r="L47" s="1023"/>
      <c r="N47" s="822"/>
    </row>
    <row r="48" spans="3:39" ht="20.25" customHeight="1" x14ac:dyDescent="0.25">
      <c r="D48" s="821"/>
      <c r="E48" s="1622" t="s">
        <v>571</v>
      </c>
      <c r="F48" s="1623"/>
      <c r="G48" s="1032">
        <v>2.0299999999999999E-2</v>
      </c>
      <c r="H48" s="864"/>
      <c r="I48" s="864"/>
      <c r="J48" s="864"/>
      <c r="K48" s="864"/>
      <c r="L48" s="1033"/>
      <c r="M48" s="1033"/>
      <c r="N48" s="822"/>
    </row>
    <row r="51" spans="2:9" ht="20.25" customHeight="1" thickBot="1" x14ac:dyDescent="0.3">
      <c r="B51" s="816"/>
      <c r="C51" s="816"/>
      <c r="D51" s="816"/>
      <c r="E51" s="816"/>
      <c r="F51" s="816"/>
      <c r="G51" s="816"/>
      <c r="H51" s="1624" t="s">
        <v>572</v>
      </c>
      <c r="I51" s="1625"/>
    </row>
    <row r="52" spans="2:9" ht="20.25" customHeight="1" thickBot="1" x14ac:dyDescent="0.3">
      <c r="H52" s="1034">
        <f>2688/8</f>
        <v>336</v>
      </c>
      <c r="I52" s="1035"/>
    </row>
    <row r="53" spans="2:9" ht="34.5" customHeight="1" x14ac:dyDescent="0.25">
      <c r="B53" s="1036"/>
      <c r="C53" s="1037" t="s">
        <v>573</v>
      </c>
      <c r="D53" s="1037" t="s">
        <v>574</v>
      </c>
      <c r="E53" s="1037" t="s">
        <v>575</v>
      </c>
      <c r="F53" s="1038" t="s">
        <v>576</v>
      </c>
      <c r="H53" s="818">
        <f>H52/2</f>
        <v>168</v>
      </c>
      <c r="I53" s="820"/>
    </row>
    <row r="54" spans="2:9" ht="42.75" customHeight="1" x14ac:dyDescent="0.25">
      <c r="B54" s="1039" t="s">
        <v>29</v>
      </c>
      <c r="C54" s="232" t="s">
        <v>577</v>
      </c>
      <c r="D54" s="232" t="s">
        <v>578</v>
      </c>
      <c r="E54" s="232" t="s">
        <v>579</v>
      </c>
      <c r="F54" s="1040" t="s">
        <v>580</v>
      </c>
      <c r="H54" s="818">
        <f>H53/40</f>
        <v>4.2</v>
      </c>
      <c r="I54" s="820"/>
    </row>
    <row r="55" spans="2:9" ht="20.25" customHeight="1" x14ac:dyDescent="0.25">
      <c r="B55" s="1039" t="s">
        <v>528</v>
      </c>
      <c r="C55" s="1041">
        <v>5.2083333333333336E-2</v>
      </c>
      <c r="D55" s="1041">
        <v>4.9305555555555554E-2</v>
      </c>
      <c r="E55" s="1041">
        <v>4.7222222222222221E-2</v>
      </c>
      <c r="F55" s="1040" t="s">
        <v>581</v>
      </c>
      <c r="H55" s="818"/>
      <c r="I55" s="820"/>
    </row>
    <row r="56" spans="2:9" ht="36.75" customHeight="1" x14ac:dyDescent="0.25">
      <c r="B56" s="1039" t="s">
        <v>530</v>
      </c>
      <c r="C56" s="232">
        <v>1.2999999999999999E-2</v>
      </c>
      <c r="D56" s="232" t="s">
        <v>582</v>
      </c>
      <c r="E56" s="232" t="s">
        <v>582</v>
      </c>
      <c r="F56" s="1040" t="s">
        <v>581</v>
      </c>
      <c r="H56" s="818">
        <f>2080*8</f>
        <v>16640</v>
      </c>
      <c r="I56" s="820">
        <f>H56*1.07</f>
        <v>17804.8</v>
      </c>
    </row>
    <row r="57" spans="2:9" ht="48" customHeight="1" x14ac:dyDescent="0.25">
      <c r="B57" s="1039" t="s">
        <v>583</v>
      </c>
      <c r="C57" s="232" t="s">
        <v>584</v>
      </c>
      <c r="D57" s="232" t="s">
        <v>585</v>
      </c>
      <c r="E57" s="232" t="s">
        <v>586</v>
      </c>
      <c r="F57" s="1040" t="s">
        <v>587</v>
      </c>
      <c r="H57" s="818">
        <f>2688/16640</f>
        <v>0.16153846153846155</v>
      </c>
      <c r="I57" s="820"/>
    </row>
    <row r="58" spans="2:9" ht="20.25" customHeight="1" x14ac:dyDescent="0.25">
      <c r="B58" s="1039"/>
      <c r="C58" s="232"/>
      <c r="D58" s="232"/>
      <c r="E58" s="232"/>
      <c r="F58" s="1040"/>
      <c r="H58" s="1042"/>
      <c r="I58" s="820"/>
    </row>
    <row r="59" spans="2:9" ht="51.75" customHeight="1" x14ac:dyDescent="0.25">
      <c r="B59" s="1039" t="s">
        <v>588</v>
      </c>
      <c r="C59" s="1043">
        <v>0.2485</v>
      </c>
      <c r="D59" s="1043">
        <f>C59</f>
        <v>0.2485</v>
      </c>
      <c r="E59" s="1043">
        <f>D59</f>
        <v>0.2485</v>
      </c>
      <c r="F59" s="1040" t="s">
        <v>589</v>
      </c>
      <c r="H59" s="818">
        <f>2080*8</f>
        <v>16640</v>
      </c>
      <c r="I59" s="820"/>
    </row>
    <row r="60" spans="2:9" ht="20.25" customHeight="1" x14ac:dyDescent="0.25">
      <c r="B60" s="1039"/>
      <c r="C60" s="232"/>
      <c r="D60" s="232"/>
      <c r="E60" s="232"/>
      <c r="F60" s="1040"/>
      <c r="H60" s="818">
        <f>4032/H59</f>
        <v>0.24230769230769231</v>
      </c>
      <c r="I60" s="820"/>
    </row>
    <row r="61" spans="2:9" ht="47.25" customHeight="1" x14ac:dyDescent="0.25">
      <c r="B61" s="1039" t="s">
        <v>61</v>
      </c>
      <c r="C61" s="232" t="s">
        <v>590</v>
      </c>
      <c r="D61" s="232" t="s">
        <v>590</v>
      </c>
      <c r="E61" s="232" t="s">
        <v>590</v>
      </c>
      <c r="F61" s="1040" t="s">
        <v>589</v>
      </c>
      <c r="H61" s="1042"/>
      <c r="I61" s="820"/>
    </row>
    <row r="62" spans="2:9" ht="56.25" customHeight="1" x14ac:dyDescent="0.25">
      <c r="B62" s="1039" t="s">
        <v>591</v>
      </c>
      <c r="C62" s="232" t="s">
        <v>592</v>
      </c>
      <c r="D62" s="232" t="s">
        <v>593</v>
      </c>
      <c r="E62" s="232" t="s">
        <v>594</v>
      </c>
      <c r="F62" s="1040" t="s">
        <v>595</v>
      </c>
      <c r="H62" s="818"/>
      <c r="I62" s="820"/>
    </row>
    <row r="63" spans="2:9" ht="48" customHeight="1" x14ac:dyDescent="0.25">
      <c r="B63" s="1039" t="s">
        <v>596</v>
      </c>
      <c r="C63" s="232" t="s">
        <v>597</v>
      </c>
      <c r="D63" s="232" t="str">
        <f>C63</f>
        <v>$595.26/client/year</v>
      </c>
      <c r="E63" s="232" t="str">
        <f>D63</f>
        <v>$595.26/client/year</v>
      </c>
      <c r="F63" s="1040" t="s">
        <v>589</v>
      </c>
      <c r="H63" s="818">
        <f>2080*8</f>
        <v>16640</v>
      </c>
      <c r="I63" s="820"/>
    </row>
    <row r="64" spans="2:9" ht="44.25" customHeight="1" thickBot="1" x14ac:dyDescent="0.3">
      <c r="B64" s="1039" t="s">
        <v>598</v>
      </c>
      <c r="C64" s="232" t="s">
        <v>599</v>
      </c>
      <c r="D64" s="232" t="str">
        <f>C64</f>
        <v>$2,050.69/client/year</v>
      </c>
      <c r="E64" s="232" t="str">
        <f>D64</f>
        <v>$2,050.69/client/year</v>
      </c>
      <c r="F64" s="1040" t="s">
        <v>589</v>
      </c>
      <c r="H64" s="1028">
        <f>6720/H63</f>
        <v>0.40384615384615385</v>
      </c>
      <c r="I64" s="1030"/>
    </row>
    <row r="65" spans="2:28" ht="47.25" customHeight="1" x14ac:dyDescent="0.25">
      <c r="B65" s="1039" t="s">
        <v>600</v>
      </c>
      <c r="C65" s="232">
        <v>0</v>
      </c>
      <c r="D65" s="232">
        <v>0</v>
      </c>
      <c r="E65" s="1044" t="s">
        <v>601</v>
      </c>
      <c r="F65" s="1040" t="s">
        <v>589</v>
      </c>
    </row>
    <row r="66" spans="2:28" ht="20.25" customHeight="1" thickBot="1" x14ac:dyDescent="0.3">
      <c r="B66" s="1039"/>
      <c r="C66" s="232"/>
      <c r="D66" s="232"/>
      <c r="E66" s="1044"/>
      <c r="F66" s="1040"/>
    </row>
    <row r="67" spans="2:28" ht="51" customHeight="1" thickBot="1" x14ac:dyDescent="0.3">
      <c r="B67" s="1039" t="s">
        <v>602</v>
      </c>
      <c r="C67" s="1043">
        <v>9.9400000000000002E-2</v>
      </c>
      <c r="D67" s="1043">
        <f>C67</f>
        <v>9.9400000000000002E-2</v>
      </c>
      <c r="E67" s="1043">
        <f>D67</f>
        <v>9.9400000000000002E-2</v>
      </c>
      <c r="F67" s="1040" t="s">
        <v>589</v>
      </c>
      <c r="H67" s="1626" t="s">
        <v>603</v>
      </c>
      <c r="I67" s="1627"/>
      <c r="J67" s="1628"/>
    </row>
    <row r="68" spans="2:28" ht="20.25" customHeight="1" x14ac:dyDescent="0.25">
      <c r="B68" s="1039"/>
      <c r="C68" s="1043"/>
      <c r="D68" s="1043"/>
      <c r="E68" s="1043"/>
      <c r="F68" s="1040"/>
      <c r="H68" s="1034">
        <f>H23/G23</f>
        <v>1.3636363636363638</v>
      </c>
      <c r="I68" s="1045">
        <f>H68*G24</f>
        <v>1.7727272727272727E-2</v>
      </c>
      <c r="J68" s="1035"/>
    </row>
    <row r="69" spans="2:28" ht="39.75" customHeight="1" thickBot="1" x14ac:dyDescent="0.3">
      <c r="B69" s="1046" t="s">
        <v>210</v>
      </c>
      <c r="C69" s="1047">
        <v>3.9300000000000002E-2</v>
      </c>
      <c r="D69" s="1047">
        <f>C69</f>
        <v>3.9300000000000002E-2</v>
      </c>
      <c r="E69" s="1047">
        <f>D69</f>
        <v>3.9300000000000002E-2</v>
      </c>
      <c r="F69" s="1048" t="s">
        <v>604</v>
      </c>
      <c r="H69" s="1028">
        <f>G24/G23</f>
        <v>0.19500000000000001</v>
      </c>
      <c r="I69" s="1029">
        <f>H69*H23</f>
        <v>1.7727272727272727E-2</v>
      </c>
      <c r="J69" s="1030">
        <f>H69*I23</f>
        <v>2.4375000000000001E-2</v>
      </c>
    </row>
    <row r="71" spans="2:28" ht="20.25" customHeight="1" x14ac:dyDescent="0.25">
      <c r="AB71" s="1049"/>
    </row>
    <row r="80" spans="2:28" ht="20.25" customHeight="1" thickBot="1" x14ac:dyDescent="0.3"/>
    <row r="81" spans="16:35" ht="20.25" customHeight="1" x14ac:dyDescent="0.25">
      <c r="P81" s="1050" t="s">
        <v>605</v>
      </c>
      <c r="Q81" s="1051"/>
      <c r="R81" s="1052"/>
      <c r="S81" s="1052" t="s">
        <v>606</v>
      </c>
      <c r="T81" s="1052" t="s">
        <v>606</v>
      </c>
      <c r="U81" s="1052" t="s">
        <v>606</v>
      </c>
      <c r="V81" s="1052" t="s">
        <v>606</v>
      </c>
      <c r="W81" s="1052" t="s">
        <v>606</v>
      </c>
      <c r="X81" s="1052" t="s">
        <v>606</v>
      </c>
      <c r="Y81" s="1052" t="s">
        <v>606</v>
      </c>
      <c r="Z81" s="1052" t="s">
        <v>606</v>
      </c>
      <c r="AA81" s="1052" t="s">
        <v>606</v>
      </c>
      <c r="AB81" s="1052" t="s">
        <v>606</v>
      </c>
      <c r="AC81" s="1052" t="s">
        <v>606</v>
      </c>
      <c r="AD81" s="1052" t="s">
        <v>606</v>
      </c>
      <c r="AE81" s="1052" t="s">
        <v>606</v>
      </c>
      <c r="AF81" s="1052" t="s">
        <v>606</v>
      </c>
      <c r="AG81" s="1052" t="s">
        <v>606</v>
      </c>
      <c r="AH81" s="1052" t="s">
        <v>606</v>
      </c>
      <c r="AI81" s="1052" t="s">
        <v>606</v>
      </c>
    </row>
    <row r="82" spans="16:35" ht="20.25" customHeight="1" x14ac:dyDescent="0.25">
      <c r="P82" s="818"/>
      <c r="Q82" s="819"/>
      <c r="R82" s="819"/>
      <c r="S82" s="819"/>
      <c r="T82" s="819"/>
      <c r="V82" s="830"/>
      <c r="W82" s="830"/>
      <c r="X82" s="830"/>
      <c r="Y82" s="830"/>
      <c r="Z82" s="830"/>
      <c r="AA82" s="830"/>
      <c r="AB82" s="830"/>
      <c r="AC82" s="830"/>
      <c r="AD82" s="830"/>
      <c r="AE82" s="830"/>
      <c r="AF82" s="830"/>
      <c r="AH82" s="830"/>
      <c r="AI82" s="830"/>
    </row>
    <row r="83" spans="16:35" ht="20.25" customHeight="1" x14ac:dyDescent="0.25">
      <c r="P83" s="818"/>
      <c r="Q83" s="819"/>
      <c r="R83" s="819"/>
      <c r="S83" s="1629" t="s">
        <v>501</v>
      </c>
      <c r="T83" s="1630"/>
      <c r="U83" s="1630"/>
      <c r="V83" s="1630"/>
      <c r="W83" s="1631"/>
      <c r="X83" s="819"/>
      <c r="Y83" s="1629" t="s">
        <v>502</v>
      </c>
      <c r="Z83" s="1630"/>
      <c r="AA83" s="1630"/>
      <c r="AB83" s="1630"/>
      <c r="AC83" s="1631"/>
      <c r="AD83" s="819"/>
      <c r="AE83" s="1629" t="s">
        <v>503</v>
      </c>
      <c r="AF83" s="1630"/>
      <c r="AG83" s="1630"/>
      <c r="AH83" s="1630"/>
      <c r="AI83" s="1631"/>
    </row>
    <row r="84" spans="16:35" ht="20.25" customHeight="1" thickBot="1" x14ac:dyDescent="0.3">
      <c r="P84" s="818"/>
      <c r="Q84" s="819"/>
      <c r="R84" s="819"/>
      <c r="S84" s="1584" t="s">
        <v>506</v>
      </c>
      <c r="T84" s="1583"/>
      <c r="U84" s="1583"/>
      <c r="V84" s="1583"/>
      <c r="W84" s="1585"/>
      <c r="X84" s="819"/>
      <c r="Y84" s="1584" t="s">
        <v>506</v>
      </c>
      <c r="Z84" s="1583"/>
      <c r="AA84" s="1583"/>
      <c r="AB84" s="1583"/>
      <c r="AC84" s="1583"/>
      <c r="AD84" s="915"/>
      <c r="AE84" s="1583" t="s">
        <v>506</v>
      </c>
      <c r="AF84" s="1583"/>
      <c r="AG84" s="1583"/>
      <c r="AH84" s="1583"/>
      <c r="AI84" s="1585"/>
    </row>
    <row r="85" spans="16:35" ht="20.25" customHeight="1" x14ac:dyDescent="0.25">
      <c r="P85" s="818"/>
      <c r="Q85" s="819"/>
      <c r="R85" s="819"/>
      <c r="S85" s="842" t="s">
        <v>508</v>
      </c>
      <c r="T85" s="839">
        <v>1</v>
      </c>
      <c r="U85" s="840">
        <v>15</v>
      </c>
      <c r="V85" s="838" t="s">
        <v>509</v>
      </c>
      <c r="W85" s="843">
        <f>T85*365</f>
        <v>365</v>
      </c>
      <c r="X85" s="819"/>
      <c r="Y85" s="842" t="s">
        <v>510</v>
      </c>
      <c r="Z85" s="839">
        <v>1</v>
      </c>
      <c r="AA85" s="840">
        <v>11</v>
      </c>
      <c r="AB85" s="838" t="s">
        <v>509</v>
      </c>
      <c r="AC85" s="841">
        <f>Z85*365</f>
        <v>365</v>
      </c>
      <c r="AD85" s="915"/>
      <c r="AE85" s="838" t="s">
        <v>511</v>
      </c>
      <c r="AF85" s="839">
        <v>1</v>
      </c>
      <c r="AG85" s="840">
        <v>8</v>
      </c>
      <c r="AH85" s="838" t="s">
        <v>509</v>
      </c>
      <c r="AI85" s="843">
        <f>AF85*365</f>
        <v>365</v>
      </c>
    </row>
    <row r="86" spans="16:35" ht="20.25" customHeight="1" x14ac:dyDescent="0.25">
      <c r="P86" s="818"/>
      <c r="Q86" s="819"/>
      <c r="R86" s="819"/>
      <c r="S86" s="1053"/>
      <c r="T86" s="846" t="s">
        <v>607</v>
      </c>
      <c r="U86" s="847" t="s">
        <v>513</v>
      </c>
      <c r="V86" s="1054"/>
      <c r="W86" s="1055"/>
      <c r="X86" s="819"/>
      <c r="Y86" s="1053"/>
      <c r="Z86" s="830" t="s">
        <v>607</v>
      </c>
      <c r="AA86" s="847" t="s">
        <v>513</v>
      </c>
      <c r="AB86" s="1054"/>
      <c r="AC86" s="1054"/>
      <c r="AD86" s="915"/>
      <c r="AE86" s="1054"/>
      <c r="AF86" s="830" t="s">
        <v>607</v>
      </c>
      <c r="AG86" s="847" t="s">
        <v>513</v>
      </c>
      <c r="AH86" s="1054"/>
      <c r="AI86" s="1055"/>
    </row>
    <row r="87" spans="16:35" ht="20.25" customHeight="1" x14ac:dyDescent="0.25">
      <c r="P87" s="818"/>
      <c r="Q87" s="819"/>
      <c r="R87" s="819"/>
      <c r="S87" s="854"/>
      <c r="T87" s="852"/>
      <c r="U87" s="853" t="s">
        <v>21</v>
      </c>
      <c r="V87" s="853" t="s">
        <v>22</v>
      </c>
      <c r="W87" s="855" t="s">
        <v>23</v>
      </c>
      <c r="X87" s="819"/>
      <c r="Y87" s="854"/>
      <c r="Z87" s="852"/>
      <c r="AA87" s="853" t="s">
        <v>21</v>
      </c>
      <c r="AB87" s="853" t="s">
        <v>22</v>
      </c>
      <c r="AC87" s="853" t="s">
        <v>23</v>
      </c>
      <c r="AD87" s="915"/>
      <c r="AE87" s="852"/>
      <c r="AF87" s="852"/>
      <c r="AG87" s="853" t="s">
        <v>21</v>
      </c>
      <c r="AH87" s="853" t="s">
        <v>22</v>
      </c>
      <c r="AI87" s="853" t="s">
        <v>23</v>
      </c>
    </row>
    <row r="88" spans="16:35" ht="20.25" customHeight="1" x14ac:dyDescent="0.25">
      <c r="P88" s="818"/>
      <c r="Q88" s="819"/>
      <c r="R88" s="821"/>
      <c r="S88" s="857" t="s">
        <v>29</v>
      </c>
      <c r="T88" s="1054"/>
      <c r="U88" s="1056">
        <f>+G12</f>
        <v>54790.268340320108</v>
      </c>
      <c r="V88" s="1057">
        <f>+G22</f>
        <v>3.5999999999999997E-2</v>
      </c>
      <c r="W88" s="1058">
        <f>U88*V88</f>
        <v>1972.4496602515237</v>
      </c>
      <c r="X88" s="915"/>
      <c r="Y88" s="857" t="s">
        <v>29</v>
      </c>
      <c r="Z88" s="1054"/>
      <c r="AA88" s="1056">
        <f>+H12</f>
        <v>54788.215463033521</v>
      </c>
      <c r="AB88" s="1057">
        <f>+H22</f>
        <v>4.4999999999999998E-2</v>
      </c>
      <c r="AC88" s="1059">
        <f>AA88*AB88</f>
        <v>2465.4696958365084</v>
      </c>
      <c r="AD88" s="915"/>
      <c r="AE88" s="857" t="s">
        <v>29</v>
      </c>
      <c r="AF88" s="1054"/>
      <c r="AG88" s="1056">
        <f>+I12</f>
        <v>54788.215463033521</v>
      </c>
      <c r="AH88" s="1057">
        <f>+I22</f>
        <v>5.6000000000000001E-2</v>
      </c>
      <c r="AI88" s="1059">
        <f>AG88*AH88</f>
        <v>3068.1400659298774</v>
      </c>
    </row>
    <row r="89" spans="16:35" ht="20.25" customHeight="1" x14ac:dyDescent="0.25">
      <c r="P89" s="818"/>
      <c r="Q89" s="819"/>
      <c r="R89" s="821"/>
      <c r="S89" s="865" t="s">
        <v>518</v>
      </c>
      <c r="T89" s="1054"/>
      <c r="U89" s="1056">
        <f>+G13</f>
        <v>35717.5</v>
      </c>
      <c r="V89" s="1057">
        <f>+G23</f>
        <v>6.6666666666666666E-2</v>
      </c>
      <c r="W89" s="1058">
        <f>U89*V89</f>
        <v>2381.1666666666665</v>
      </c>
      <c r="X89" s="915"/>
      <c r="Y89" s="865" t="s">
        <v>518</v>
      </c>
      <c r="Z89" s="1054"/>
      <c r="AA89" s="1056">
        <f>+H13</f>
        <v>35717.5</v>
      </c>
      <c r="AB89" s="1057">
        <f>+H23</f>
        <v>9.0909090909090912E-2</v>
      </c>
      <c r="AC89" s="1059">
        <f>AA89*AB89</f>
        <v>3247.0454545454545</v>
      </c>
      <c r="AD89" s="915"/>
      <c r="AE89" s="865" t="s">
        <v>518</v>
      </c>
      <c r="AF89" s="1054"/>
      <c r="AG89" s="1056">
        <f>+I13</f>
        <v>35717.5</v>
      </c>
      <c r="AH89" s="1057">
        <f>+I23</f>
        <v>0.125</v>
      </c>
      <c r="AI89" s="1059">
        <f>AG89*AH89</f>
        <v>4464.6875</v>
      </c>
    </row>
    <row r="90" spans="16:35" ht="20.25" customHeight="1" x14ac:dyDescent="0.25">
      <c r="P90" s="818"/>
      <c r="Q90" s="819"/>
      <c r="R90" s="821"/>
      <c r="S90" s="857" t="s">
        <v>525</v>
      </c>
      <c r="T90" s="1054"/>
      <c r="U90" s="1056">
        <f>+G14</f>
        <v>48884.140386814011</v>
      </c>
      <c r="V90" s="1057">
        <f>+G24</f>
        <v>1.2999999999999999E-2</v>
      </c>
      <c r="W90" s="1059">
        <f>U90*V90</f>
        <v>635.49382502858214</v>
      </c>
      <c r="X90" s="915"/>
      <c r="Y90" s="857" t="s">
        <v>525</v>
      </c>
      <c r="Z90" s="1054"/>
      <c r="AA90" s="1056">
        <f>+H14</f>
        <v>48883.113948170721</v>
      </c>
      <c r="AB90" s="1057">
        <f>+H24</f>
        <v>1.7727272727272727E-2</v>
      </c>
      <c r="AC90" s="1059">
        <f>AA90*AB90</f>
        <v>866.5642927175719</v>
      </c>
      <c r="AD90" s="915"/>
      <c r="AE90" s="857" t="s">
        <v>525</v>
      </c>
      <c r="AF90" s="1054"/>
      <c r="AG90" s="1056">
        <f>+I14</f>
        <v>48883.113948170721</v>
      </c>
      <c r="AH90" s="1057">
        <f>+I24</f>
        <v>2.4375000000000001E-2</v>
      </c>
      <c r="AI90" s="1059">
        <f>AG90*AH90</f>
        <v>1191.5259024866614</v>
      </c>
    </row>
    <row r="91" spans="16:35" ht="20.25" customHeight="1" x14ac:dyDescent="0.25">
      <c r="P91" s="818"/>
      <c r="Q91" s="819"/>
      <c r="R91" s="821"/>
      <c r="S91" s="851" t="s">
        <v>527</v>
      </c>
      <c r="T91" s="819"/>
      <c r="U91" s="1060">
        <f>+G15</f>
        <v>23484.91615853658</v>
      </c>
      <c r="V91" s="1061">
        <f>+G25</f>
        <v>0.16153846153846155</v>
      </c>
      <c r="W91" s="1062">
        <f>U91*V91</f>
        <v>3793.7172256097556</v>
      </c>
      <c r="X91" s="915"/>
      <c r="Y91" s="851" t="s">
        <v>527</v>
      </c>
      <c r="Z91" s="819"/>
      <c r="AA91" s="1063">
        <f>+H15</f>
        <v>23484.91615853658</v>
      </c>
      <c r="AB91" s="1064">
        <f>+H25</f>
        <v>0.24230769230769231</v>
      </c>
      <c r="AC91" s="1065">
        <f>AA91*AB91</f>
        <v>5690.5758384146329</v>
      </c>
      <c r="AD91" s="915"/>
      <c r="AE91" s="851" t="s">
        <v>527</v>
      </c>
      <c r="AF91" s="819"/>
      <c r="AG91" s="1063">
        <f>+I15</f>
        <v>25129.270865091457</v>
      </c>
      <c r="AH91" s="1066">
        <f>+I25</f>
        <v>0.40384615384615385</v>
      </c>
      <c r="AI91" s="1065">
        <f>AG91*AH91</f>
        <v>10148.359387825396</v>
      </c>
    </row>
    <row r="92" spans="16:35" ht="20.25" customHeight="1" x14ac:dyDescent="0.25">
      <c r="P92" s="818"/>
      <c r="Q92" s="819"/>
      <c r="R92" s="821"/>
      <c r="S92" s="847" t="s">
        <v>529</v>
      </c>
      <c r="T92" s="819"/>
      <c r="U92" s="1067">
        <v>0</v>
      </c>
      <c r="V92" s="1068">
        <v>0</v>
      </c>
      <c r="W92" s="828">
        <v>0</v>
      </c>
      <c r="X92" s="915"/>
      <c r="Y92" s="847" t="s">
        <v>529</v>
      </c>
      <c r="Z92" s="819"/>
      <c r="AA92" s="1067">
        <v>0</v>
      </c>
      <c r="AB92" s="1068">
        <v>0</v>
      </c>
      <c r="AC92" s="828">
        <v>0</v>
      </c>
      <c r="AD92" s="915"/>
      <c r="AE92" s="847" t="s">
        <v>529</v>
      </c>
      <c r="AF92" s="819"/>
      <c r="AG92" s="1067">
        <v>0</v>
      </c>
      <c r="AH92" s="1068">
        <v>0</v>
      </c>
      <c r="AI92" s="828">
        <v>0</v>
      </c>
    </row>
    <row r="93" spans="16:35" ht="20.25" customHeight="1" x14ac:dyDescent="0.25">
      <c r="P93" s="818"/>
      <c r="Q93" s="819"/>
      <c r="R93" s="821"/>
      <c r="S93" s="898" t="s">
        <v>43</v>
      </c>
      <c r="T93" s="898"/>
      <c r="U93" s="898"/>
      <c r="V93" s="899">
        <f>SUM(V88:V91)</f>
        <v>0.27720512820512822</v>
      </c>
      <c r="W93" s="900">
        <f>SUM(W88:W91)</f>
        <v>8782.8273775565285</v>
      </c>
      <c r="X93" s="915"/>
      <c r="Y93" s="898" t="s">
        <v>43</v>
      </c>
      <c r="Z93" s="898"/>
      <c r="AA93" s="898"/>
      <c r="AB93" s="899">
        <f>SUM(AB88:AB91)</f>
        <v>0.39594405594405596</v>
      </c>
      <c r="AC93" s="900">
        <f>SUM(AC88:AC91)</f>
        <v>12269.655281514169</v>
      </c>
      <c r="AD93" s="915"/>
      <c r="AE93" s="898" t="s">
        <v>43</v>
      </c>
      <c r="AF93" s="898"/>
      <c r="AG93" s="898"/>
      <c r="AH93" s="899">
        <f>SUM(AH88:AH91)</f>
        <v>0.60922115384615383</v>
      </c>
      <c r="AI93" s="900">
        <f>SUM(AI88:AI91)</f>
        <v>18872.712856241935</v>
      </c>
    </row>
    <row r="94" spans="16:35" ht="20.25" customHeight="1" x14ac:dyDescent="0.25">
      <c r="P94" s="818"/>
      <c r="Q94" s="819"/>
      <c r="R94" s="821"/>
      <c r="S94" s="838" t="s">
        <v>50</v>
      </c>
      <c r="T94" s="1054"/>
      <c r="U94" s="1054"/>
      <c r="V94" s="838" t="s">
        <v>51</v>
      </c>
      <c r="W94" s="1054"/>
      <c r="X94" s="915"/>
      <c r="Y94" s="838" t="s">
        <v>50</v>
      </c>
      <c r="Z94" s="1054"/>
      <c r="AA94" s="1054"/>
      <c r="AB94" s="838" t="s">
        <v>51</v>
      </c>
      <c r="AC94" s="1054"/>
      <c r="AD94" s="915"/>
      <c r="AE94" s="838" t="s">
        <v>50</v>
      </c>
      <c r="AF94" s="1054"/>
      <c r="AG94" s="1054"/>
      <c r="AH94" s="838" t="s">
        <v>51</v>
      </c>
      <c r="AI94" s="1054"/>
    </row>
    <row r="95" spans="16:35" ht="20.25" customHeight="1" x14ac:dyDescent="0.25">
      <c r="P95" s="818"/>
      <c r="Q95" s="819"/>
      <c r="R95" s="821"/>
      <c r="S95" s="1054" t="s">
        <v>56</v>
      </c>
      <c r="T95" s="1054"/>
      <c r="U95" s="1069">
        <f>$I$28</f>
        <v>0.24847479945378861</v>
      </c>
      <c r="V95" s="1054"/>
      <c r="W95" s="1059">
        <f>U95*W93</f>
        <v>2182.3112712756024</v>
      </c>
      <c r="X95" s="915"/>
      <c r="Y95" s="1054" t="s">
        <v>56</v>
      </c>
      <c r="Z95" s="1054"/>
      <c r="AA95" s="1069">
        <f>$I$28</f>
        <v>0.24847479945378861</v>
      </c>
      <c r="AB95" s="1054"/>
      <c r="AC95" s="1059">
        <f>AA95*AC93</f>
        <v>3048.7001354413514</v>
      </c>
      <c r="AD95" s="915"/>
      <c r="AE95" s="1054" t="s">
        <v>56</v>
      </c>
      <c r="AF95" s="1054"/>
      <c r="AG95" s="1069">
        <f>$I$28</f>
        <v>0.24847479945378861</v>
      </c>
      <c r="AH95" s="1054"/>
      <c r="AI95" s="1059">
        <f>AG95*AI93</f>
        <v>4689.3935421036531</v>
      </c>
    </row>
    <row r="96" spans="16:35" ht="20.25" customHeight="1" x14ac:dyDescent="0.25">
      <c r="P96" s="818"/>
      <c r="Q96" s="819"/>
      <c r="R96" s="821"/>
      <c r="S96" s="898" t="s">
        <v>58</v>
      </c>
      <c r="T96" s="898"/>
      <c r="U96" s="898"/>
      <c r="V96" s="916"/>
      <c r="W96" s="900">
        <f>W95+W93</f>
        <v>10965.138648832131</v>
      </c>
      <c r="X96" s="915"/>
      <c r="Y96" s="898" t="s">
        <v>58</v>
      </c>
      <c r="Z96" s="898"/>
      <c r="AA96" s="898"/>
      <c r="AB96" s="916"/>
      <c r="AC96" s="900">
        <f>AC95+AC93</f>
        <v>15318.355416955521</v>
      </c>
      <c r="AD96" s="915"/>
      <c r="AE96" s="898" t="s">
        <v>58</v>
      </c>
      <c r="AF96" s="898"/>
      <c r="AG96" s="898"/>
      <c r="AH96" s="916"/>
      <c r="AI96" s="900">
        <f>AI95+AI93</f>
        <v>23562.10639834559</v>
      </c>
    </row>
    <row r="97" spans="16:35" ht="20.25" customHeight="1" x14ac:dyDescent="0.25">
      <c r="P97" s="818"/>
      <c r="Q97" s="819"/>
      <c r="R97" s="821"/>
      <c r="S97" s="819"/>
      <c r="T97" s="819"/>
      <c r="U97" s="819"/>
      <c r="V97" s="819"/>
      <c r="W97" s="819"/>
      <c r="X97" s="915"/>
      <c r="Y97" s="819"/>
      <c r="Z97" s="819"/>
      <c r="AA97" s="819"/>
      <c r="AB97" s="819"/>
      <c r="AC97" s="819"/>
      <c r="AD97" s="915"/>
      <c r="AE97" s="819"/>
      <c r="AF97" s="819"/>
      <c r="AG97" s="819"/>
      <c r="AH97" s="819"/>
      <c r="AI97" s="819"/>
    </row>
    <row r="98" spans="16:35" ht="20.25" customHeight="1" x14ac:dyDescent="0.25">
      <c r="P98" s="818"/>
      <c r="Q98" s="819"/>
      <c r="R98" s="821"/>
      <c r="S98" s="1070" t="s">
        <v>537</v>
      </c>
      <c r="T98" s="819"/>
      <c r="U98" s="819"/>
      <c r="V98" s="1026">
        <f>+G35</f>
        <v>479.43922589557911</v>
      </c>
      <c r="W98" s="1071">
        <f>V98*T85</f>
        <v>479.43922589557911</v>
      </c>
      <c r="X98" s="915"/>
      <c r="Y98" s="1070" t="s">
        <v>537</v>
      </c>
      <c r="Z98" s="819"/>
      <c r="AA98" s="819"/>
      <c r="AB98" s="1026">
        <f>+H35</f>
        <v>1138.320455411585</v>
      </c>
      <c r="AC98" s="1071">
        <f>AB98*Z85</f>
        <v>1138.320455411585</v>
      </c>
      <c r="AD98" s="915"/>
      <c r="AE98" s="1070" t="s">
        <v>537</v>
      </c>
      <c r="AF98" s="819"/>
      <c r="AG98" s="819"/>
      <c r="AH98" s="1026">
        <f>+I35</f>
        <v>4553.2715572599072</v>
      </c>
      <c r="AI98" s="1071">
        <f>AH98*AF85</f>
        <v>4553.2715572599072</v>
      </c>
    </row>
    <row r="99" spans="16:35" ht="20.25" customHeight="1" x14ac:dyDescent="0.25">
      <c r="P99" s="818"/>
      <c r="Q99" s="819"/>
      <c r="R99" s="821"/>
      <c r="S99" s="1072" t="s">
        <v>538</v>
      </c>
      <c r="T99" s="819"/>
      <c r="U99" s="819"/>
      <c r="V99" s="1026">
        <v>0</v>
      </c>
      <c r="W99" s="1073">
        <f>V99*W85</f>
        <v>0</v>
      </c>
      <c r="X99" s="915"/>
      <c r="Y99" s="1072" t="s">
        <v>538</v>
      </c>
      <c r="Z99" s="819"/>
      <c r="AA99" s="819"/>
      <c r="AB99" s="1026">
        <v>0</v>
      </c>
      <c r="AC99" s="1071">
        <f>AB99*AC85</f>
        <v>0</v>
      </c>
      <c r="AD99" s="915"/>
      <c r="AE99" s="1072" t="s">
        <v>538</v>
      </c>
      <c r="AF99" s="819"/>
      <c r="AG99" s="819"/>
      <c r="AH99" s="1026">
        <v>0</v>
      </c>
      <c r="AI99" s="1073">
        <f>AH99*AI85</f>
        <v>0</v>
      </c>
    </row>
    <row r="100" spans="16:35" ht="20.25" customHeight="1" x14ac:dyDescent="0.25">
      <c r="P100" s="818"/>
      <c r="Q100" s="819"/>
      <c r="R100" s="821"/>
      <c r="S100" s="828" t="str">
        <f>+E31</f>
        <v>Transaction fee</v>
      </c>
      <c r="T100" s="819"/>
      <c r="U100" s="819"/>
      <c r="V100" s="1074">
        <f>26*13.92*T85</f>
        <v>361.92</v>
      </c>
      <c r="W100" s="1075">
        <f>26*13.92</f>
        <v>361.92</v>
      </c>
      <c r="X100" s="915"/>
      <c r="Y100" s="1076" t="s">
        <v>555</v>
      </c>
      <c r="Z100" s="819"/>
      <c r="AA100" s="819"/>
      <c r="AB100" s="1074">
        <f>26*13.92*Z85</f>
        <v>361.92</v>
      </c>
      <c r="AC100" s="1075">
        <f>26*13.92*Z85</f>
        <v>361.92</v>
      </c>
      <c r="AD100" s="915"/>
      <c r="AE100" s="1076" t="s">
        <v>555</v>
      </c>
      <c r="AF100" s="819"/>
      <c r="AG100" s="819"/>
      <c r="AH100" s="1074">
        <f>26*13.92*AF85</f>
        <v>361.92</v>
      </c>
      <c r="AI100" s="1075">
        <f>26*13.92*AF85</f>
        <v>361.92</v>
      </c>
    </row>
    <row r="101" spans="16:35" ht="20.25" customHeight="1" x14ac:dyDescent="0.25">
      <c r="P101" s="818"/>
      <c r="Q101" s="819"/>
      <c r="R101" s="821"/>
      <c r="S101" s="828" t="s">
        <v>545</v>
      </c>
      <c r="T101" s="819"/>
      <c r="U101" s="819"/>
      <c r="V101" s="1026">
        <f>+G32</f>
        <v>1473.1960627858227</v>
      </c>
      <c r="W101" s="1073">
        <f>V101*V93</f>
        <v>408.37750345583413</v>
      </c>
      <c r="X101" s="915"/>
      <c r="Y101" s="828" t="s">
        <v>545</v>
      </c>
      <c r="Z101" s="819"/>
      <c r="AA101" s="819"/>
      <c r="AB101" s="1026">
        <f>+H32</f>
        <v>1473.1960627858227</v>
      </c>
      <c r="AC101" s="1077">
        <f>AB101*AB93</f>
        <v>583.30322430023273</v>
      </c>
      <c r="AD101" s="915"/>
      <c r="AE101" s="828" t="s">
        <v>545</v>
      </c>
      <c r="AF101" s="819"/>
      <c r="AG101" s="819"/>
      <c r="AH101" s="1026">
        <f>+I32</f>
        <v>1473.1960627858227</v>
      </c>
      <c r="AI101" s="1073">
        <f>AH101*AH93</f>
        <v>897.5022052119898</v>
      </c>
    </row>
    <row r="102" spans="16:35" ht="20.25" customHeight="1" x14ac:dyDescent="0.25">
      <c r="P102" s="818"/>
      <c r="Q102" s="819"/>
      <c r="R102" s="821"/>
      <c r="S102" s="1078" t="s">
        <v>547</v>
      </c>
      <c r="T102" s="819"/>
      <c r="U102" s="819"/>
      <c r="V102" s="1079">
        <f>+G36</f>
        <v>607.46248288357151</v>
      </c>
      <c r="W102" s="1071"/>
      <c r="X102" s="915"/>
      <c r="Y102" s="1078" t="s">
        <v>547</v>
      </c>
      <c r="Z102" s="819"/>
      <c r="AA102" s="819"/>
      <c r="AB102" s="1079">
        <f>+G36</f>
        <v>607.46248288357151</v>
      </c>
      <c r="AC102" s="828"/>
      <c r="AD102" s="915"/>
      <c r="AE102" s="1078" t="s">
        <v>547</v>
      </c>
      <c r="AF102" s="819"/>
      <c r="AG102" s="819"/>
      <c r="AH102" s="1079">
        <f>+G36</f>
        <v>607.46248288357151</v>
      </c>
      <c r="AI102" s="828"/>
    </row>
    <row r="103" spans="16:35" ht="20.25" customHeight="1" x14ac:dyDescent="0.25">
      <c r="P103" s="818"/>
      <c r="Q103" s="819"/>
      <c r="R103" s="821"/>
      <c r="S103" s="1078" t="s">
        <v>548</v>
      </c>
      <c r="T103" s="819"/>
      <c r="U103" s="819"/>
      <c r="V103" s="1079">
        <f>+G37</f>
        <v>2104.9074614138713</v>
      </c>
      <c r="W103" s="1071"/>
      <c r="X103" s="915"/>
      <c r="Y103" s="1078" t="s">
        <v>548</v>
      </c>
      <c r="Z103" s="819"/>
      <c r="AA103" s="819"/>
      <c r="AB103" s="1079">
        <f>+G37</f>
        <v>2104.9074614138713</v>
      </c>
      <c r="AC103" s="828"/>
      <c r="AD103" s="915"/>
      <c r="AE103" s="1078" t="s">
        <v>548</v>
      </c>
      <c r="AF103" s="819"/>
      <c r="AG103" s="819"/>
      <c r="AH103" s="1079">
        <f>+G37</f>
        <v>2104.9074614138713</v>
      </c>
      <c r="AI103" s="828"/>
    </row>
    <row r="104" spans="16:35" ht="20.25" customHeight="1" x14ac:dyDescent="0.25">
      <c r="P104" s="818"/>
      <c r="Q104" s="819"/>
      <c r="R104" s="821"/>
      <c r="S104" s="1078" t="s">
        <v>549</v>
      </c>
      <c r="T104" s="819"/>
      <c r="U104" s="819"/>
      <c r="V104" s="1079">
        <f>+G38</f>
        <v>0</v>
      </c>
      <c r="W104" s="828"/>
      <c r="X104" s="915"/>
      <c r="Y104" s="1078" t="s">
        <v>549</v>
      </c>
      <c r="Z104" s="819"/>
      <c r="AA104" s="819"/>
      <c r="AB104" s="1079">
        <f>+G38</f>
        <v>0</v>
      </c>
      <c r="AC104" s="828"/>
      <c r="AD104" s="915"/>
      <c r="AE104" s="1078" t="s">
        <v>549</v>
      </c>
      <c r="AF104" s="819"/>
      <c r="AG104" s="819"/>
      <c r="AH104" s="1079">
        <f>+I38</f>
        <v>1343.0436428163107</v>
      </c>
      <c r="AI104" s="828"/>
    </row>
    <row r="105" spans="16:35" ht="20.25" customHeight="1" x14ac:dyDescent="0.25">
      <c r="P105" s="818"/>
      <c r="Q105" s="819"/>
      <c r="R105" s="821"/>
      <c r="S105" s="1054" t="s">
        <v>229</v>
      </c>
      <c r="T105" s="1054"/>
      <c r="U105" s="1054"/>
      <c r="V105" s="1071">
        <f>SUM(V102:V104)</f>
        <v>2712.369944297443</v>
      </c>
      <c r="W105" s="1073">
        <f>V105*V93</f>
        <v>751.88285814870915</v>
      </c>
      <c r="X105" s="915"/>
      <c r="Y105" s="1054" t="s">
        <v>229</v>
      </c>
      <c r="Z105" s="1054"/>
      <c r="AA105" s="1054"/>
      <c r="AB105" s="1071">
        <f>SUM(AB102:AB104)</f>
        <v>2712.369944297443</v>
      </c>
      <c r="AC105" s="1080">
        <f>AB105*AB93</f>
        <v>1073.9467569658827</v>
      </c>
      <c r="AD105" s="915"/>
      <c r="AE105" s="1054" t="s">
        <v>229</v>
      </c>
      <c r="AF105" s="1054"/>
      <c r="AG105" s="1054"/>
      <c r="AH105" s="1071">
        <f>SUM(AH102:AH104)</f>
        <v>4055.4135871137537</v>
      </c>
      <c r="AI105" s="1073">
        <f>AH105*AH93</f>
        <v>2470.6437448648107</v>
      </c>
    </row>
    <row r="106" spans="16:35" ht="20.25" customHeight="1" x14ac:dyDescent="0.25">
      <c r="P106" s="818"/>
      <c r="Q106" s="819"/>
      <c r="R106" s="821"/>
      <c r="S106" s="1054"/>
      <c r="T106" s="1054"/>
      <c r="U106" s="1054"/>
      <c r="V106" s="1081"/>
      <c r="W106" s="1054"/>
      <c r="X106" s="915"/>
      <c r="Y106" s="1054"/>
      <c r="Z106" s="1054"/>
      <c r="AA106" s="1054"/>
      <c r="AB106" s="1081"/>
      <c r="AC106" s="1054"/>
      <c r="AD106" s="915"/>
      <c r="AE106" s="1054"/>
      <c r="AF106" s="1054"/>
      <c r="AG106" s="1054"/>
      <c r="AH106" s="1081"/>
      <c r="AI106" s="1054"/>
    </row>
    <row r="107" spans="16:35" ht="20.25" customHeight="1" x14ac:dyDescent="0.25">
      <c r="P107" s="818"/>
      <c r="Q107" s="819"/>
      <c r="R107" s="821"/>
      <c r="S107" s="819"/>
      <c r="T107" s="819"/>
      <c r="U107" s="819"/>
      <c r="V107" s="819"/>
      <c r="W107" s="819"/>
      <c r="X107" s="915"/>
      <c r="Y107" s="819"/>
      <c r="Z107" s="819"/>
      <c r="AA107" s="819"/>
      <c r="AB107" s="819"/>
      <c r="AC107" s="819"/>
      <c r="AD107" s="915"/>
      <c r="AE107" s="819"/>
      <c r="AF107" s="819"/>
      <c r="AG107" s="819"/>
      <c r="AH107" s="819"/>
      <c r="AI107" s="819"/>
    </row>
    <row r="108" spans="16:35" ht="20.25" customHeight="1" x14ac:dyDescent="0.25">
      <c r="P108" s="818"/>
      <c r="Q108" s="819"/>
      <c r="R108" s="821"/>
      <c r="S108" s="898" t="s">
        <v>67</v>
      </c>
      <c r="T108" s="898"/>
      <c r="U108" s="898"/>
      <c r="V108" s="898"/>
      <c r="W108" s="900">
        <f>SUM(W96:W105)</f>
        <v>12966.758236332254</v>
      </c>
      <c r="X108" s="915"/>
      <c r="Y108" s="898" t="s">
        <v>67</v>
      </c>
      <c r="Z108" s="898"/>
      <c r="AA108" s="898"/>
      <c r="AB108" s="898"/>
      <c r="AC108" s="900">
        <f>SUM(AC96:AC105)</f>
        <v>18475.845853633218</v>
      </c>
      <c r="AD108" s="915"/>
      <c r="AE108" s="898" t="s">
        <v>67</v>
      </c>
      <c r="AF108" s="898"/>
      <c r="AG108" s="898"/>
      <c r="AH108" s="898"/>
      <c r="AI108" s="902">
        <f>SUM(AI96:AI105)</f>
        <v>31845.443905682296</v>
      </c>
    </row>
    <row r="109" spans="16:35" ht="20.25" customHeight="1" x14ac:dyDescent="0.25">
      <c r="P109" s="818"/>
      <c r="Q109" s="819"/>
      <c r="R109" s="819"/>
      <c r="S109" s="1054"/>
      <c r="T109" s="1054"/>
      <c r="U109" s="1054"/>
      <c r="V109" s="1054"/>
      <c r="W109" s="1054"/>
      <c r="X109" s="915"/>
      <c r="Y109" s="1054"/>
      <c r="Z109" s="1054"/>
      <c r="AA109" s="1054"/>
      <c r="AB109" s="1054"/>
      <c r="AC109" s="1054"/>
      <c r="AD109" s="915"/>
      <c r="AE109" s="1054"/>
      <c r="AF109" s="1054"/>
      <c r="AG109" s="1054"/>
      <c r="AH109" s="1054"/>
      <c r="AI109" s="1055"/>
    </row>
    <row r="110" spans="16:35" ht="20.25" customHeight="1" x14ac:dyDescent="0.25">
      <c r="P110" s="818"/>
      <c r="Q110" s="819"/>
      <c r="R110" s="819"/>
      <c r="S110" s="1053" t="s">
        <v>552</v>
      </c>
      <c r="T110" s="1054"/>
      <c r="U110" s="1069">
        <f>$G$43</f>
        <v>9.9440000000000001E-2</v>
      </c>
      <c r="V110" s="1054"/>
      <c r="W110" s="1059">
        <f>U110*W108</f>
        <v>1289.4144390208794</v>
      </c>
      <c r="X110" s="915"/>
      <c r="Y110" s="1054" t="s">
        <v>552</v>
      </c>
      <c r="Z110" s="1054"/>
      <c r="AA110" s="1069">
        <f>$G$43</f>
        <v>9.9440000000000001E-2</v>
      </c>
      <c r="AB110" s="1054"/>
      <c r="AC110" s="1059">
        <f>AA110*AC108</f>
        <v>1837.2381116852873</v>
      </c>
      <c r="AD110" s="915"/>
      <c r="AE110" s="1054" t="s">
        <v>552</v>
      </c>
      <c r="AF110" s="1054"/>
      <c r="AG110" s="1069">
        <f>$G$43</f>
        <v>9.9440000000000001E-2</v>
      </c>
      <c r="AH110" s="1054"/>
      <c r="AI110" s="1058">
        <f>AG110*AI108</f>
        <v>3166.7109419810477</v>
      </c>
    </row>
    <row r="111" spans="16:35" ht="20.25" customHeight="1" x14ac:dyDescent="0.25">
      <c r="P111" s="818"/>
      <c r="Q111" s="819"/>
      <c r="R111" s="819"/>
      <c r="S111" s="1053"/>
      <c r="T111" s="1054"/>
      <c r="U111" s="1054"/>
      <c r="V111" s="1054"/>
      <c r="W111" s="1054"/>
      <c r="X111" s="915"/>
      <c r="Y111" s="1054"/>
      <c r="Z111" s="1054"/>
      <c r="AA111" s="1054"/>
      <c r="AB111" s="1054"/>
      <c r="AC111" s="1054"/>
      <c r="AD111" s="915"/>
      <c r="AE111" s="1054"/>
      <c r="AF111" s="1054"/>
      <c r="AG111" s="1054"/>
      <c r="AH111" s="1054"/>
      <c r="AI111" s="1055"/>
    </row>
    <row r="112" spans="16:35" ht="20.25" customHeight="1" thickBot="1" x14ac:dyDescent="0.3">
      <c r="P112" s="818"/>
      <c r="Q112" s="819"/>
      <c r="R112" s="819"/>
      <c r="S112" s="983" t="s">
        <v>72</v>
      </c>
      <c r="T112" s="1082"/>
      <c r="U112" s="1082"/>
      <c r="V112" s="1082"/>
      <c r="W112" s="982">
        <f>SUM(W108:W110)</f>
        <v>14256.172675353133</v>
      </c>
      <c r="X112" s="915"/>
      <c r="Y112" s="981" t="s">
        <v>72</v>
      </c>
      <c r="Z112" s="1082"/>
      <c r="AA112" s="1082"/>
      <c r="AB112" s="1082"/>
      <c r="AC112" s="982">
        <f>SUM(AC108:AC110)</f>
        <v>20313.083965318507</v>
      </c>
      <c r="AD112" s="915"/>
      <c r="AE112" s="981" t="s">
        <v>72</v>
      </c>
      <c r="AF112" s="1082"/>
      <c r="AG112" s="1082"/>
      <c r="AH112" s="1082"/>
      <c r="AI112" s="984">
        <f>SUM(AI108:AI110)</f>
        <v>35012.154847663347</v>
      </c>
    </row>
    <row r="113" spans="16:35" ht="20.25" customHeight="1" thickTop="1" x14ac:dyDescent="0.25">
      <c r="P113" s="818"/>
      <c r="Q113" s="819"/>
      <c r="R113" s="819"/>
      <c r="S113" s="1053"/>
      <c r="T113" s="1054"/>
      <c r="U113" s="1054"/>
      <c r="V113" s="1054"/>
      <c r="W113" s="1055"/>
      <c r="X113" s="915"/>
      <c r="Y113" s="1054"/>
      <c r="Z113" s="1054"/>
      <c r="AA113" s="1054"/>
      <c r="AB113" s="1054"/>
      <c r="AC113" s="1054"/>
      <c r="AD113" s="915"/>
      <c r="AE113" s="1054"/>
      <c r="AF113" s="1054"/>
      <c r="AG113" s="1054"/>
      <c r="AH113" s="1054"/>
      <c r="AI113" s="1055"/>
    </row>
    <row r="114" spans="16:35" ht="20.25" customHeight="1" x14ac:dyDescent="0.25">
      <c r="P114" s="818"/>
      <c r="Q114" s="819"/>
      <c r="R114" s="819"/>
      <c r="S114" s="1053" t="s">
        <v>78</v>
      </c>
      <c r="T114" s="1054"/>
      <c r="U114" s="1083">
        <f>$G$46</f>
        <v>2.6438643292682744E-2</v>
      </c>
      <c r="V114" s="1054"/>
      <c r="W114" s="1084">
        <f>W112*(1+U114)</f>
        <v>14633.086539435684</v>
      </c>
      <c r="X114" s="915"/>
      <c r="Y114" s="1054" t="s">
        <v>78</v>
      </c>
      <c r="Z114" s="1054"/>
      <c r="AA114" s="1083">
        <f>$G$46</f>
        <v>2.6438643292682744E-2</v>
      </c>
      <c r="AB114" s="1054"/>
      <c r="AC114" s="1085">
        <f>AC112*(1+AA114)</f>
        <v>20850.134346451876</v>
      </c>
      <c r="AD114" s="915"/>
      <c r="AE114" s="1054" t="s">
        <v>78</v>
      </c>
      <c r="AF114" s="1054"/>
      <c r="AG114" s="1083">
        <f>$G$46</f>
        <v>2.6438643292682744E-2</v>
      </c>
      <c r="AH114" s="1054"/>
      <c r="AI114" s="1084">
        <f>AI112*(1+AG114)</f>
        <v>35937.828720588885</v>
      </c>
    </row>
    <row r="115" spans="16:35" ht="20.25" customHeight="1" x14ac:dyDescent="0.25">
      <c r="P115" s="818"/>
      <c r="Q115" s="819"/>
      <c r="R115" s="819"/>
      <c r="S115" s="1053"/>
      <c r="T115" s="1054"/>
      <c r="U115" s="1054"/>
      <c r="V115" s="1054"/>
      <c r="W115" s="1055"/>
      <c r="X115" s="915"/>
      <c r="Y115" s="1054"/>
      <c r="Z115" s="1054"/>
      <c r="AA115" s="1054"/>
      <c r="AB115" s="1054"/>
      <c r="AC115" s="1054"/>
      <c r="AD115" s="915"/>
      <c r="AE115" s="1054"/>
      <c r="AF115" s="1054"/>
      <c r="AG115" s="1054"/>
      <c r="AH115" s="1054"/>
      <c r="AI115" s="1055"/>
    </row>
    <row r="116" spans="16:35" ht="20.25" customHeight="1" x14ac:dyDescent="0.25">
      <c r="P116" s="818"/>
      <c r="Q116" s="819"/>
      <c r="R116" s="819"/>
      <c r="S116" s="1053"/>
      <c r="T116" s="1054"/>
      <c r="U116" s="1054"/>
      <c r="V116" s="1054"/>
      <c r="W116" s="998" t="s">
        <v>83</v>
      </c>
      <c r="X116" s="819"/>
      <c r="Y116" s="1053"/>
      <c r="Z116" s="1054"/>
      <c r="AA116" s="1054"/>
      <c r="AB116" s="1054"/>
      <c r="AC116" s="997" t="s">
        <v>83</v>
      </c>
      <c r="AD116" s="915"/>
      <c r="AE116" s="1054"/>
      <c r="AF116" s="1054"/>
      <c r="AG116" s="1054"/>
      <c r="AH116" s="1054"/>
      <c r="AI116" s="998" t="s">
        <v>83</v>
      </c>
    </row>
    <row r="117" spans="16:35" ht="20.25" customHeight="1" x14ac:dyDescent="0.25">
      <c r="P117" s="818"/>
      <c r="Q117" s="828"/>
      <c r="R117" s="819"/>
      <c r="S117" s="1053" t="s">
        <v>564</v>
      </c>
      <c r="T117" s="1054"/>
      <c r="U117" s="1054"/>
      <c r="V117" s="1086">
        <f>W112/W85</f>
        <v>39.058007329734608</v>
      </c>
      <c r="W117" s="1087">
        <f>V117*(1+$U$114)</f>
        <v>40.090648053248444</v>
      </c>
      <c r="X117" s="819"/>
      <c r="Y117" s="1053" t="s">
        <v>564</v>
      </c>
      <c r="Z117" s="1054"/>
      <c r="AA117" s="1054"/>
      <c r="AB117" s="1086">
        <f>AC112/AC85</f>
        <v>55.652284836489059</v>
      </c>
      <c r="AC117" s="1086">
        <f>AB117*(1+$U$114)</f>
        <v>57.123655743703765</v>
      </c>
      <c r="AD117" s="915"/>
      <c r="AE117" s="1054" t="s">
        <v>564</v>
      </c>
      <c r="AF117" s="1054"/>
      <c r="AG117" s="1054"/>
      <c r="AH117" s="1086">
        <f>AI112/AI85</f>
        <v>95.923711911406428</v>
      </c>
      <c r="AI117" s="1087">
        <f>AH117*(1+$U$114)</f>
        <v>98.459804713942162</v>
      </c>
    </row>
    <row r="118" spans="16:35" ht="20.25" customHeight="1" x14ac:dyDescent="0.25">
      <c r="P118" s="818"/>
      <c r="Q118" s="828"/>
      <c r="R118" s="819"/>
      <c r="S118" s="1088" t="s">
        <v>566</v>
      </c>
      <c r="T118" s="1017">
        <v>0.95</v>
      </c>
      <c r="U118" s="1018"/>
      <c r="V118" s="1015"/>
      <c r="W118" s="1089">
        <f>W117/T118</f>
        <v>42.200682161314155</v>
      </c>
      <c r="X118" s="819"/>
      <c r="Y118" s="1088" t="s">
        <v>566</v>
      </c>
      <c r="Z118" s="1017">
        <v>0.95</v>
      </c>
      <c r="AA118" s="1018"/>
      <c r="AB118" s="1015"/>
      <c r="AC118" s="1015">
        <f>AC117/Z118</f>
        <v>60.130163940740808</v>
      </c>
      <c r="AD118" s="915"/>
      <c r="AE118" s="1016" t="s">
        <v>566</v>
      </c>
      <c r="AF118" s="1017">
        <v>0.95</v>
      </c>
      <c r="AG118" s="1018"/>
      <c r="AH118" s="1015"/>
      <c r="AI118" s="1089">
        <f>AI117/AF118</f>
        <v>103.64189969888649</v>
      </c>
    </row>
    <row r="119" spans="16:35" ht="20.25" customHeight="1" thickBot="1" x14ac:dyDescent="0.3">
      <c r="P119" s="1028"/>
      <c r="Q119" s="1090"/>
      <c r="R119" s="1029"/>
      <c r="S119" s="1091"/>
      <c r="T119" s="1092"/>
      <c r="U119" s="1093"/>
      <c r="V119" s="1094"/>
      <c r="W119" s="1095"/>
      <c r="X119" s="1029"/>
      <c r="Y119" s="1091"/>
      <c r="Z119" s="1092"/>
      <c r="AA119" s="1093"/>
      <c r="AB119" s="1094"/>
      <c r="AC119" s="1094"/>
      <c r="AD119" s="1096"/>
      <c r="AE119" s="1097"/>
      <c r="AF119" s="1098"/>
      <c r="AG119" s="1099"/>
      <c r="AH119" s="1094"/>
      <c r="AI119" s="1095"/>
    </row>
    <row r="120" spans="16:35" ht="20.25" customHeight="1" x14ac:dyDescent="0.25">
      <c r="Q120" s="829"/>
      <c r="S120" s="819"/>
      <c r="T120" s="819"/>
      <c r="AE120" s="819"/>
      <c r="AF120" s="819"/>
      <c r="AG120" s="819"/>
      <c r="AH120" s="819"/>
      <c r="AI120" s="819"/>
    </row>
    <row r="121" spans="16:35" ht="20.25" customHeight="1" x14ac:dyDescent="0.25">
      <c r="Q121" s="829"/>
      <c r="S121" s="819"/>
      <c r="T121" s="819"/>
      <c r="AB121" s="1049"/>
    </row>
  </sheetData>
  <mergeCells count="67">
    <mergeCell ref="Y83:AC83"/>
    <mergeCell ref="AE83:AI83"/>
    <mergeCell ref="S84:W84"/>
    <mergeCell ref="Y84:AC84"/>
    <mergeCell ref="AE84:AI84"/>
    <mergeCell ref="S83:W83"/>
    <mergeCell ref="E43:F43"/>
    <mergeCell ref="E46:F46"/>
    <mergeCell ref="E48:F48"/>
    <mergeCell ref="H51:I51"/>
    <mergeCell ref="H67:J67"/>
    <mergeCell ref="E40:F40"/>
    <mergeCell ref="E28:F28"/>
    <mergeCell ref="E29:F29"/>
    <mergeCell ref="C31:D31"/>
    <mergeCell ref="E31:F31"/>
    <mergeCell ref="E32:F32"/>
    <mergeCell ref="E34:F34"/>
    <mergeCell ref="E35:F35"/>
    <mergeCell ref="E36:F36"/>
    <mergeCell ref="E37:F37"/>
    <mergeCell ref="E38:F38"/>
    <mergeCell ref="E39:F39"/>
    <mergeCell ref="E24:F24"/>
    <mergeCell ref="S24:T24"/>
    <mergeCell ref="Y24:Z24"/>
    <mergeCell ref="AE24:AF24"/>
    <mergeCell ref="E25:F25"/>
    <mergeCell ref="S25:T25"/>
    <mergeCell ref="Y25:Z25"/>
    <mergeCell ref="AE25:AF25"/>
    <mergeCell ref="E22:F22"/>
    <mergeCell ref="S22:T22"/>
    <mergeCell ref="Y22:Z22"/>
    <mergeCell ref="AE22:AF22"/>
    <mergeCell ref="E23:F23"/>
    <mergeCell ref="S23:T23"/>
    <mergeCell ref="Y23:Z23"/>
    <mergeCell ref="AE23:AF23"/>
    <mergeCell ref="S20:T20"/>
    <mergeCell ref="Y20:Z20"/>
    <mergeCell ref="AE20:AF20"/>
    <mergeCell ref="E21:F21"/>
    <mergeCell ref="S21:T21"/>
    <mergeCell ref="Y21:Z21"/>
    <mergeCell ref="AE21:AF21"/>
    <mergeCell ref="AE19:AF19"/>
    <mergeCell ref="C9:D9"/>
    <mergeCell ref="J10:L10"/>
    <mergeCell ref="E11:F11"/>
    <mergeCell ref="E12:F12"/>
    <mergeCell ref="E13:F13"/>
    <mergeCell ref="E14:F14"/>
    <mergeCell ref="C15:D15"/>
    <mergeCell ref="E15:F15"/>
    <mergeCell ref="E16:F16"/>
    <mergeCell ref="S19:T19"/>
    <mergeCell ref="Y19:Z19"/>
    <mergeCell ref="C5:D5"/>
    <mergeCell ref="S5:W5"/>
    <mergeCell ref="Y5:AC5"/>
    <mergeCell ref="AE5:AI5"/>
    <mergeCell ref="E2:M2"/>
    <mergeCell ref="S2:AI2"/>
    <mergeCell ref="S4:W4"/>
    <mergeCell ref="Y4:AC4"/>
    <mergeCell ref="AE4:AI4"/>
  </mergeCells>
  <pageMargins left="0.7" right="0.2" top="0.75" bottom="0.75" header="0.05" footer="0.05"/>
  <pageSetup scale="53" orientation="landscape" r:id="rId1"/>
  <rowBreaks count="1" manualBreakCount="1">
    <brk id="48" max="57" man="1"/>
  </row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V624"/>
  <sheetViews>
    <sheetView topLeftCell="L14" workbookViewId="0">
      <selection activeCell="V28" sqref="L2:V28"/>
    </sheetView>
  </sheetViews>
  <sheetFormatPr defaultColWidth="9.140625" defaultRowHeight="15" x14ac:dyDescent="0.25"/>
  <cols>
    <col min="1" max="1" width="0" style="1104" hidden="1" customWidth="1"/>
    <col min="2" max="2" width="21.7109375" style="1118" hidden="1" customWidth="1"/>
    <col min="3" max="3" width="10.5703125" style="1104" hidden="1" customWidth="1"/>
    <col min="4" max="4" width="15.28515625" style="1104" hidden="1" customWidth="1"/>
    <col min="5" max="5" width="16.85546875" style="1118" hidden="1" customWidth="1"/>
    <col min="6" max="6" width="11" style="1104" hidden="1" customWidth="1"/>
    <col min="7" max="7" width="11.42578125" style="1121" hidden="1" customWidth="1"/>
    <col min="8" max="11" width="0" style="1104" hidden="1" customWidth="1"/>
    <col min="12" max="12" width="9.140625" style="1104"/>
    <col min="13" max="13" width="16.85546875" style="1104" hidden="1" customWidth="1"/>
    <col min="14" max="14" width="16.5703125" style="1104" hidden="1" customWidth="1"/>
    <col min="15" max="15" width="22.28515625" style="1104" hidden="1" customWidth="1"/>
    <col min="16" max="16" width="18.7109375" style="1104" customWidth="1"/>
    <col min="17" max="17" width="18.7109375" style="1104" bestFit="1" customWidth="1"/>
    <col min="18" max="18" width="22.28515625" style="1106" hidden="1" customWidth="1"/>
    <col min="19" max="19" width="22.28515625" style="1107" hidden="1" customWidth="1"/>
    <col min="20" max="20" width="11.28515625" style="1104" customWidth="1"/>
    <col min="21" max="21" width="11.42578125" style="1104" customWidth="1"/>
    <col min="22" max="22" width="11.28515625" style="1104" customWidth="1"/>
    <col min="23" max="16384" width="9.140625" style="1104"/>
  </cols>
  <sheetData>
    <row r="1" spans="2:22" ht="15.6" thickTop="1" thickBot="1" x14ac:dyDescent="0.35">
      <c r="B1" s="1100" t="s">
        <v>608</v>
      </c>
      <c r="C1" s="1101" t="s">
        <v>609</v>
      </c>
      <c r="D1" s="1101" t="s">
        <v>610</v>
      </c>
      <c r="E1" s="1102" t="s">
        <v>611</v>
      </c>
      <c r="F1" s="1101" t="s">
        <v>612</v>
      </c>
      <c r="G1" s="1101" t="s">
        <v>613</v>
      </c>
      <c r="H1" s="1103" t="s">
        <v>614</v>
      </c>
      <c r="J1" s="1105" t="s">
        <v>615</v>
      </c>
    </row>
    <row r="2" spans="2:22" s="1109" customFormat="1" ht="30" thickTop="1" thickBot="1" x14ac:dyDescent="0.35">
      <c r="B2" s="1108">
        <v>2400</v>
      </c>
      <c r="C2" s="1109">
        <v>3288</v>
      </c>
      <c r="D2" s="1110">
        <f t="shared" ref="D2:D65" si="0">ROUNDUP(B2,-3)</f>
        <v>3000</v>
      </c>
      <c r="E2" s="1111">
        <v>9050</v>
      </c>
      <c r="F2" s="1110">
        <f t="shared" ref="F2:F65" si="1">E2-B2</f>
        <v>6650</v>
      </c>
      <c r="G2" s="1112">
        <f t="shared" ref="G2:G65" si="2">F2/B2</f>
        <v>2.7708333333333335</v>
      </c>
      <c r="H2" s="1113">
        <v>25</v>
      </c>
      <c r="J2" s="1114">
        <f>AVERAGE(B2:B26)</f>
        <v>6505.028800000001</v>
      </c>
      <c r="P2" s="1115" t="s">
        <v>616</v>
      </c>
      <c r="Q2" s="1115" t="s">
        <v>617</v>
      </c>
      <c r="R2" s="1116"/>
      <c r="S2" s="1117"/>
    </row>
    <row r="3" spans="2:22" ht="52.9" customHeight="1" x14ac:dyDescent="0.3">
      <c r="B3" s="1118">
        <v>3600</v>
      </c>
      <c r="C3" s="1104">
        <v>3288</v>
      </c>
      <c r="D3" s="1119">
        <f t="shared" si="0"/>
        <v>4000</v>
      </c>
      <c r="E3" s="1120">
        <v>9050</v>
      </c>
      <c r="F3" s="1119">
        <f t="shared" si="1"/>
        <v>5450</v>
      </c>
      <c r="G3" s="1121">
        <f t="shared" si="2"/>
        <v>1.5138888888888888</v>
      </c>
      <c r="J3" s="1122"/>
      <c r="M3" s="1123" t="s">
        <v>618</v>
      </c>
      <c r="N3" s="1124" t="s">
        <v>619</v>
      </c>
      <c r="O3" s="1125" t="s">
        <v>620</v>
      </c>
      <c r="P3" s="1126" t="s">
        <v>621</v>
      </c>
      <c r="Q3" s="1126"/>
      <c r="R3" s="1127"/>
      <c r="S3" s="1128"/>
    </row>
    <row r="4" spans="2:22" x14ac:dyDescent="0.25">
      <c r="B4" s="1118">
        <v>4932.3599999999997</v>
      </c>
      <c r="C4" s="1104">
        <v>3150</v>
      </c>
      <c r="D4" s="1119">
        <f t="shared" si="0"/>
        <v>5000</v>
      </c>
      <c r="E4" s="1120">
        <v>9050</v>
      </c>
      <c r="F4" s="1119">
        <f t="shared" si="1"/>
        <v>4117.6400000000003</v>
      </c>
      <c r="G4" s="1121">
        <f t="shared" si="2"/>
        <v>0.8348214647754828</v>
      </c>
      <c r="J4" s="1122"/>
      <c r="L4" s="1104">
        <v>1</v>
      </c>
      <c r="M4" s="1129">
        <v>9289.269721798777</v>
      </c>
      <c r="N4" s="1130">
        <f>M4/365</f>
        <v>25.450054032325415</v>
      </c>
      <c r="O4" s="1131">
        <f>N4/0.95</f>
        <v>26.789530560342545</v>
      </c>
      <c r="P4" s="1215">
        <f>M4*('[10]CAF - Fall 2017'!$BP$27+1)/347</f>
        <v>27.270834986162619</v>
      </c>
      <c r="Q4" s="1216">
        <f>P4*347</f>
        <v>9462.9797401984288</v>
      </c>
      <c r="R4" s="1132">
        <f>(P4-O4)/O4</f>
        <v>1.7966138851741038E-2</v>
      </c>
      <c r="S4" s="1133"/>
      <c r="T4" s="1632" t="s">
        <v>622</v>
      </c>
    </row>
    <row r="5" spans="2:22" x14ac:dyDescent="0.25">
      <c r="B5" s="1118">
        <v>4932.3599999999997</v>
      </c>
      <c r="C5" s="1104">
        <v>3150</v>
      </c>
      <c r="D5" s="1119">
        <f t="shared" si="0"/>
        <v>5000</v>
      </c>
      <c r="E5" s="1120">
        <v>9050</v>
      </c>
      <c r="F5" s="1119">
        <f t="shared" si="1"/>
        <v>4117.6400000000003</v>
      </c>
      <c r="G5" s="1121">
        <f t="shared" si="2"/>
        <v>0.8348214647754828</v>
      </c>
      <c r="J5" s="1122"/>
      <c r="L5" s="1104">
        <v>2</v>
      </c>
      <c r="M5" s="1129">
        <v>12830.483041158534</v>
      </c>
      <c r="N5" s="1130">
        <f t="shared" ref="N5:N28" si="3">M5/365</f>
        <v>35.15200833194119</v>
      </c>
      <c r="O5" s="1131">
        <f t="shared" ref="O5:O28" si="4">N5/0.95</f>
        <v>37.002114033622306</v>
      </c>
      <c r="P5" s="1215">
        <f>M5*('[10]CAF - Fall 2017'!$BP$27+1)/347</f>
        <v>37.666899152158315</v>
      </c>
      <c r="Q5" s="1216">
        <f t="shared" ref="Q5:Q28" si="5">P5*347</f>
        <v>13070.414005798935</v>
      </c>
      <c r="R5" s="1132">
        <f t="shared" ref="R5:R28" si="6">(P5-O5)/O5</f>
        <v>1.796613885174092E-2</v>
      </c>
      <c r="S5" s="1133"/>
      <c r="T5" s="1633"/>
      <c r="U5" s="1635" t="s">
        <v>623</v>
      </c>
    </row>
    <row r="6" spans="2:22" x14ac:dyDescent="0.25">
      <c r="B6" s="1118">
        <v>5475</v>
      </c>
      <c r="C6" s="1104">
        <v>3150</v>
      </c>
      <c r="D6" s="1119">
        <f t="shared" si="0"/>
        <v>6000</v>
      </c>
      <c r="E6" s="1120">
        <v>9050</v>
      </c>
      <c r="F6" s="1119">
        <f t="shared" si="1"/>
        <v>3575</v>
      </c>
      <c r="G6" s="1121">
        <f t="shared" si="2"/>
        <v>0.65296803652968038</v>
      </c>
      <c r="J6" s="1122"/>
      <c r="L6" s="1104">
        <v>3</v>
      </c>
      <c r="M6" s="1129">
        <v>15396.57964939024</v>
      </c>
      <c r="N6" s="1134">
        <f t="shared" si="3"/>
        <v>42.182409998329426</v>
      </c>
      <c r="O6" s="1131">
        <f t="shared" si="4"/>
        <v>44.40253684034677</v>
      </c>
      <c r="P6" s="1215">
        <f>M6*('[10]CAF - Fall 2017'!$BP$27+1)/347</f>
        <v>45.200278982589971</v>
      </c>
      <c r="Q6" s="1216">
        <f t="shared" si="5"/>
        <v>15684.496806958719</v>
      </c>
      <c r="R6" s="1132">
        <f t="shared" si="6"/>
        <v>1.7966138851740695E-2</v>
      </c>
      <c r="S6" s="1133"/>
      <c r="T6" s="1633"/>
      <c r="U6" s="1636"/>
      <c r="V6" s="1638" t="s">
        <v>624</v>
      </c>
    </row>
    <row r="7" spans="2:22" x14ac:dyDescent="0.25">
      <c r="B7" s="1118">
        <v>5748.75</v>
      </c>
      <c r="C7" s="1104">
        <v>3150</v>
      </c>
      <c r="D7" s="1119">
        <f t="shared" si="0"/>
        <v>6000</v>
      </c>
      <c r="E7" s="1120">
        <v>9050</v>
      </c>
      <c r="F7" s="1119">
        <f t="shared" si="1"/>
        <v>3301.25</v>
      </c>
      <c r="G7" s="1121">
        <f t="shared" si="2"/>
        <v>0.5742552728854099</v>
      </c>
      <c r="J7" s="1122"/>
      <c r="L7" s="1104">
        <v>4</v>
      </c>
      <c r="M7" s="1129">
        <v>17962.676257621944</v>
      </c>
      <c r="N7" s="1134">
        <f t="shared" si="3"/>
        <v>49.212811664717655</v>
      </c>
      <c r="O7" s="1131">
        <f t="shared" si="4"/>
        <v>51.802959647071219</v>
      </c>
      <c r="P7" s="1215">
        <f>M7*('[10]CAF - Fall 2017'!$BP$27+1)/347</f>
        <v>52.733658813021634</v>
      </c>
      <c r="Q7" s="1216">
        <f t="shared" si="5"/>
        <v>18298.579608118507</v>
      </c>
      <c r="R7" s="1132">
        <f t="shared" si="6"/>
        <v>1.7966138851740952E-2</v>
      </c>
      <c r="S7" s="1133"/>
      <c r="T7" s="1633"/>
      <c r="U7" s="1636"/>
      <c r="V7" s="1639"/>
    </row>
    <row r="8" spans="2:22" x14ac:dyDescent="0.25">
      <c r="B8" s="1118">
        <v>5748.75</v>
      </c>
      <c r="C8" s="1104">
        <v>3150</v>
      </c>
      <c r="D8" s="1119">
        <f t="shared" si="0"/>
        <v>6000</v>
      </c>
      <c r="E8" s="1120">
        <v>9050</v>
      </c>
      <c r="F8" s="1119">
        <f t="shared" si="1"/>
        <v>3301.25</v>
      </c>
      <c r="G8" s="1121">
        <f t="shared" si="2"/>
        <v>0.5742552728854099</v>
      </c>
      <c r="J8" s="1122"/>
      <c r="L8" s="1104">
        <v>5</v>
      </c>
      <c r="M8" s="1129">
        <v>20528.772865853654</v>
      </c>
      <c r="N8" s="1134">
        <f t="shared" si="3"/>
        <v>56.243213331105899</v>
      </c>
      <c r="O8" s="1131">
        <f t="shared" si="4"/>
        <v>59.203382453795683</v>
      </c>
      <c r="P8" s="1215">
        <f>M8*('[10]CAF - Fall 2017'!$BP$27+1)/347</f>
        <v>60.267038643453311</v>
      </c>
      <c r="Q8" s="1216">
        <f t="shared" si="5"/>
        <v>20912.662409278299</v>
      </c>
      <c r="R8" s="1132">
        <f t="shared" si="6"/>
        <v>1.7966138851741139E-2</v>
      </c>
      <c r="S8" s="1133"/>
      <c r="T8" s="1633"/>
      <c r="U8" s="1636"/>
      <c r="V8" s="1639"/>
    </row>
    <row r="9" spans="2:22" x14ac:dyDescent="0.25">
      <c r="B9" s="1118">
        <v>5966</v>
      </c>
      <c r="C9" s="1104">
        <v>3150</v>
      </c>
      <c r="D9" s="1119">
        <f t="shared" si="0"/>
        <v>6000</v>
      </c>
      <c r="E9" s="1120">
        <v>9050</v>
      </c>
      <c r="F9" s="1119">
        <f t="shared" si="1"/>
        <v>3084</v>
      </c>
      <c r="G9" s="1121">
        <f t="shared" si="2"/>
        <v>0.51692926583975862</v>
      </c>
      <c r="J9" s="1122"/>
      <c r="L9" s="1104">
        <v>6</v>
      </c>
      <c r="M9" s="1129">
        <v>23094.869474085361</v>
      </c>
      <c r="N9" s="1134">
        <f t="shared" si="3"/>
        <v>63.273614997494136</v>
      </c>
      <c r="O9" s="1131">
        <f t="shared" si="4"/>
        <v>66.603805260520147</v>
      </c>
      <c r="P9" s="1215">
        <f>M9*('[10]CAF - Fall 2017'!$BP$27+1)/347</f>
        <v>67.80041847388496</v>
      </c>
      <c r="Q9" s="1216">
        <f t="shared" si="5"/>
        <v>23526.745210438083</v>
      </c>
      <c r="R9" s="1132">
        <f t="shared" si="6"/>
        <v>1.7966138851740858E-2</v>
      </c>
      <c r="S9" s="1133"/>
      <c r="T9" s="1633"/>
      <c r="U9" s="1636"/>
      <c r="V9" s="1639"/>
    </row>
    <row r="10" spans="2:22" x14ac:dyDescent="0.25">
      <c r="B10" s="1118">
        <v>6345</v>
      </c>
      <c r="C10" s="1104">
        <v>3288</v>
      </c>
      <c r="D10" s="1119">
        <f t="shared" si="0"/>
        <v>7000</v>
      </c>
      <c r="E10" s="1120">
        <v>9050</v>
      </c>
      <c r="F10" s="1119">
        <f t="shared" si="1"/>
        <v>2705</v>
      </c>
      <c r="G10" s="1121">
        <f t="shared" si="2"/>
        <v>0.42631993695823484</v>
      </c>
      <c r="J10" s="1122"/>
      <c r="L10" s="1104">
        <v>7</v>
      </c>
      <c r="M10" s="1129">
        <v>25660.966082317067</v>
      </c>
      <c r="N10" s="1134">
        <f t="shared" si="3"/>
        <v>70.304016663882379</v>
      </c>
      <c r="O10" s="1131">
        <f t="shared" si="4"/>
        <v>74.004228067244611</v>
      </c>
      <c r="P10" s="1215">
        <f>M10*('[10]CAF - Fall 2017'!$BP$27+1)/347</f>
        <v>75.33379830431663</v>
      </c>
      <c r="Q10" s="1216">
        <f t="shared" si="5"/>
        <v>26140.82801159787</v>
      </c>
      <c r="R10" s="1132">
        <f t="shared" si="6"/>
        <v>1.796613885174092E-2</v>
      </c>
      <c r="S10" s="1133"/>
      <c r="T10" s="1633"/>
      <c r="U10" s="1636"/>
      <c r="V10" s="1639"/>
    </row>
    <row r="11" spans="2:22" x14ac:dyDescent="0.25">
      <c r="B11" s="1118">
        <v>6420</v>
      </c>
      <c r="C11" s="1104">
        <v>3150</v>
      </c>
      <c r="D11" s="1119">
        <f t="shared" si="0"/>
        <v>7000</v>
      </c>
      <c r="E11" s="1120">
        <v>9050</v>
      </c>
      <c r="F11" s="1119">
        <f t="shared" si="1"/>
        <v>2630</v>
      </c>
      <c r="G11" s="1121">
        <f t="shared" si="2"/>
        <v>0.40965732087227413</v>
      </c>
      <c r="J11" s="1122"/>
      <c r="L11" s="1104">
        <v>8</v>
      </c>
      <c r="M11" s="1129">
        <v>28227.062690548773</v>
      </c>
      <c r="N11" s="1134">
        <f t="shared" si="3"/>
        <v>77.334418330270609</v>
      </c>
      <c r="O11" s="1131">
        <f t="shared" si="4"/>
        <v>81.404650873969061</v>
      </c>
      <c r="P11" s="1215">
        <f>M11*('[10]CAF - Fall 2017'!$BP$27+1)/347</f>
        <v>82.867178134748301</v>
      </c>
      <c r="Q11" s="1216">
        <f t="shared" si="5"/>
        <v>28754.910812757662</v>
      </c>
      <c r="R11" s="1132">
        <f t="shared" si="6"/>
        <v>1.7966138851741149E-2</v>
      </c>
      <c r="S11" s="1133"/>
      <c r="T11" s="1633"/>
      <c r="U11" s="1636"/>
      <c r="V11" s="1639"/>
    </row>
    <row r="12" spans="2:22" x14ac:dyDescent="0.25">
      <c r="B12" s="1118">
        <v>6420</v>
      </c>
      <c r="C12" s="1104">
        <v>3150</v>
      </c>
      <c r="D12" s="1119">
        <f t="shared" si="0"/>
        <v>7000</v>
      </c>
      <c r="E12" s="1120">
        <v>9050</v>
      </c>
      <c r="F12" s="1119">
        <f t="shared" si="1"/>
        <v>2630</v>
      </c>
      <c r="G12" s="1121">
        <f t="shared" si="2"/>
        <v>0.40965732087227413</v>
      </c>
      <c r="J12" s="1122"/>
      <c r="L12" s="1104">
        <v>9</v>
      </c>
      <c r="M12" s="1129">
        <v>30793.15929878048</v>
      </c>
      <c r="N12" s="1134">
        <f t="shared" si="3"/>
        <v>84.364819996658852</v>
      </c>
      <c r="O12" s="1131">
        <f t="shared" si="4"/>
        <v>88.805073680693539</v>
      </c>
      <c r="P12" s="1215">
        <f>M12*('[10]CAF - Fall 2017'!$BP$27+1)/347</f>
        <v>90.400557965179942</v>
      </c>
      <c r="Q12" s="1216">
        <f t="shared" si="5"/>
        <v>31368.993613917439</v>
      </c>
      <c r="R12" s="1132">
        <f t="shared" si="6"/>
        <v>1.7966138851740695E-2</v>
      </c>
      <c r="S12" s="1133"/>
      <c r="T12" s="1633"/>
      <c r="U12" s="1636"/>
      <c r="V12" s="1639"/>
    </row>
    <row r="13" spans="2:22" x14ac:dyDescent="0.25">
      <c r="B13" s="1118">
        <v>7200</v>
      </c>
      <c r="C13" s="1104">
        <v>3150</v>
      </c>
      <c r="D13" s="1119">
        <f t="shared" si="0"/>
        <v>8000</v>
      </c>
      <c r="E13" s="1120">
        <v>9050</v>
      </c>
      <c r="F13" s="1119">
        <f t="shared" si="1"/>
        <v>1850</v>
      </c>
      <c r="G13" s="1121">
        <f t="shared" si="2"/>
        <v>0.25694444444444442</v>
      </c>
      <c r="J13" s="1122"/>
      <c r="L13" s="1104">
        <v>10</v>
      </c>
      <c r="M13" s="1129">
        <v>33359.255907012186</v>
      </c>
      <c r="N13" s="1134">
        <f t="shared" si="3"/>
        <v>91.395221663047082</v>
      </c>
      <c r="O13" s="1131">
        <f t="shared" si="4"/>
        <v>96.205496487417989</v>
      </c>
      <c r="P13" s="1215">
        <f>M13*('[10]CAF - Fall 2017'!$BP$27+1)/347</f>
        <v>97.933937795611612</v>
      </c>
      <c r="Q13" s="1216">
        <f t="shared" si="5"/>
        <v>33983.07641507723</v>
      </c>
      <c r="R13" s="1132">
        <f t="shared" si="6"/>
        <v>1.7966138851740907E-2</v>
      </c>
      <c r="S13" s="1133"/>
      <c r="T13" s="1633"/>
      <c r="U13" s="1636"/>
      <c r="V13" s="1639"/>
    </row>
    <row r="14" spans="2:22" x14ac:dyDescent="0.25">
      <c r="B14" s="1118">
        <v>7200</v>
      </c>
      <c r="C14" s="1104">
        <v>3150</v>
      </c>
      <c r="D14" s="1119">
        <f t="shared" si="0"/>
        <v>8000</v>
      </c>
      <c r="E14" s="1120">
        <v>9050</v>
      </c>
      <c r="F14" s="1119">
        <f t="shared" si="1"/>
        <v>1850</v>
      </c>
      <c r="G14" s="1121">
        <f t="shared" si="2"/>
        <v>0.25694444444444442</v>
      </c>
      <c r="J14" s="1122"/>
      <c r="L14" s="1104">
        <v>11</v>
      </c>
      <c r="M14" s="1129">
        <v>35925.352515243889</v>
      </c>
      <c r="N14" s="1134">
        <f t="shared" si="3"/>
        <v>98.425623329435311</v>
      </c>
      <c r="O14" s="1131">
        <f t="shared" si="4"/>
        <v>103.60591929414244</v>
      </c>
      <c r="P14" s="1215">
        <f>M14*('[10]CAF - Fall 2017'!$BP$27+1)/347</f>
        <v>105.46731762604327</v>
      </c>
      <c r="Q14" s="1216">
        <f t="shared" si="5"/>
        <v>36597.159216237014</v>
      </c>
      <c r="R14" s="1132">
        <f t="shared" si="6"/>
        <v>1.7966138851740952E-2</v>
      </c>
      <c r="S14" s="1133"/>
      <c r="T14" s="1633"/>
      <c r="U14" s="1636"/>
      <c r="V14" s="1639"/>
    </row>
    <row r="15" spans="2:22" x14ac:dyDescent="0.25">
      <c r="B15" s="1118">
        <v>7200</v>
      </c>
      <c r="C15" s="1104">
        <v>3150</v>
      </c>
      <c r="D15" s="1119">
        <f t="shared" si="0"/>
        <v>8000</v>
      </c>
      <c r="E15" s="1120">
        <v>9050</v>
      </c>
      <c r="F15" s="1119">
        <f t="shared" si="1"/>
        <v>1850</v>
      </c>
      <c r="G15" s="1121">
        <f t="shared" si="2"/>
        <v>0.25694444444444442</v>
      </c>
      <c r="J15" s="1122"/>
      <c r="L15" s="1104">
        <v>12</v>
      </c>
      <c r="M15" s="1129">
        <v>38491.449123475599</v>
      </c>
      <c r="N15" s="1134">
        <f t="shared" si="3"/>
        <v>105.45602499582355</v>
      </c>
      <c r="O15" s="1131">
        <f t="shared" si="4"/>
        <v>111.0063421008669</v>
      </c>
      <c r="P15" s="1215">
        <f>M15*('[10]CAF - Fall 2017'!$BP$27+1)/347</f>
        <v>113.00069745647494</v>
      </c>
      <c r="Q15" s="1216">
        <f t="shared" si="5"/>
        <v>39211.242017396806</v>
      </c>
      <c r="R15" s="1132">
        <f t="shared" si="6"/>
        <v>1.7966138851740986E-2</v>
      </c>
      <c r="S15" s="1133"/>
      <c r="T15" s="1634"/>
      <c r="U15" s="1636"/>
      <c r="V15" s="1639"/>
    </row>
    <row r="16" spans="2:22" x14ac:dyDescent="0.25">
      <c r="B16" s="1118">
        <v>7300</v>
      </c>
      <c r="C16" s="1104">
        <v>3150</v>
      </c>
      <c r="D16" s="1119">
        <f t="shared" si="0"/>
        <v>8000</v>
      </c>
      <c r="E16" s="1120">
        <v>9050</v>
      </c>
      <c r="F16" s="1119">
        <f t="shared" si="1"/>
        <v>1750</v>
      </c>
      <c r="G16" s="1121">
        <f t="shared" si="2"/>
        <v>0.23972602739726026</v>
      </c>
      <c r="J16" s="1122"/>
      <c r="L16" s="1104">
        <v>13</v>
      </c>
      <c r="M16" s="1129">
        <v>41057.545731707309</v>
      </c>
      <c r="N16" s="1134">
        <f t="shared" si="3"/>
        <v>112.4864266622118</v>
      </c>
      <c r="O16" s="1131">
        <f t="shared" si="4"/>
        <v>118.40676490759137</v>
      </c>
      <c r="P16" s="1215">
        <f>M16*('[10]CAF - Fall 2017'!$BP$27+1)/347</f>
        <v>120.53407728690662</v>
      </c>
      <c r="Q16" s="1216">
        <f t="shared" si="5"/>
        <v>41825.324818556597</v>
      </c>
      <c r="R16" s="1132">
        <f t="shared" si="6"/>
        <v>1.7966138851741139E-2</v>
      </c>
      <c r="S16" s="1133"/>
      <c r="U16" s="1636"/>
      <c r="V16" s="1639"/>
    </row>
    <row r="17" spans="2:22" x14ac:dyDescent="0.25">
      <c r="B17" s="1118">
        <v>7300</v>
      </c>
      <c r="C17" s="1104">
        <v>3150</v>
      </c>
      <c r="D17" s="1119">
        <f t="shared" si="0"/>
        <v>8000</v>
      </c>
      <c r="E17" s="1120">
        <v>9050</v>
      </c>
      <c r="F17" s="1119">
        <f t="shared" si="1"/>
        <v>1750</v>
      </c>
      <c r="G17" s="1121">
        <f t="shared" si="2"/>
        <v>0.23972602739726026</v>
      </c>
      <c r="J17" s="1122"/>
      <c r="L17" s="1104">
        <v>14</v>
      </c>
      <c r="M17" s="1129">
        <v>43623.642339939011</v>
      </c>
      <c r="N17" s="1134">
        <f t="shared" si="3"/>
        <v>119.51682832860003</v>
      </c>
      <c r="O17" s="1131">
        <f t="shared" si="4"/>
        <v>125.80718771431583</v>
      </c>
      <c r="P17" s="1215">
        <f>M17*('[10]CAF - Fall 2017'!$BP$27+1)/347</f>
        <v>128.06745711733825</v>
      </c>
      <c r="Q17" s="1216">
        <f t="shared" si="5"/>
        <v>44439.407619716374</v>
      </c>
      <c r="R17" s="1132">
        <f t="shared" si="6"/>
        <v>1.796613885174082E-2</v>
      </c>
      <c r="S17" s="1133"/>
      <c r="U17" s="1636"/>
      <c r="V17" s="1639"/>
    </row>
    <row r="18" spans="2:22" x14ac:dyDescent="0.25">
      <c r="B18" s="1118">
        <v>7300</v>
      </c>
      <c r="C18" s="1104">
        <v>3288</v>
      </c>
      <c r="D18" s="1119">
        <f t="shared" si="0"/>
        <v>8000</v>
      </c>
      <c r="E18" s="1120">
        <v>9050</v>
      </c>
      <c r="F18" s="1119">
        <f t="shared" si="1"/>
        <v>1750</v>
      </c>
      <c r="G18" s="1121">
        <f t="shared" si="2"/>
        <v>0.23972602739726026</v>
      </c>
      <c r="J18" s="1122"/>
      <c r="L18" s="1104">
        <v>15</v>
      </c>
      <c r="M18" s="1129">
        <v>46189.738948170721</v>
      </c>
      <c r="N18" s="1134">
        <f t="shared" si="3"/>
        <v>126.54722999498827</v>
      </c>
      <c r="O18" s="1131">
        <f t="shared" si="4"/>
        <v>133.20761052104029</v>
      </c>
      <c r="P18" s="1215">
        <f>M18*('[10]CAF - Fall 2017'!$BP$27+1)/347</f>
        <v>135.60083694776992</v>
      </c>
      <c r="Q18" s="1216">
        <f t="shared" si="5"/>
        <v>47053.490420876165</v>
      </c>
      <c r="R18" s="1132">
        <f t="shared" si="6"/>
        <v>1.7966138851740858E-2</v>
      </c>
      <c r="S18" s="1133"/>
      <c r="U18" s="1636"/>
      <c r="V18" s="1639"/>
    </row>
    <row r="19" spans="2:22" x14ac:dyDescent="0.25">
      <c r="B19" s="1118">
        <v>7497.1</v>
      </c>
      <c r="C19" s="1104">
        <v>3150</v>
      </c>
      <c r="D19" s="1119">
        <f t="shared" si="0"/>
        <v>8000</v>
      </c>
      <c r="E19" s="1120">
        <v>9050</v>
      </c>
      <c r="F19" s="1119">
        <f t="shared" si="1"/>
        <v>1552.8999999999996</v>
      </c>
      <c r="G19" s="1121">
        <f t="shared" si="2"/>
        <v>0.207133424924304</v>
      </c>
      <c r="J19" s="1122"/>
      <c r="L19" s="1104">
        <v>16</v>
      </c>
      <c r="M19" s="1129">
        <v>48755.835556402424</v>
      </c>
      <c r="N19" s="1134">
        <f t="shared" si="3"/>
        <v>133.5776316613765</v>
      </c>
      <c r="O19" s="1131">
        <f t="shared" si="4"/>
        <v>140.60803332776473</v>
      </c>
      <c r="P19" s="1215">
        <f>M19*('[10]CAF - Fall 2017'!$BP$27+1)/347</f>
        <v>143.13421677820159</v>
      </c>
      <c r="Q19" s="1216">
        <f t="shared" si="5"/>
        <v>49667.57322203595</v>
      </c>
      <c r="R19" s="1132">
        <f t="shared" si="6"/>
        <v>1.7966138851741097E-2</v>
      </c>
      <c r="S19" s="1133"/>
      <c r="U19" s="1637"/>
      <c r="V19" s="1639"/>
    </row>
    <row r="20" spans="2:22" x14ac:dyDescent="0.25">
      <c r="B20" s="1118">
        <v>7497.1</v>
      </c>
      <c r="C20" s="1104">
        <v>3150</v>
      </c>
      <c r="D20" s="1119">
        <f t="shared" si="0"/>
        <v>8000</v>
      </c>
      <c r="E20" s="1120">
        <v>9050</v>
      </c>
      <c r="F20" s="1119">
        <f t="shared" si="1"/>
        <v>1552.8999999999996</v>
      </c>
      <c r="G20" s="1121">
        <f t="shared" si="2"/>
        <v>0.207133424924304</v>
      </c>
      <c r="J20" s="1122"/>
      <c r="L20" s="1104">
        <v>17</v>
      </c>
      <c r="M20" s="1129">
        <v>51321.932164634134</v>
      </c>
      <c r="N20" s="1134">
        <f t="shared" si="3"/>
        <v>140.60803332776476</v>
      </c>
      <c r="O20" s="1131">
        <f t="shared" si="4"/>
        <v>148.00845613448922</v>
      </c>
      <c r="P20" s="1215">
        <f>M20*('[10]CAF - Fall 2017'!$BP$27+1)/347</f>
        <v>150.66759660863326</v>
      </c>
      <c r="Q20" s="1216">
        <f t="shared" si="5"/>
        <v>52281.656023195741</v>
      </c>
      <c r="R20" s="1132">
        <f t="shared" si="6"/>
        <v>1.796613885174092E-2</v>
      </c>
      <c r="S20" s="1133"/>
      <c r="V20" s="1639"/>
    </row>
    <row r="21" spans="2:22" x14ac:dyDescent="0.25">
      <c r="B21" s="1118">
        <v>7497.1</v>
      </c>
      <c r="C21" s="1104">
        <v>3288</v>
      </c>
      <c r="D21" s="1119">
        <f t="shared" si="0"/>
        <v>8000</v>
      </c>
      <c r="E21" s="1120">
        <v>9050</v>
      </c>
      <c r="F21" s="1119">
        <f t="shared" si="1"/>
        <v>1552.8999999999996</v>
      </c>
      <c r="G21" s="1121">
        <f t="shared" si="2"/>
        <v>0.207133424924304</v>
      </c>
      <c r="J21" s="1122"/>
      <c r="L21" s="1104">
        <v>18</v>
      </c>
      <c r="M21" s="1129">
        <v>53888.028772865837</v>
      </c>
      <c r="N21" s="1134">
        <f t="shared" si="3"/>
        <v>147.63843499415299</v>
      </c>
      <c r="O21" s="1131">
        <f t="shared" si="4"/>
        <v>155.40887894121369</v>
      </c>
      <c r="P21" s="1215">
        <f>M21*('[10]CAF - Fall 2017'!$BP$27+1)/347</f>
        <v>158.2009764390649</v>
      </c>
      <c r="Q21" s="1216">
        <f t="shared" si="5"/>
        <v>54895.738824355518</v>
      </c>
      <c r="R21" s="1132">
        <f t="shared" si="6"/>
        <v>1.7966138851740764E-2</v>
      </c>
      <c r="S21" s="1133"/>
      <c r="V21" s="1639"/>
    </row>
    <row r="22" spans="2:22" x14ac:dyDescent="0.25">
      <c r="B22" s="1118">
        <v>7497.1</v>
      </c>
      <c r="C22" s="1104">
        <v>3288</v>
      </c>
      <c r="D22" s="1119">
        <f t="shared" si="0"/>
        <v>8000</v>
      </c>
      <c r="E22" s="1120">
        <v>9050</v>
      </c>
      <c r="F22" s="1119">
        <f t="shared" si="1"/>
        <v>1552.8999999999996</v>
      </c>
      <c r="G22" s="1121">
        <f t="shared" si="2"/>
        <v>0.207133424924304</v>
      </c>
      <c r="J22" s="1122"/>
      <c r="L22" s="1104">
        <v>19</v>
      </c>
      <c r="M22" s="1129">
        <v>56454.125381097547</v>
      </c>
      <c r="N22" s="1134">
        <f t="shared" si="3"/>
        <v>154.66883666054122</v>
      </c>
      <c r="O22" s="1131">
        <f t="shared" si="4"/>
        <v>162.80930174793812</v>
      </c>
      <c r="P22" s="1215">
        <f>M22*('[10]CAF - Fall 2017'!$BP$27+1)/347</f>
        <v>165.7343562694966</v>
      </c>
      <c r="Q22" s="1216">
        <f t="shared" si="5"/>
        <v>57509.821625515324</v>
      </c>
      <c r="R22" s="1132">
        <f t="shared" si="6"/>
        <v>1.7966138851741149E-2</v>
      </c>
      <c r="S22" s="1133"/>
      <c r="V22" s="1639"/>
    </row>
    <row r="23" spans="2:22" x14ac:dyDescent="0.25">
      <c r="B23" s="1118">
        <v>7551.85</v>
      </c>
      <c r="C23" s="1104">
        <v>3288</v>
      </c>
      <c r="D23" s="1119">
        <f t="shared" si="0"/>
        <v>8000</v>
      </c>
      <c r="E23" s="1120">
        <v>9050</v>
      </c>
      <c r="F23" s="1119">
        <f t="shared" si="1"/>
        <v>1498.1499999999996</v>
      </c>
      <c r="G23" s="1121">
        <f t="shared" si="2"/>
        <v>0.19838185345312731</v>
      </c>
      <c r="J23" s="1122"/>
      <c r="L23" s="1104">
        <v>20</v>
      </c>
      <c r="M23" s="1129">
        <v>59020.221989329257</v>
      </c>
      <c r="N23" s="1134">
        <f t="shared" si="3"/>
        <v>161.69923832692947</v>
      </c>
      <c r="O23" s="1131">
        <f t="shared" si="4"/>
        <v>170.20972455466261</v>
      </c>
      <c r="P23" s="1215">
        <f>M23*('[10]CAF - Fall 2017'!$BP$27+1)/347</f>
        <v>173.26773609992827</v>
      </c>
      <c r="Q23" s="1216">
        <f t="shared" si="5"/>
        <v>60123.904426675108</v>
      </c>
      <c r="R23" s="1132">
        <f t="shared" si="6"/>
        <v>1.7966138851740993E-2</v>
      </c>
      <c r="S23" s="1133"/>
      <c r="V23" s="1639"/>
    </row>
    <row r="24" spans="2:22" ht="15.75" thickBot="1" x14ac:dyDescent="0.3">
      <c r="B24" s="1118">
        <v>7865.75</v>
      </c>
      <c r="C24" s="1104">
        <v>3150</v>
      </c>
      <c r="D24" s="1119">
        <f t="shared" si="0"/>
        <v>8000</v>
      </c>
      <c r="E24" s="1120">
        <v>9050</v>
      </c>
      <c r="F24" s="1119">
        <f t="shared" si="1"/>
        <v>1184.25</v>
      </c>
      <c r="G24" s="1121">
        <f t="shared" si="2"/>
        <v>0.15055779804850142</v>
      </c>
      <c r="J24" s="1122"/>
      <c r="L24" s="1104">
        <v>21</v>
      </c>
      <c r="M24" s="1129">
        <v>61586.318597560959</v>
      </c>
      <c r="N24" s="1134">
        <f t="shared" si="3"/>
        <v>168.7296399933177</v>
      </c>
      <c r="O24" s="1135">
        <f t="shared" si="4"/>
        <v>177.61014736138708</v>
      </c>
      <c r="P24" s="1215">
        <f>M24*('[10]CAF - Fall 2017'!$BP$27+1)/347</f>
        <v>180.80111593035988</v>
      </c>
      <c r="Q24" s="1216">
        <f t="shared" si="5"/>
        <v>62737.987227834878</v>
      </c>
      <c r="R24" s="1132">
        <f t="shared" si="6"/>
        <v>1.7966138851740695E-2</v>
      </c>
      <c r="S24" s="1133"/>
      <c r="V24" s="1640"/>
    </row>
    <row r="25" spans="2:22" ht="19.149999999999999" customHeight="1" x14ac:dyDescent="0.3">
      <c r="B25" s="1118">
        <v>7865.75</v>
      </c>
      <c r="C25" s="1104">
        <v>3150</v>
      </c>
      <c r="D25" s="1119">
        <f t="shared" si="0"/>
        <v>8000</v>
      </c>
      <c r="E25" s="1120">
        <v>9050</v>
      </c>
      <c r="F25" s="1119">
        <f t="shared" si="1"/>
        <v>1184.25</v>
      </c>
      <c r="G25" s="1121">
        <f t="shared" si="2"/>
        <v>0.15055779804850142</v>
      </c>
      <c r="J25" s="1122"/>
      <c r="L25" s="1104">
        <v>22</v>
      </c>
      <c r="M25" s="1136">
        <v>63895.805544969488</v>
      </c>
      <c r="N25" s="1137">
        <f t="shared" si="3"/>
        <v>175.05700149306708</v>
      </c>
      <c r="O25" s="1213">
        <f t="shared" si="4"/>
        <v>184.27052788743904</v>
      </c>
      <c r="P25" s="1217">
        <f>M25*('[10]CAF - Fall 2017'!$BP$27+1)/347</f>
        <v>187.58115777774839</v>
      </c>
      <c r="Q25" s="1219">
        <f t="shared" si="5"/>
        <v>65090.661748878687</v>
      </c>
      <c r="R25" s="1132">
        <f t="shared" si="6"/>
        <v>1.7966138851741007E-2</v>
      </c>
      <c r="S25" s="1133"/>
    </row>
    <row r="26" spans="2:22" ht="19.149999999999999" customHeight="1" x14ac:dyDescent="0.3">
      <c r="B26" s="1118">
        <v>7865.75</v>
      </c>
      <c r="C26" s="1104">
        <v>3288</v>
      </c>
      <c r="D26" s="1119">
        <f t="shared" si="0"/>
        <v>8000</v>
      </c>
      <c r="E26" s="1120">
        <v>9050</v>
      </c>
      <c r="F26" s="1119">
        <f t="shared" si="1"/>
        <v>1184.25</v>
      </c>
      <c r="G26" s="1121">
        <f t="shared" si="2"/>
        <v>0.15055779804850142</v>
      </c>
      <c r="J26" s="1122"/>
      <c r="L26" s="1104">
        <v>23</v>
      </c>
      <c r="M26" s="1138">
        <v>66718.511814024372</v>
      </c>
      <c r="N26" s="1139">
        <f t="shared" si="3"/>
        <v>182.79044332609416</v>
      </c>
      <c r="O26" s="1214">
        <f t="shared" si="4"/>
        <v>192.41099297483598</v>
      </c>
      <c r="P26" s="1217">
        <f>M26*('[10]CAF - Fall 2017'!$BP$27+1)/347</f>
        <v>195.86787559122322</v>
      </c>
      <c r="Q26" s="1219">
        <f t="shared" si="5"/>
        <v>67966.15283015446</v>
      </c>
      <c r="R26" s="1132">
        <f t="shared" si="6"/>
        <v>1.7966138851740907E-2</v>
      </c>
      <c r="S26" s="1133"/>
    </row>
    <row r="27" spans="2:22" ht="19.149999999999999" customHeight="1" x14ac:dyDescent="0.3">
      <c r="B27" s="1118">
        <v>8152</v>
      </c>
      <c r="C27" s="1104">
        <v>3288</v>
      </c>
      <c r="D27" s="1119">
        <f t="shared" si="0"/>
        <v>9000</v>
      </c>
      <c r="E27" s="1140">
        <v>12500</v>
      </c>
      <c r="F27" s="1119">
        <f t="shared" si="1"/>
        <v>4348</v>
      </c>
      <c r="G27" s="1121">
        <f t="shared" si="2"/>
        <v>0.53336604514229635</v>
      </c>
      <c r="H27" s="1141">
        <v>38</v>
      </c>
      <c r="J27" s="1142">
        <f>AVERAGE(B27:B64)</f>
        <v>10505.995263157894</v>
      </c>
      <c r="L27" s="1104">
        <v>24</v>
      </c>
      <c r="M27" s="1138">
        <v>69541.218083079249</v>
      </c>
      <c r="N27" s="1139">
        <f t="shared" si="3"/>
        <v>190.52388515912122</v>
      </c>
      <c r="O27" s="1214">
        <f t="shared" si="4"/>
        <v>200.55145806223288</v>
      </c>
      <c r="P27" s="1217">
        <f>M27*('[10]CAF - Fall 2017'!$BP$27+1)/347</f>
        <v>204.15459340469809</v>
      </c>
      <c r="Q27" s="1219">
        <f t="shared" si="5"/>
        <v>70841.643911430234</v>
      </c>
      <c r="R27" s="1132">
        <f t="shared" si="6"/>
        <v>1.7966138851741101E-2</v>
      </c>
      <c r="S27" s="1133"/>
    </row>
    <row r="28" spans="2:22" ht="19.149999999999999" customHeight="1" thickBot="1" x14ac:dyDescent="0.35">
      <c r="B28" s="1118">
        <v>8760</v>
      </c>
      <c r="C28" s="1104">
        <v>3150</v>
      </c>
      <c r="D28" s="1119">
        <f t="shared" si="0"/>
        <v>9000</v>
      </c>
      <c r="E28" s="1140">
        <v>12500</v>
      </c>
      <c r="F28" s="1119">
        <f t="shared" si="1"/>
        <v>3740</v>
      </c>
      <c r="G28" s="1121">
        <f t="shared" si="2"/>
        <v>0.4269406392694064</v>
      </c>
      <c r="J28" s="1122"/>
      <c r="L28" s="1104">
        <v>25</v>
      </c>
      <c r="M28" s="1143">
        <v>71850.705030487778</v>
      </c>
      <c r="N28" s="1144">
        <f t="shared" si="3"/>
        <v>196.85124665887062</v>
      </c>
      <c r="O28" s="1145">
        <f t="shared" si="4"/>
        <v>207.21183858828488</v>
      </c>
      <c r="P28" s="1218">
        <f>M28*('[10]CAF - Fall 2017'!$BP$27+1)/347</f>
        <v>210.93463525208654</v>
      </c>
      <c r="Q28" s="1219">
        <f t="shared" si="5"/>
        <v>73194.318432474029</v>
      </c>
      <c r="R28" s="1132">
        <f t="shared" si="6"/>
        <v>1.7966138851740952E-2</v>
      </c>
      <c r="S28" s="1133"/>
    </row>
    <row r="29" spans="2:22" ht="14.45" x14ac:dyDescent="0.3">
      <c r="B29" s="1118">
        <v>9001</v>
      </c>
      <c r="C29" s="1104">
        <v>3150</v>
      </c>
      <c r="D29" s="1119">
        <f t="shared" si="0"/>
        <v>10000</v>
      </c>
      <c r="E29" s="1140">
        <v>12500</v>
      </c>
      <c r="F29" s="1119">
        <f t="shared" si="1"/>
        <v>3499</v>
      </c>
      <c r="G29" s="1121">
        <f t="shared" si="2"/>
        <v>0.38873458504610597</v>
      </c>
      <c r="J29" s="1122"/>
      <c r="M29" s="1146"/>
    </row>
    <row r="30" spans="2:22" ht="14.45" x14ac:dyDescent="0.3">
      <c r="B30" s="1118">
        <v>9029</v>
      </c>
      <c r="C30" s="1104">
        <v>3288</v>
      </c>
      <c r="D30" s="1119">
        <f t="shared" si="0"/>
        <v>10000</v>
      </c>
      <c r="E30" s="1140">
        <v>12500</v>
      </c>
      <c r="F30" s="1119">
        <f t="shared" si="1"/>
        <v>3471</v>
      </c>
      <c r="G30" s="1121">
        <f t="shared" si="2"/>
        <v>0.38442795436925464</v>
      </c>
      <c r="J30" s="1122"/>
    </row>
    <row r="31" spans="2:22" ht="14.45" x14ac:dyDescent="0.3">
      <c r="B31" s="1118">
        <v>9125</v>
      </c>
      <c r="C31" s="1104">
        <v>3150</v>
      </c>
      <c r="D31" s="1119">
        <f t="shared" si="0"/>
        <v>10000</v>
      </c>
      <c r="E31" s="1140">
        <v>12500</v>
      </c>
      <c r="F31" s="1119">
        <f t="shared" si="1"/>
        <v>3375</v>
      </c>
      <c r="G31" s="1121">
        <f t="shared" si="2"/>
        <v>0.36986301369863012</v>
      </c>
      <c r="J31" s="1122"/>
    </row>
    <row r="32" spans="2:22" ht="14.45" x14ac:dyDescent="0.3">
      <c r="B32" s="1118">
        <v>9125</v>
      </c>
      <c r="C32" s="1104">
        <v>3150</v>
      </c>
      <c r="D32" s="1119">
        <f t="shared" si="0"/>
        <v>10000</v>
      </c>
      <c r="E32" s="1140">
        <v>12500</v>
      </c>
      <c r="F32" s="1119">
        <f t="shared" si="1"/>
        <v>3375</v>
      </c>
      <c r="G32" s="1121">
        <f t="shared" si="2"/>
        <v>0.36986301369863012</v>
      </c>
      <c r="J32" s="1122"/>
    </row>
    <row r="33" spans="2:10" ht="14.45" x14ac:dyDescent="0.3">
      <c r="B33" s="1118">
        <v>9125</v>
      </c>
      <c r="C33" s="1104">
        <v>3150</v>
      </c>
      <c r="D33" s="1119">
        <f t="shared" si="0"/>
        <v>10000</v>
      </c>
      <c r="E33" s="1140">
        <v>12500</v>
      </c>
      <c r="F33" s="1119">
        <f t="shared" si="1"/>
        <v>3375</v>
      </c>
      <c r="G33" s="1121">
        <f t="shared" si="2"/>
        <v>0.36986301369863012</v>
      </c>
      <c r="J33" s="1122"/>
    </row>
    <row r="34" spans="2:10" ht="14.45" x14ac:dyDescent="0.3">
      <c r="B34" s="1118">
        <v>9125</v>
      </c>
      <c r="C34" s="1104">
        <v>3150</v>
      </c>
      <c r="D34" s="1119">
        <f t="shared" si="0"/>
        <v>10000</v>
      </c>
      <c r="E34" s="1140">
        <v>12500</v>
      </c>
      <c r="F34" s="1119">
        <f t="shared" si="1"/>
        <v>3375</v>
      </c>
      <c r="G34" s="1121">
        <f t="shared" si="2"/>
        <v>0.36986301369863012</v>
      </c>
      <c r="J34" s="1122"/>
    </row>
    <row r="35" spans="2:10" ht="14.45" x14ac:dyDescent="0.3">
      <c r="B35" s="1118">
        <v>9125</v>
      </c>
      <c r="C35" s="1104">
        <v>3150</v>
      </c>
      <c r="D35" s="1119">
        <f t="shared" si="0"/>
        <v>10000</v>
      </c>
      <c r="E35" s="1140">
        <v>12500</v>
      </c>
      <c r="F35" s="1119">
        <f t="shared" si="1"/>
        <v>3375</v>
      </c>
      <c r="G35" s="1121">
        <f t="shared" si="2"/>
        <v>0.36986301369863012</v>
      </c>
      <c r="J35" s="1122"/>
    </row>
    <row r="36" spans="2:10" ht="14.45" x14ac:dyDescent="0.3">
      <c r="B36" s="1118">
        <v>9125</v>
      </c>
      <c r="C36" s="1104">
        <v>3288</v>
      </c>
      <c r="D36" s="1119">
        <f t="shared" si="0"/>
        <v>10000</v>
      </c>
      <c r="E36" s="1140">
        <v>12500</v>
      </c>
      <c r="F36" s="1119">
        <f t="shared" si="1"/>
        <v>3375</v>
      </c>
      <c r="G36" s="1121">
        <f t="shared" si="2"/>
        <v>0.36986301369863012</v>
      </c>
      <c r="J36" s="1122"/>
    </row>
    <row r="37" spans="2:10" ht="14.45" x14ac:dyDescent="0.3">
      <c r="B37" s="1118">
        <v>9125</v>
      </c>
      <c r="C37" s="1104">
        <v>3288</v>
      </c>
      <c r="D37" s="1119">
        <f t="shared" si="0"/>
        <v>10000</v>
      </c>
      <c r="E37" s="1140">
        <v>12500</v>
      </c>
      <c r="F37" s="1119">
        <f t="shared" si="1"/>
        <v>3375</v>
      </c>
      <c r="G37" s="1121">
        <f t="shared" si="2"/>
        <v>0.36986301369863012</v>
      </c>
      <c r="J37" s="1122"/>
    </row>
    <row r="38" spans="2:10" ht="14.45" x14ac:dyDescent="0.3">
      <c r="B38" s="1118">
        <v>9125</v>
      </c>
      <c r="C38" s="1104">
        <v>3288</v>
      </c>
      <c r="D38" s="1119">
        <f t="shared" si="0"/>
        <v>10000</v>
      </c>
      <c r="E38" s="1140">
        <v>12500</v>
      </c>
      <c r="F38" s="1119">
        <f t="shared" si="1"/>
        <v>3375</v>
      </c>
      <c r="G38" s="1121">
        <f t="shared" si="2"/>
        <v>0.36986301369863012</v>
      </c>
      <c r="J38" s="1122"/>
    </row>
    <row r="39" spans="2:10" ht="14.45" x14ac:dyDescent="0.3">
      <c r="B39" s="1118">
        <v>9125</v>
      </c>
      <c r="C39" s="1104">
        <v>3288</v>
      </c>
      <c r="D39" s="1119">
        <f t="shared" si="0"/>
        <v>10000</v>
      </c>
      <c r="E39" s="1140">
        <v>12500</v>
      </c>
      <c r="F39" s="1119">
        <f t="shared" si="1"/>
        <v>3375</v>
      </c>
      <c r="G39" s="1121">
        <f t="shared" si="2"/>
        <v>0.36986301369863012</v>
      </c>
      <c r="J39" s="1122"/>
    </row>
    <row r="40" spans="2:10" x14ac:dyDescent="0.25">
      <c r="B40" s="1118">
        <v>9125</v>
      </c>
      <c r="C40" s="1104">
        <v>3288</v>
      </c>
      <c r="D40" s="1119">
        <f t="shared" si="0"/>
        <v>10000</v>
      </c>
      <c r="E40" s="1140">
        <v>12500</v>
      </c>
      <c r="F40" s="1119">
        <f t="shared" si="1"/>
        <v>3375</v>
      </c>
      <c r="G40" s="1121">
        <f t="shared" si="2"/>
        <v>0.36986301369863012</v>
      </c>
      <c r="J40" s="1122"/>
    </row>
    <row r="41" spans="2:10" x14ac:dyDescent="0.25">
      <c r="B41" s="1118">
        <v>9600</v>
      </c>
      <c r="C41" s="1104">
        <v>3150</v>
      </c>
      <c r="D41" s="1119">
        <f t="shared" si="0"/>
        <v>10000</v>
      </c>
      <c r="E41" s="1140">
        <v>12500</v>
      </c>
      <c r="F41" s="1119">
        <f t="shared" si="1"/>
        <v>2900</v>
      </c>
      <c r="G41" s="1121">
        <f t="shared" si="2"/>
        <v>0.30208333333333331</v>
      </c>
      <c r="J41" s="1122"/>
    </row>
    <row r="42" spans="2:10" x14ac:dyDescent="0.25">
      <c r="B42" s="1118">
        <v>10220</v>
      </c>
      <c r="C42" s="1104">
        <v>3288</v>
      </c>
      <c r="D42" s="1119">
        <f t="shared" si="0"/>
        <v>11000</v>
      </c>
      <c r="E42" s="1140">
        <f t="shared" ref="E42:E64" si="7">IF(B42&lt;12500,12500,12500)</f>
        <v>12500</v>
      </c>
      <c r="F42" s="1119">
        <f t="shared" si="1"/>
        <v>2280</v>
      </c>
      <c r="G42" s="1121">
        <f t="shared" si="2"/>
        <v>0.22309197651663404</v>
      </c>
      <c r="J42" s="1122"/>
    </row>
    <row r="43" spans="2:10" x14ac:dyDescent="0.25">
      <c r="B43" s="1118">
        <v>10453.6</v>
      </c>
      <c r="C43" s="1104">
        <v>3150</v>
      </c>
      <c r="D43" s="1119">
        <f t="shared" si="0"/>
        <v>11000</v>
      </c>
      <c r="E43" s="1140">
        <f t="shared" si="7"/>
        <v>12500</v>
      </c>
      <c r="F43" s="1119">
        <f t="shared" si="1"/>
        <v>2046.3999999999996</v>
      </c>
      <c r="G43" s="1121">
        <f t="shared" si="2"/>
        <v>0.19576031223693269</v>
      </c>
      <c r="J43" s="1122"/>
    </row>
    <row r="44" spans="2:10" x14ac:dyDescent="0.25">
      <c r="B44" s="1118">
        <v>10453.6</v>
      </c>
      <c r="C44" s="1104">
        <v>3150</v>
      </c>
      <c r="D44" s="1119">
        <f t="shared" si="0"/>
        <v>11000</v>
      </c>
      <c r="E44" s="1140">
        <f t="shared" si="7"/>
        <v>12500</v>
      </c>
      <c r="F44" s="1119">
        <f t="shared" si="1"/>
        <v>2046.3999999999996</v>
      </c>
      <c r="G44" s="1121">
        <f t="shared" si="2"/>
        <v>0.19576031223693269</v>
      </c>
      <c r="J44" s="1122"/>
    </row>
    <row r="45" spans="2:10" x14ac:dyDescent="0.25">
      <c r="B45" s="1118">
        <v>10950</v>
      </c>
      <c r="C45" s="1104">
        <v>3150</v>
      </c>
      <c r="D45" s="1119">
        <f t="shared" si="0"/>
        <v>11000</v>
      </c>
      <c r="E45" s="1140">
        <f t="shared" si="7"/>
        <v>12500</v>
      </c>
      <c r="F45" s="1119">
        <f t="shared" si="1"/>
        <v>1550</v>
      </c>
      <c r="G45" s="1121">
        <f t="shared" si="2"/>
        <v>0.14155251141552511</v>
      </c>
      <c r="J45" s="1122"/>
    </row>
    <row r="46" spans="2:10" x14ac:dyDescent="0.25">
      <c r="B46" s="1118">
        <v>10950</v>
      </c>
      <c r="C46" s="1104">
        <v>3150</v>
      </c>
      <c r="D46" s="1119">
        <f t="shared" si="0"/>
        <v>11000</v>
      </c>
      <c r="E46" s="1140">
        <f t="shared" si="7"/>
        <v>12500</v>
      </c>
      <c r="F46" s="1119">
        <f t="shared" si="1"/>
        <v>1550</v>
      </c>
      <c r="G46" s="1121">
        <f t="shared" si="2"/>
        <v>0.14155251141552511</v>
      </c>
      <c r="J46" s="1122"/>
    </row>
    <row r="47" spans="2:10" x14ac:dyDescent="0.25">
      <c r="B47" s="1118">
        <v>10950</v>
      </c>
      <c r="C47" s="1104">
        <v>3150</v>
      </c>
      <c r="D47" s="1119">
        <f t="shared" si="0"/>
        <v>11000</v>
      </c>
      <c r="E47" s="1140">
        <f t="shared" si="7"/>
        <v>12500</v>
      </c>
      <c r="F47" s="1119">
        <f t="shared" si="1"/>
        <v>1550</v>
      </c>
      <c r="G47" s="1121">
        <f t="shared" si="2"/>
        <v>0.14155251141552511</v>
      </c>
      <c r="J47" s="1122"/>
    </row>
    <row r="48" spans="2:10" x14ac:dyDescent="0.25">
      <c r="B48" s="1118">
        <v>10950</v>
      </c>
      <c r="C48" s="1104">
        <v>3150</v>
      </c>
      <c r="D48" s="1119">
        <f t="shared" si="0"/>
        <v>11000</v>
      </c>
      <c r="E48" s="1140">
        <f t="shared" si="7"/>
        <v>12500</v>
      </c>
      <c r="F48" s="1119">
        <f t="shared" si="1"/>
        <v>1550</v>
      </c>
      <c r="G48" s="1121">
        <f t="shared" si="2"/>
        <v>0.14155251141552511</v>
      </c>
      <c r="J48" s="1122"/>
    </row>
    <row r="49" spans="2:10" x14ac:dyDescent="0.25">
      <c r="B49" s="1118">
        <v>11235.36</v>
      </c>
      <c r="C49" s="1104">
        <v>3150</v>
      </c>
      <c r="D49" s="1119">
        <f t="shared" si="0"/>
        <v>12000</v>
      </c>
      <c r="E49" s="1140">
        <f t="shared" si="7"/>
        <v>12500</v>
      </c>
      <c r="F49" s="1119">
        <f t="shared" si="1"/>
        <v>1264.6399999999994</v>
      </c>
      <c r="G49" s="1121">
        <f t="shared" si="2"/>
        <v>0.11255892112046248</v>
      </c>
      <c r="J49" s="1122"/>
    </row>
    <row r="50" spans="2:10" x14ac:dyDescent="0.25">
      <c r="B50" s="1118">
        <v>11235.36</v>
      </c>
      <c r="C50" s="1104">
        <v>3150</v>
      </c>
      <c r="D50" s="1119">
        <f t="shared" si="0"/>
        <v>12000</v>
      </c>
      <c r="E50" s="1140">
        <f t="shared" si="7"/>
        <v>12500</v>
      </c>
      <c r="F50" s="1119">
        <f t="shared" si="1"/>
        <v>1264.6399999999994</v>
      </c>
      <c r="G50" s="1121">
        <f t="shared" si="2"/>
        <v>0.11255892112046248</v>
      </c>
      <c r="J50" s="1122"/>
    </row>
    <row r="51" spans="2:10" x14ac:dyDescent="0.25">
      <c r="B51" s="1118">
        <v>11500</v>
      </c>
      <c r="C51" s="1104">
        <v>3150</v>
      </c>
      <c r="D51" s="1119">
        <f t="shared" si="0"/>
        <v>12000</v>
      </c>
      <c r="E51" s="1140">
        <f t="shared" si="7"/>
        <v>12500</v>
      </c>
      <c r="F51" s="1119">
        <f t="shared" si="1"/>
        <v>1000</v>
      </c>
      <c r="G51" s="1121">
        <f t="shared" si="2"/>
        <v>8.6956521739130432E-2</v>
      </c>
      <c r="J51" s="1122"/>
    </row>
    <row r="52" spans="2:10" x14ac:dyDescent="0.25">
      <c r="B52" s="1118">
        <v>11500</v>
      </c>
      <c r="C52" s="1104">
        <v>3150</v>
      </c>
      <c r="D52" s="1119">
        <f t="shared" si="0"/>
        <v>12000</v>
      </c>
      <c r="E52" s="1140">
        <f t="shared" si="7"/>
        <v>12500</v>
      </c>
      <c r="F52" s="1119">
        <f t="shared" si="1"/>
        <v>1000</v>
      </c>
      <c r="G52" s="1121">
        <f t="shared" si="2"/>
        <v>8.6956521739130432E-2</v>
      </c>
      <c r="J52" s="1122"/>
    </row>
    <row r="53" spans="2:10" x14ac:dyDescent="0.25">
      <c r="B53" s="1118">
        <v>11500</v>
      </c>
      <c r="C53" s="1104">
        <v>3150</v>
      </c>
      <c r="D53" s="1119">
        <f t="shared" si="0"/>
        <v>12000</v>
      </c>
      <c r="E53" s="1140">
        <f t="shared" si="7"/>
        <v>12500</v>
      </c>
      <c r="F53" s="1119">
        <f t="shared" si="1"/>
        <v>1000</v>
      </c>
      <c r="G53" s="1121">
        <f t="shared" si="2"/>
        <v>8.6956521739130432E-2</v>
      </c>
      <c r="J53" s="1122"/>
    </row>
    <row r="54" spans="2:10" x14ac:dyDescent="0.25">
      <c r="B54" s="1118">
        <v>11508</v>
      </c>
      <c r="C54" s="1104">
        <v>3150</v>
      </c>
      <c r="D54" s="1119">
        <f t="shared" si="0"/>
        <v>12000</v>
      </c>
      <c r="E54" s="1140">
        <f t="shared" si="7"/>
        <v>12500</v>
      </c>
      <c r="F54" s="1119">
        <f t="shared" si="1"/>
        <v>992</v>
      </c>
      <c r="G54" s="1121">
        <f t="shared" si="2"/>
        <v>8.62009037191519E-2</v>
      </c>
      <c r="J54" s="1122"/>
    </row>
    <row r="55" spans="2:10" x14ac:dyDescent="0.25">
      <c r="B55" s="1118">
        <v>11830</v>
      </c>
      <c r="C55" s="1104">
        <v>3150</v>
      </c>
      <c r="D55" s="1119">
        <f t="shared" si="0"/>
        <v>12000</v>
      </c>
      <c r="E55" s="1140">
        <f t="shared" si="7"/>
        <v>12500</v>
      </c>
      <c r="F55" s="1119">
        <f t="shared" si="1"/>
        <v>670</v>
      </c>
      <c r="G55" s="1121">
        <f t="shared" si="2"/>
        <v>5.6635672020287402E-2</v>
      </c>
      <c r="J55" s="1122"/>
    </row>
    <row r="56" spans="2:10" x14ac:dyDescent="0.25">
      <c r="B56" s="1118">
        <v>11942</v>
      </c>
      <c r="C56" s="1104">
        <v>3150</v>
      </c>
      <c r="D56" s="1119">
        <f t="shared" si="0"/>
        <v>12000</v>
      </c>
      <c r="E56" s="1140">
        <f t="shared" si="7"/>
        <v>12500</v>
      </c>
      <c r="F56" s="1119">
        <f t="shared" si="1"/>
        <v>558</v>
      </c>
      <c r="G56" s="1121">
        <f t="shared" si="2"/>
        <v>4.6725841567576622E-2</v>
      </c>
      <c r="J56" s="1122"/>
    </row>
    <row r="57" spans="2:10" x14ac:dyDescent="0.25">
      <c r="B57" s="1118">
        <v>12000</v>
      </c>
      <c r="C57" s="1104">
        <v>3150</v>
      </c>
      <c r="D57" s="1119">
        <f t="shared" si="0"/>
        <v>12000</v>
      </c>
      <c r="E57" s="1140">
        <f t="shared" si="7"/>
        <v>12500</v>
      </c>
      <c r="F57" s="1119">
        <f t="shared" si="1"/>
        <v>500</v>
      </c>
      <c r="G57" s="1121">
        <f t="shared" si="2"/>
        <v>4.1666666666666664E-2</v>
      </c>
      <c r="J57" s="1122"/>
    </row>
    <row r="58" spans="2:10" x14ac:dyDescent="0.25">
      <c r="B58" s="1118">
        <v>12000</v>
      </c>
      <c r="C58" s="1104">
        <v>3150</v>
      </c>
      <c r="D58" s="1119">
        <f t="shared" si="0"/>
        <v>12000</v>
      </c>
      <c r="E58" s="1140">
        <f t="shared" si="7"/>
        <v>12500</v>
      </c>
      <c r="F58" s="1119">
        <f t="shared" si="1"/>
        <v>500</v>
      </c>
      <c r="G58" s="1121">
        <f t="shared" si="2"/>
        <v>4.1666666666666664E-2</v>
      </c>
      <c r="J58" s="1122"/>
    </row>
    <row r="59" spans="2:10" x14ac:dyDescent="0.25">
      <c r="B59" s="1118">
        <v>12000</v>
      </c>
      <c r="C59" s="1104">
        <v>3150</v>
      </c>
      <c r="D59" s="1119">
        <f t="shared" si="0"/>
        <v>12000</v>
      </c>
      <c r="E59" s="1140">
        <f t="shared" si="7"/>
        <v>12500</v>
      </c>
      <c r="F59" s="1119">
        <f t="shared" si="1"/>
        <v>500</v>
      </c>
      <c r="G59" s="1121">
        <f t="shared" si="2"/>
        <v>4.1666666666666664E-2</v>
      </c>
      <c r="J59" s="1122"/>
    </row>
    <row r="60" spans="2:10" x14ac:dyDescent="0.25">
      <c r="B60" s="1118">
        <v>12000</v>
      </c>
      <c r="C60" s="1104">
        <v>3150</v>
      </c>
      <c r="D60" s="1119">
        <f t="shared" si="0"/>
        <v>12000</v>
      </c>
      <c r="E60" s="1140">
        <f t="shared" si="7"/>
        <v>12500</v>
      </c>
      <c r="F60" s="1119">
        <f t="shared" si="1"/>
        <v>500</v>
      </c>
      <c r="G60" s="1121">
        <f t="shared" si="2"/>
        <v>4.1666666666666664E-2</v>
      </c>
      <c r="J60" s="1122"/>
    </row>
    <row r="61" spans="2:10" x14ac:dyDescent="0.25">
      <c r="B61" s="1118">
        <v>12000</v>
      </c>
      <c r="C61" s="1104">
        <v>3150</v>
      </c>
      <c r="D61" s="1119">
        <f t="shared" si="0"/>
        <v>12000</v>
      </c>
      <c r="E61" s="1140">
        <f t="shared" si="7"/>
        <v>12500</v>
      </c>
      <c r="F61" s="1119">
        <f t="shared" si="1"/>
        <v>500</v>
      </c>
      <c r="G61" s="1121">
        <f t="shared" si="2"/>
        <v>4.1666666666666664E-2</v>
      </c>
      <c r="J61" s="1122"/>
    </row>
    <row r="62" spans="2:10" x14ac:dyDescent="0.25">
      <c r="B62" s="1118">
        <v>12000</v>
      </c>
      <c r="C62" s="1104">
        <v>3288</v>
      </c>
      <c r="D62" s="1119">
        <f t="shared" si="0"/>
        <v>12000</v>
      </c>
      <c r="E62" s="1140">
        <f t="shared" si="7"/>
        <v>12500</v>
      </c>
      <c r="F62" s="1119">
        <f t="shared" si="1"/>
        <v>500</v>
      </c>
      <c r="G62" s="1121">
        <f t="shared" si="2"/>
        <v>4.1666666666666664E-2</v>
      </c>
      <c r="J62" s="1122"/>
    </row>
    <row r="63" spans="2:10" x14ac:dyDescent="0.25">
      <c r="B63" s="1118">
        <v>12128.95</v>
      </c>
      <c r="C63" s="1104">
        <v>3150</v>
      </c>
      <c r="D63" s="1119">
        <f t="shared" si="0"/>
        <v>13000</v>
      </c>
      <c r="E63" s="1140">
        <f t="shared" si="7"/>
        <v>12500</v>
      </c>
      <c r="F63" s="1119">
        <f t="shared" si="1"/>
        <v>371.04999999999927</v>
      </c>
      <c r="G63" s="1121">
        <f t="shared" si="2"/>
        <v>3.0592095770862214E-2</v>
      </c>
      <c r="J63" s="1122"/>
    </row>
    <row r="64" spans="2:10" x14ac:dyDescent="0.25">
      <c r="B64" s="1118">
        <v>12128.95</v>
      </c>
      <c r="C64" s="1104">
        <v>3288</v>
      </c>
      <c r="D64" s="1119">
        <f t="shared" si="0"/>
        <v>13000</v>
      </c>
      <c r="E64" s="1140">
        <f t="shared" si="7"/>
        <v>12500</v>
      </c>
      <c r="F64" s="1119">
        <f t="shared" si="1"/>
        <v>371.04999999999927</v>
      </c>
      <c r="G64" s="1121">
        <f t="shared" si="2"/>
        <v>3.0592095770862214E-2</v>
      </c>
      <c r="J64" s="1122"/>
    </row>
    <row r="65" spans="2:10" x14ac:dyDescent="0.25">
      <c r="B65" s="1118">
        <v>12665.5</v>
      </c>
      <c r="C65" s="1104">
        <v>3150</v>
      </c>
      <c r="D65" s="1119">
        <f t="shared" si="0"/>
        <v>13000</v>
      </c>
      <c r="E65" s="1147">
        <f t="shared" ref="E65:E128" si="8">IF(B65&lt;15000,15000,15000)</f>
        <v>15000</v>
      </c>
      <c r="F65" s="1119">
        <f t="shared" si="1"/>
        <v>2334.5</v>
      </c>
      <c r="G65" s="1121">
        <f t="shared" si="2"/>
        <v>0.18431960838498282</v>
      </c>
      <c r="H65" s="1141">
        <v>75</v>
      </c>
      <c r="J65" s="1142">
        <f>AVERAGE(B65:B139)</f>
        <v>13927.635999999999</v>
      </c>
    </row>
    <row r="66" spans="2:10" x14ac:dyDescent="0.25">
      <c r="B66" s="1118">
        <v>12665.5</v>
      </c>
      <c r="C66" s="1104">
        <v>3288</v>
      </c>
      <c r="D66" s="1119">
        <f t="shared" ref="D66:D129" si="9">ROUNDUP(B66,-3)</f>
        <v>13000</v>
      </c>
      <c r="E66" s="1147">
        <f t="shared" si="8"/>
        <v>15000</v>
      </c>
      <c r="F66" s="1119">
        <f t="shared" ref="F66:F129" si="10">E66-B66</f>
        <v>2334.5</v>
      </c>
      <c r="G66" s="1121">
        <f t="shared" ref="G66:G129" si="11">F66/B66</f>
        <v>0.18431960838498282</v>
      </c>
      <c r="J66" s="1122"/>
    </row>
    <row r="67" spans="2:10" x14ac:dyDescent="0.25">
      <c r="B67" s="1118">
        <v>12775</v>
      </c>
      <c r="C67" s="1104">
        <v>3150</v>
      </c>
      <c r="D67" s="1119">
        <f t="shared" si="9"/>
        <v>13000</v>
      </c>
      <c r="E67" s="1147">
        <f t="shared" si="8"/>
        <v>15000</v>
      </c>
      <c r="F67" s="1119">
        <f t="shared" si="10"/>
        <v>2225</v>
      </c>
      <c r="G67" s="1121">
        <f t="shared" si="11"/>
        <v>0.17416829745596868</v>
      </c>
      <c r="J67" s="1122"/>
    </row>
    <row r="68" spans="2:10" x14ac:dyDescent="0.25">
      <c r="B68" s="1118">
        <v>12775</v>
      </c>
      <c r="C68" s="1104">
        <v>3150</v>
      </c>
      <c r="D68" s="1119">
        <f t="shared" si="9"/>
        <v>13000</v>
      </c>
      <c r="E68" s="1147">
        <f t="shared" si="8"/>
        <v>15000</v>
      </c>
      <c r="F68" s="1119">
        <f t="shared" si="10"/>
        <v>2225</v>
      </c>
      <c r="G68" s="1121">
        <f t="shared" si="11"/>
        <v>0.17416829745596868</v>
      </c>
      <c r="J68" s="1122"/>
    </row>
    <row r="69" spans="2:10" x14ac:dyDescent="0.25">
      <c r="B69" s="1118">
        <v>12775</v>
      </c>
      <c r="C69" s="1104">
        <v>3150</v>
      </c>
      <c r="D69" s="1119">
        <f t="shared" si="9"/>
        <v>13000</v>
      </c>
      <c r="E69" s="1147">
        <f t="shared" si="8"/>
        <v>15000</v>
      </c>
      <c r="F69" s="1119">
        <f t="shared" si="10"/>
        <v>2225</v>
      </c>
      <c r="G69" s="1121">
        <f t="shared" si="11"/>
        <v>0.17416829745596868</v>
      </c>
      <c r="J69" s="1122"/>
    </row>
    <row r="70" spans="2:10" x14ac:dyDescent="0.25">
      <c r="B70" s="1118">
        <v>12775</v>
      </c>
      <c r="C70" s="1104">
        <v>3150</v>
      </c>
      <c r="D70" s="1119">
        <f t="shared" si="9"/>
        <v>13000</v>
      </c>
      <c r="E70" s="1147">
        <f t="shared" si="8"/>
        <v>15000</v>
      </c>
      <c r="F70" s="1119">
        <f t="shared" si="10"/>
        <v>2225</v>
      </c>
      <c r="G70" s="1121">
        <f t="shared" si="11"/>
        <v>0.17416829745596868</v>
      </c>
      <c r="J70" s="1122"/>
    </row>
    <row r="71" spans="2:10" x14ac:dyDescent="0.25">
      <c r="B71" s="1118">
        <v>12775</v>
      </c>
      <c r="C71" s="1104">
        <v>3150</v>
      </c>
      <c r="D71" s="1119">
        <f t="shared" si="9"/>
        <v>13000</v>
      </c>
      <c r="E71" s="1147">
        <f t="shared" si="8"/>
        <v>15000</v>
      </c>
      <c r="F71" s="1119">
        <f t="shared" si="10"/>
        <v>2225</v>
      </c>
      <c r="G71" s="1121">
        <f t="shared" si="11"/>
        <v>0.17416829745596868</v>
      </c>
      <c r="J71" s="1122"/>
    </row>
    <row r="72" spans="2:10" x14ac:dyDescent="0.25">
      <c r="B72" s="1118">
        <v>12775</v>
      </c>
      <c r="C72" s="1104">
        <v>3150</v>
      </c>
      <c r="D72" s="1119">
        <f t="shared" si="9"/>
        <v>13000</v>
      </c>
      <c r="E72" s="1147">
        <f t="shared" si="8"/>
        <v>15000</v>
      </c>
      <c r="F72" s="1119">
        <f t="shared" si="10"/>
        <v>2225</v>
      </c>
      <c r="G72" s="1121">
        <f t="shared" si="11"/>
        <v>0.17416829745596868</v>
      </c>
      <c r="J72" s="1122"/>
    </row>
    <row r="73" spans="2:10" x14ac:dyDescent="0.25">
      <c r="B73" s="1118">
        <v>12775</v>
      </c>
      <c r="C73" s="1104">
        <v>3288</v>
      </c>
      <c r="D73" s="1119">
        <f t="shared" si="9"/>
        <v>13000</v>
      </c>
      <c r="E73" s="1147">
        <f t="shared" si="8"/>
        <v>15000</v>
      </c>
      <c r="F73" s="1119">
        <f t="shared" si="10"/>
        <v>2225</v>
      </c>
      <c r="G73" s="1121">
        <f t="shared" si="11"/>
        <v>0.17416829745596868</v>
      </c>
      <c r="J73" s="1122"/>
    </row>
    <row r="74" spans="2:10" x14ac:dyDescent="0.25">
      <c r="B74" s="1118">
        <v>12775</v>
      </c>
      <c r="C74" s="1104">
        <v>3288</v>
      </c>
      <c r="D74" s="1119">
        <f t="shared" si="9"/>
        <v>13000</v>
      </c>
      <c r="E74" s="1147">
        <f t="shared" si="8"/>
        <v>15000</v>
      </c>
      <c r="F74" s="1119">
        <f t="shared" si="10"/>
        <v>2225</v>
      </c>
      <c r="G74" s="1121">
        <f t="shared" si="11"/>
        <v>0.17416829745596868</v>
      </c>
      <c r="J74" s="1122"/>
    </row>
    <row r="75" spans="2:10" x14ac:dyDescent="0.25">
      <c r="B75" s="1118">
        <v>12775</v>
      </c>
      <c r="C75" s="1104">
        <v>3288</v>
      </c>
      <c r="D75" s="1119">
        <f t="shared" si="9"/>
        <v>13000</v>
      </c>
      <c r="E75" s="1147">
        <f t="shared" si="8"/>
        <v>15000</v>
      </c>
      <c r="F75" s="1119">
        <f t="shared" si="10"/>
        <v>2225</v>
      </c>
      <c r="G75" s="1121">
        <f t="shared" si="11"/>
        <v>0.17416829745596868</v>
      </c>
      <c r="J75" s="1122"/>
    </row>
    <row r="76" spans="2:10" x14ac:dyDescent="0.25">
      <c r="B76" s="1118">
        <v>12775</v>
      </c>
      <c r="C76" s="1104">
        <v>3288</v>
      </c>
      <c r="D76" s="1119">
        <f t="shared" si="9"/>
        <v>13000</v>
      </c>
      <c r="E76" s="1147">
        <f t="shared" si="8"/>
        <v>15000</v>
      </c>
      <c r="F76" s="1119">
        <f t="shared" si="10"/>
        <v>2225</v>
      </c>
      <c r="G76" s="1121">
        <f t="shared" si="11"/>
        <v>0.17416829745596868</v>
      </c>
      <c r="J76" s="1122"/>
    </row>
    <row r="77" spans="2:10" x14ac:dyDescent="0.25">
      <c r="B77" s="1118">
        <v>12775</v>
      </c>
      <c r="C77" s="1104">
        <v>3288</v>
      </c>
      <c r="D77" s="1119">
        <f t="shared" si="9"/>
        <v>13000</v>
      </c>
      <c r="E77" s="1147">
        <f t="shared" si="8"/>
        <v>15000</v>
      </c>
      <c r="F77" s="1119">
        <f t="shared" si="10"/>
        <v>2225</v>
      </c>
      <c r="G77" s="1121">
        <f t="shared" si="11"/>
        <v>0.17416829745596868</v>
      </c>
      <c r="J77" s="1122"/>
    </row>
    <row r="78" spans="2:10" x14ac:dyDescent="0.25">
      <c r="B78" s="1118">
        <v>13200</v>
      </c>
      <c r="C78" s="1104">
        <v>3150</v>
      </c>
      <c r="D78" s="1119">
        <f t="shared" si="9"/>
        <v>14000</v>
      </c>
      <c r="E78" s="1147">
        <f t="shared" si="8"/>
        <v>15000</v>
      </c>
      <c r="F78" s="1119">
        <f t="shared" si="10"/>
        <v>1800</v>
      </c>
      <c r="G78" s="1121">
        <f t="shared" si="11"/>
        <v>0.13636363636363635</v>
      </c>
      <c r="J78" s="1122"/>
    </row>
    <row r="79" spans="2:10" x14ac:dyDescent="0.25">
      <c r="B79" s="1118">
        <v>13200</v>
      </c>
      <c r="C79" s="1104">
        <v>3150</v>
      </c>
      <c r="D79" s="1119">
        <f t="shared" si="9"/>
        <v>14000</v>
      </c>
      <c r="E79" s="1147">
        <f t="shared" si="8"/>
        <v>15000</v>
      </c>
      <c r="F79" s="1119">
        <f t="shared" si="10"/>
        <v>1800</v>
      </c>
      <c r="G79" s="1121">
        <f t="shared" si="11"/>
        <v>0.13636363636363635</v>
      </c>
      <c r="J79" s="1122"/>
    </row>
    <row r="80" spans="2:10" x14ac:dyDescent="0.25">
      <c r="B80" s="1118">
        <v>13340</v>
      </c>
      <c r="C80" s="1104">
        <v>3150</v>
      </c>
      <c r="D80" s="1119">
        <f t="shared" si="9"/>
        <v>14000</v>
      </c>
      <c r="E80" s="1147">
        <f t="shared" si="8"/>
        <v>15000</v>
      </c>
      <c r="F80" s="1119">
        <f t="shared" si="10"/>
        <v>1660</v>
      </c>
      <c r="G80" s="1121">
        <f t="shared" si="11"/>
        <v>0.12443778110944528</v>
      </c>
      <c r="J80" s="1122"/>
    </row>
    <row r="81" spans="2:10" x14ac:dyDescent="0.25">
      <c r="B81" s="1118">
        <v>13548.8</v>
      </c>
      <c r="C81" s="1104">
        <v>3150</v>
      </c>
      <c r="D81" s="1119">
        <f t="shared" si="9"/>
        <v>14000</v>
      </c>
      <c r="E81" s="1147">
        <f t="shared" si="8"/>
        <v>15000</v>
      </c>
      <c r="F81" s="1119">
        <f t="shared" si="10"/>
        <v>1451.2000000000007</v>
      </c>
      <c r="G81" s="1121">
        <f t="shared" si="11"/>
        <v>0.1071091166745395</v>
      </c>
      <c r="J81" s="1122"/>
    </row>
    <row r="82" spans="2:10" x14ac:dyDescent="0.25">
      <c r="B82" s="1118">
        <v>13755</v>
      </c>
      <c r="C82" s="1104">
        <v>3150</v>
      </c>
      <c r="D82" s="1119">
        <f t="shared" si="9"/>
        <v>14000</v>
      </c>
      <c r="E82" s="1147">
        <f t="shared" si="8"/>
        <v>15000</v>
      </c>
      <c r="F82" s="1119">
        <f t="shared" si="10"/>
        <v>1245</v>
      </c>
      <c r="G82" s="1121">
        <f t="shared" si="11"/>
        <v>9.0512540894220284E-2</v>
      </c>
      <c r="J82" s="1122"/>
    </row>
    <row r="83" spans="2:10" x14ac:dyDescent="0.25">
      <c r="B83" s="1118">
        <v>13755</v>
      </c>
      <c r="C83" s="1104">
        <v>3150</v>
      </c>
      <c r="D83" s="1119">
        <f t="shared" si="9"/>
        <v>14000</v>
      </c>
      <c r="E83" s="1147">
        <f t="shared" si="8"/>
        <v>15000</v>
      </c>
      <c r="F83" s="1119">
        <f t="shared" si="10"/>
        <v>1245</v>
      </c>
      <c r="G83" s="1121">
        <f t="shared" si="11"/>
        <v>9.0512540894220284E-2</v>
      </c>
      <c r="J83" s="1122"/>
    </row>
    <row r="84" spans="2:10" x14ac:dyDescent="0.25">
      <c r="B84" s="1118">
        <v>13755</v>
      </c>
      <c r="C84" s="1104">
        <v>3150</v>
      </c>
      <c r="D84" s="1119">
        <f t="shared" si="9"/>
        <v>14000</v>
      </c>
      <c r="E84" s="1147">
        <f t="shared" si="8"/>
        <v>15000</v>
      </c>
      <c r="F84" s="1119">
        <f t="shared" si="10"/>
        <v>1245</v>
      </c>
      <c r="G84" s="1121">
        <f t="shared" si="11"/>
        <v>9.0512540894220284E-2</v>
      </c>
      <c r="J84" s="1122"/>
    </row>
    <row r="85" spans="2:10" x14ac:dyDescent="0.25">
      <c r="B85" s="1118">
        <v>13755</v>
      </c>
      <c r="C85" s="1104">
        <v>3150</v>
      </c>
      <c r="D85" s="1119">
        <f t="shared" si="9"/>
        <v>14000</v>
      </c>
      <c r="E85" s="1147">
        <f t="shared" si="8"/>
        <v>15000</v>
      </c>
      <c r="F85" s="1119">
        <f t="shared" si="10"/>
        <v>1245</v>
      </c>
      <c r="G85" s="1121">
        <f t="shared" si="11"/>
        <v>9.0512540894220284E-2</v>
      </c>
      <c r="J85" s="1122"/>
    </row>
    <row r="86" spans="2:10" x14ac:dyDescent="0.25">
      <c r="B86" s="1118">
        <v>13755</v>
      </c>
      <c r="C86" s="1104">
        <v>3150</v>
      </c>
      <c r="D86" s="1119">
        <f t="shared" si="9"/>
        <v>14000</v>
      </c>
      <c r="E86" s="1147">
        <f t="shared" si="8"/>
        <v>15000</v>
      </c>
      <c r="F86" s="1119">
        <f t="shared" si="10"/>
        <v>1245</v>
      </c>
      <c r="G86" s="1121">
        <f t="shared" si="11"/>
        <v>9.0512540894220284E-2</v>
      </c>
      <c r="J86" s="1122"/>
    </row>
    <row r="87" spans="2:10" x14ac:dyDescent="0.25">
      <c r="B87" s="1118">
        <v>13755</v>
      </c>
      <c r="C87" s="1104">
        <v>3150</v>
      </c>
      <c r="D87" s="1119">
        <f t="shared" si="9"/>
        <v>14000</v>
      </c>
      <c r="E87" s="1147">
        <f t="shared" si="8"/>
        <v>15000</v>
      </c>
      <c r="F87" s="1119">
        <f t="shared" si="10"/>
        <v>1245</v>
      </c>
      <c r="G87" s="1121">
        <f t="shared" si="11"/>
        <v>9.0512540894220284E-2</v>
      </c>
      <c r="J87" s="1122"/>
    </row>
    <row r="88" spans="2:10" x14ac:dyDescent="0.25">
      <c r="B88" s="1118">
        <v>13755</v>
      </c>
      <c r="C88" s="1104">
        <v>3150</v>
      </c>
      <c r="D88" s="1119">
        <f t="shared" si="9"/>
        <v>14000</v>
      </c>
      <c r="E88" s="1147">
        <f t="shared" si="8"/>
        <v>15000</v>
      </c>
      <c r="F88" s="1119">
        <f t="shared" si="10"/>
        <v>1245</v>
      </c>
      <c r="G88" s="1121">
        <f t="shared" si="11"/>
        <v>9.0512540894220284E-2</v>
      </c>
      <c r="J88" s="1122"/>
    </row>
    <row r="89" spans="2:10" x14ac:dyDescent="0.25">
      <c r="B89" s="1118">
        <v>13755</v>
      </c>
      <c r="C89" s="1104">
        <v>3150</v>
      </c>
      <c r="D89" s="1119">
        <f t="shared" si="9"/>
        <v>14000</v>
      </c>
      <c r="E89" s="1147">
        <f t="shared" si="8"/>
        <v>15000</v>
      </c>
      <c r="F89" s="1119">
        <f t="shared" si="10"/>
        <v>1245</v>
      </c>
      <c r="G89" s="1121">
        <f t="shared" si="11"/>
        <v>9.0512540894220284E-2</v>
      </c>
      <c r="J89" s="1122"/>
    </row>
    <row r="90" spans="2:10" x14ac:dyDescent="0.25">
      <c r="B90" s="1118">
        <v>13755</v>
      </c>
      <c r="C90" s="1104">
        <v>3150</v>
      </c>
      <c r="D90" s="1119">
        <f t="shared" si="9"/>
        <v>14000</v>
      </c>
      <c r="E90" s="1147">
        <f t="shared" si="8"/>
        <v>15000</v>
      </c>
      <c r="F90" s="1119">
        <f t="shared" si="10"/>
        <v>1245</v>
      </c>
      <c r="G90" s="1121">
        <f t="shared" si="11"/>
        <v>9.0512540894220284E-2</v>
      </c>
      <c r="J90" s="1122"/>
    </row>
    <row r="91" spans="2:10" x14ac:dyDescent="0.25">
      <c r="B91" s="1118">
        <v>13755</v>
      </c>
      <c r="C91" s="1104">
        <v>3150</v>
      </c>
      <c r="D91" s="1119">
        <f t="shared" si="9"/>
        <v>14000</v>
      </c>
      <c r="E91" s="1147">
        <f t="shared" si="8"/>
        <v>15000</v>
      </c>
      <c r="F91" s="1119">
        <f t="shared" si="10"/>
        <v>1245</v>
      </c>
      <c r="G91" s="1121">
        <f t="shared" si="11"/>
        <v>9.0512540894220284E-2</v>
      </c>
      <c r="J91" s="1122"/>
    </row>
    <row r="92" spans="2:10" x14ac:dyDescent="0.25">
      <c r="B92" s="1118">
        <v>13755</v>
      </c>
      <c r="C92" s="1104">
        <v>3150</v>
      </c>
      <c r="D92" s="1119">
        <f t="shared" si="9"/>
        <v>14000</v>
      </c>
      <c r="E92" s="1147">
        <f t="shared" si="8"/>
        <v>15000</v>
      </c>
      <c r="F92" s="1119">
        <f t="shared" si="10"/>
        <v>1245</v>
      </c>
      <c r="G92" s="1121">
        <f t="shared" si="11"/>
        <v>9.0512540894220284E-2</v>
      </c>
      <c r="J92" s="1122"/>
    </row>
    <row r="93" spans="2:10" x14ac:dyDescent="0.25">
      <c r="B93" s="1118">
        <v>13755</v>
      </c>
      <c r="C93" s="1104">
        <v>3150</v>
      </c>
      <c r="D93" s="1119">
        <f t="shared" si="9"/>
        <v>14000</v>
      </c>
      <c r="E93" s="1147">
        <f t="shared" si="8"/>
        <v>15000</v>
      </c>
      <c r="F93" s="1119">
        <f t="shared" si="10"/>
        <v>1245</v>
      </c>
      <c r="G93" s="1121">
        <f t="shared" si="11"/>
        <v>9.0512540894220284E-2</v>
      </c>
      <c r="J93" s="1122"/>
    </row>
    <row r="94" spans="2:10" x14ac:dyDescent="0.25">
      <c r="B94" s="1118">
        <v>13767.8</v>
      </c>
      <c r="C94" s="1104">
        <v>3150</v>
      </c>
      <c r="D94" s="1119">
        <f t="shared" si="9"/>
        <v>14000</v>
      </c>
      <c r="E94" s="1147">
        <f t="shared" si="8"/>
        <v>15000</v>
      </c>
      <c r="F94" s="1119">
        <f t="shared" si="10"/>
        <v>1232.2000000000007</v>
      </c>
      <c r="G94" s="1121">
        <f t="shared" si="11"/>
        <v>8.9498685338253087E-2</v>
      </c>
      <c r="J94" s="1122"/>
    </row>
    <row r="95" spans="2:10" x14ac:dyDescent="0.25">
      <c r="B95" s="1118">
        <v>13870</v>
      </c>
      <c r="C95" s="1104">
        <v>3150</v>
      </c>
      <c r="D95" s="1119">
        <f t="shared" si="9"/>
        <v>14000</v>
      </c>
      <c r="E95" s="1147">
        <f t="shared" si="8"/>
        <v>15000</v>
      </c>
      <c r="F95" s="1119">
        <f t="shared" si="10"/>
        <v>1130</v>
      </c>
      <c r="G95" s="1121">
        <f t="shared" si="11"/>
        <v>8.1470800288392209E-2</v>
      </c>
      <c r="J95" s="1122"/>
    </row>
    <row r="96" spans="2:10" x14ac:dyDescent="0.25">
      <c r="B96" s="1118">
        <v>13870</v>
      </c>
      <c r="C96" s="1104">
        <v>3150</v>
      </c>
      <c r="D96" s="1119">
        <f t="shared" si="9"/>
        <v>14000</v>
      </c>
      <c r="E96" s="1147">
        <f t="shared" si="8"/>
        <v>15000</v>
      </c>
      <c r="F96" s="1119">
        <f t="shared" si="10"/>
        <v>1130</v>
      </c>
      <c r="G96" s="1121">
        <f t="shared" si="11"/>
        <v>8.1470800288392209E-2</v>
      </c>
      <c r="J96" s="1122"/>
    </row>
    <row r="97" spans="2:10" x14ac:dyDescent="0.25">
      <c r="B97" s="1118">
        <v>14035</v>
      </c>
      <c r="C97" s="1104">
        <v>3150</v>
      </c>
      <c r="D97" s="1119">
        <f t="shared" si="9"/>
        <v>15000</v>
      </c>
      <c r="E97" s="1147">
        <f t="shared" si="8"/>
        <v>15000</v>
      </c>
      <c r="F97" s="1119">
        <f t="shared" si="10"/>
        <v>965</v>
      </c>
      <c r="G97" s="1121">
        <f t="shared" si="11"/>
        <v>6.8756679729248302E-2</v>
      </c>
      <c r="J97" s="1122"/>
    </row>
    <row r="98" spans="2:10" x14ac:dyDescent="0.25">
      <c r="B98" s="1118">
        <v>14035</v>
      </c>
      <c r="C98" s="1104">
        <v>3150</v>
      </c>
      <c r="D98" s="1119">
        <f t="shared" si="9"/>
        <v>15000</v>
      </c>
      <c r="E98" s="1147">
        <f t="shared" si="8"/>
        <v>15000</v>
      </c>
      <c r="F98" s="1119">
        <f t="shared" si="10"/>
        <v>965</v>
      </c>
      <c r="G98" s="1121">
        <f t="shared" si="11"/>
        <v>6.8756679729248302E-2</v>
      </c>
      <c r="J98" s="1122"/>
    </row>
    <row r="99" spans="2:10" x14ac:dyDescent="0.25">
      <c r="B99" s="1118">
        <v>14035</v>
      </c>
      <c r="C99" s="1104">
        <v>3150</v>
      </c>
      <c r="D99" s="1119">
        <f t="shared" si="9"/>
        <v>15000</v>
      </c>
      <c r="E99" s="1147">
        <f t="shared" si="8"/>
        <v>15000</v>
      </c>
      <c r="F99" s="1119">
        <f t="shared" si="10"/>
        <v>965</v>
      </c>
      <c r="G99" s="1121">
        <f t="shared" si="11"/>
        <v>6.8756679729248302E-2</v>
      </c>
      <c r="J99" s="1122"/>
    </row>
    <row r="100" spans="2:10" x14ac:dyDescent="0.25">
      <c r="B100" s="1118">
        <v>14035</v>
      </c>
      <c r="C100" s="1104">
        <v>3150</v>
      </c>
      <c r="D100" s="1119">
        <f t="shared" si="9"/>
        <v>15000</v>
      </c>
      <c r="E100" s="1147">
        <f t="shared" si="8"/>
        <v>15000</v>
      </c>
      <c r="F100" s="1119">
        <f t="shared" si="10"/>
        <v>965</v>
      </c>
      <c r="G100" s="1121">
        <f t="shared" si="11"/>
        <v>6.8756679729248302E-2</v>
      </c>
      <c r="J100" s="1122"/>
    </row>
    <row r="101" spans="2:10" x14ac:dyDescent="0.25">
      <c r="B101" s="1118">
        <v>14035</v>
      </c>
      <c r="C101" s="1104">
        <v>3150</v>
      </c>
      <c r="D101" s="1119">
        <f t="shared" si="9"/>
        <v>15000</v>
      </c>
      <c r="E101" s="1147">
        <f t="shared" si="8"/>
        <v>15000</v>
      </c>
      <c r="F101" s="1119">
        <f t="shared" si="10"/>
        <v>965</v>
      </c>
      <c r="G101" s="1121">
        <f t="shared" si="11"/>
        <v>6.8756679729248302E-2</v>
      </c>
      <c r="J101" s="1122"/>
    </row>
    <row r="102" spans="2:10" x14ac:dyDescent="0.25">
      <c r="B102" s="1118">
        <v>14035</v>
      </c>
      <c r="C102" s="1104">
        <v>3150</v>
      </c>
      <c r="D102" s="1119">
        <f t="shared" si="9"/>
        <v>15000</v>
      </c>
      <c r="E102" s="1147">
        <f t="shared" si="8"/>
        <v>15000</v>
      </c>
      <c r="F102" s="1119">
        <f t="shared" si="10"/>
        <v>965</v>
      </c>
      <c r="G102" s="1121">
        <f t="shared" si="11"/>
        <v>6.8756679729248302E-2</v>
      </c>
      <c r="J102" s="1122"/>
    </row>
    <row r="103" spans="2:10" x14ac:dyDescent="0.25">
      <c r="B103" s="1118">
        <v>14035</v>
      </c>
      <c r="C103" s="1104">
        <v>3150</v>
      </c>
      <c r="D103" s="1119">
        <f t="shared" si="9"/>
        <v>15000</v>
      </c>
      <c r="E103" s="1147">
        <f t="shared" si="8"/>
        <v>15000</v>
      </c>
      <c r="F103" s="1119">
        <f t="shared" si="10"/>
        <v>965</v>
      </c>
      <c r="G103" s="1121">
        <f t="shared" si="11"/>
        <v>6.8756679729248302E-2</v>
      </c>
      <c r="J103" s="1122"/>
    </row>
    <row r="104" spans="2:10" x14ac:dyDescent="0.25">
      <c r="B104" s="1118">
        <v>14035</v>
      </c>
      <c r="C104" s="1104">
        <v>3150</v>
      </c>
      <c r="D104" s="1119">
        <f t="shared" si="9"/>
        <v>15000</v>
      </c>
      <c r="E104" s="1147">
        <f t="shared" si="8"/>
        <v>15000</v>
      </c>
      <c r="F104" s="1119">
        <f t="shared" si="10"/>
        <v>965</v>
      </c>
      <c r="G104" s="1121">
        <f t="shared" si="11"/>
        <v>6.8756679729248302E-2</v>
      </c>
      <c r="J104" s="1122"/>
    </row>
    <row r="105" spans="2:10" x14ac:dyDescent="0.25">
      <c r="B105" s="1118">
        <v>14035</v>
      </c>
      <c r="C105" s="1104">
        <v>3150</v>
      </c>
      <c r="D105" s="1119">
        <f t="shared" si="9"/>
        <v>15000</v>
      </c>
      <c r="E105" s="1147">
        <f t="shared" si="8"/>
        <v>15000</v>
      </c>
      <c r="F105" s="1119">
        <f t="shared" si="10"/>
        <v>965</v>
      </c>
      <c r="G105" s="1121">
        <f t="shared" si="11"/>
        <v>6.8756679729248302E-2</v>
      </c>
      <c r="J105" s="1122"/>
    </row>
    <row r="106" spans="2:10" x14ac:dyDescent="0.25">
      <c r="B106" s="1118">
        <v>14035</v>
      </c>
      <c r="C106" s="1104">
        <v>3150</v>
      </c>
      <c r="D106" s="1119">
        <f t="shared" si="9"/>
        <v>15000</v>
      </c>
      <c r="E106" s="1147">
        <f t="shared" si="8"/>
        <v>15000</v>
      </c>
      <c r="F106" s="1119">
        <f t="shared" si="10"/>
        <v>965</v>
      </c>
      <c r="G106" s="1121">
        <f t="shared" si="11"/>
        <v>6.8756679729248302E-2</v>
      </c>
      <c r="J106" s="1122"/>
    </row>
    <row r="107" spans="2:10" x14ac:dyDescent="0.25">
      <c r="B107" s="1118">
        <v>14035</v>
      </c>
      <c r="C107" s="1104">
        <v>3150</v>
      </c>
      <c r="D107" s="1119">
        <f t="shared" si="9"/>
        <v>15000</v>
      </c>
      <c r="E107" s="1147">
        <f t="shared" si="8"/>
        <v>15000</v>
      </c>
      <c r="F107" s="1119">
        <f t="shared" si="10"/>
        <v>965</v>
      </c>
      <c r="G107" s="1121">
        <f t="shared" si="11"/>
        <v>6.8756679729248302E-2</v>
      </c>
      <c r="J107" s="1122"/>
    </row>
    <row r="108" spans="2:10" x14ac:dyDescent="0.25">
      <c r="B108" s="1118">
        <v>14035</v>
      </c>
      <c r="C108" s="1104">
        <v>3150</v>
      </c>
      <c r="D108" s="1119">
        <f t="shared" si="9"/>
        <v>15000</v>
      </c>
      <c r="E108" s="1147">
        <f t="shared" si="8"/>
        <v>15000</v>
      </c>
      <c r="F108" s="1119">
        <f t="shared" si="10"/>
        <v>965</v>
      </c>
      <c r="G108" s="1121">
        <f t="shared" si="11"/>
        <v>6.8756679729248302E-2</v>
      </c>
      <c r="J108" s="1122"/>
    </row>
    <row r="109" spans="2:10" x14ac:dyDescent="0.25">
      <c r="B109" s="1118">
        <v>14035</v>
      </c>
      <c r="C109" s="1104">
        <v>3150</v>
      </c>
      <c r="D109" s="1119">
        <f t="shared" si="9"/>
        <v>15000</v>
      </c>
      <c r="E109" s="1147">
        <f t="shared" si="8"/>
        <v>15000</v>
      </c>
      <c r="F109" s="1119">
        <f t="shared" si="10"/>
        <v>965</v>
      </c>
      <c r="G109" s="1121">
        <f t="shared" si="11"/>
        <v>6.8756679729248302E-2</v>
      </c>
      <c r="J109" s="1122"/>
    </row>
    <row r="110" spans="2:10" x14ac:dyDescent="0.25">
      <c r="B110" s="1118">
        <v>14235</v>
      </c>
      <c r="C110" s="1104">
        <v>3150</v>
      </c>
      <c r="D110" s="1119">
        <f t="shared" si="9"/>
        <v>15000</v>
      </c>
      <c r="E110" s="1147">
        <f t="shared" si="8"/>
        <v>15000</v>
      </c>
      <c r="F110" s="1119">
        <f t="shared" si="10"/>
        <v>765</v>
      </c>
      <c r="G110" s="1121">
        <f t="shared" si="11"/>
        <v>5.3740779768177031E-2</v>
      </c>
      <c r="J110" s="1122"/>
    </row>
    <row r="111" spans="2:10" x14ac:dyDescent="0.25">
      <c r="B111" s="1118">
        <v>14400</v>
      </c>
      <c r="C111" s="1104">
        <v>3150</v>
      </c>
      <c r="D111" s="1119">
        <f t="shared" si="9"/>
        <v>15000</v>
      </c>
      <c r="E111" s="1147">
        <f t="shared" si="8"/>
        <v>15000</v>
      </c>
      <c r="F111" s="1119">
        <f t="shared" si="10"/>
        <v>600</v>
      </c>
      <c r="G111" s="1121">
        <f t="shared" si="11"/>
        <v>4.1666666666666664E-2</v>
      </c>
      <c r="J111" s="1122"/>
    </row>
    <row r="112" spans="2:10" x14ac:dyDescent="0.25">
      <c r="B112" s="1118">
        <v>14400</v>
      </c>
      <c r="C112" s="1104">
        <v>3150</v>
      </c>
      <c r="D112" s="1119">
        <f t="shared" si="9"/>
        <v>15000</v>
      </c>
      <c r="E112" s="1147">
        <f t="shared" si="8"/>
        <v>15000</v>
      </c>
      <c r="F112" s="1119">
        <f t="shared" si="10"/>
        <v>600</v>
      </c>
      <c r="G112" s="1121">
        <f t="shared" si="11"/>
        <v>4.1666666666666664E-2</v>
      </c>
      <c r="J112" s="1122"/>
    </row>
    <row r="113" spans="2:10" x14ac:dyDescent="0.25">
      <c r="B113" s="1118">
        <v>14400</v>
      </c>
      <c r="C113" s="1104">
        <v>3150</v>
      </c>
      <c r="D113" s="1119">
        <f t="shared" si="9"/>
        <v>15000</v>
      </c>
      <c r="E113" s="1147">
        <f t="shared" si="8"/>
        <v>15000</v>
      </c>
      <c r="F113" s="1119">
        <f t="shared" si="10"/>
        <v>600</v>
      </c>
      <c r="G113" s="1121">
        <f t="shared" si="11"/>
        <v>4.1666666666666664E-2</v>
      </c>
      <c r="J113" s="1122"/>
    </row>
    <row r="114" spans="2:10" x14ac:dyDescent="0.25">
      <c r="B114" s="1118">
        <v>14400</v>
      </c>
      <c r="C114" s="1104">
        <v>3150</v>
      </c>
      <c r="D114" s="1119">
        <f t="shared" si="9"/>
        <v>15000</v>
      </c>
      <c r="E114" s="1147">
        <f t="shared" si="8"/>
        <v>15000</v>
      </c>
      <c r="F114" s="1119">
        <f t="shared" si="10"/>
        <v>600</v>
      </c>
      <c r="G114" s="1121">
        <f t="shared" si="11"/>
        <v>4.1666666666666664E-2</v>
      </c>
      <c r="J114" s="1122"/>
    </row>
    <row r="115" spans="2:10" x14ac:dyDescent="0.25">
      <c r="B115" s="1118">
        <v>14400</v>
      </c>
      <c r="C115" s="1104">
        <v>3150</v>
      </c>
      <c r="D115" s="1119">
        <f t="shared" si="9"/>
        <v>15000</v>
      </c>
      <c r="E115" s="1147">
        <f t="shared" si="8"/>
        <v>15000</v>
      </c>
      <c r="F115" s="1119">
        <f t="shared" si="10"/>
        <v>600</v>
      </c>
      <c r="G115" s="1121">
        <f t="shared" si="11"/>
        <v>4.1666666666666664E-2</v>
      </c>
      <c r="J115" s="1122"/>
    </row>
    <row r="116" spans="2:10" x14ac:dyDescent="0.25">
      <c r="B116" s="1118">
        <v>14400</v>
      </c>
      <c r="C116" s="1104">
        <v>3150</v>
      </c>
      <c r="D116" s="1119">
        <f t="shared" si="9"/>
        <v>15000</v>
      </c>
      <c r="E116" s="1147">
        <f t="shared" si="8"/>
        <v>15000</v>
      </c>
      <c r="F116" s="1119">
        <f t="shared" si="10"/>
        <v>600</v>
      </c>
      <c r="G116" s="1121">
        <f t="shared" si="11"/>
        <v>4.1666666666666664E-2</v>
      </c>
      <c r="J116" s="1122"/>
    </row>
    <row r="117" spans="2:10" x14ac:dyDescent="0.25">
      <c r="B117" s="1118">
        <v>14400</v>
      </c>
      <c r="C117" s="1104">
        <v>3150</v>
      </c>
      <c r="D117" s="1119">
        <f t="shared" si="9"/>
        <v>15000</v>
      </c>
      <c r="E117" s="1147">
        <f t="shared" si="8"/>
        <v>15000</v>
      </c>
      <c r="F117" s="1119">
        <f t="shared" si="10"/>
        <v>600</v>
      </c>
      <c r="G117" s="1121">
        <f t="shared" si="11"/>
        <v>4.1666666666666664E-2</v>
      </c>
      <c r="J117" s="1122"/>
    </row>
    <row r="118" spans="2:10" x14ac:dyDescent="0.25">
      <c r="B118" s="1118">
        <v>14400</v>
      </c>
      <c r="C118" s="1104">
        <v>3150</v>
      </c>
      <c r="D118" s="1119">
        <f t="shared" si="9"/>
        <v>15000</v>
      </c>
      <c r="E118" s="1147">
        <f t="shared" si="8"/>
        <v>15000</v>
      </c>
      <c r="F118" s="1119">
        <f t="shared" si="10"/>
        <v>600</v>
      </c>
      <c r="G118" s="1121">
        <f t="shared" si="11"/>
        <v>4.1666666666666664E-2</v>
      </c>
      <c r="J118" s="1122"/>
    </row>
    <row r="119" spans="2:10" x14ac:dyDescent="0.25">
      <c r="B119" s="1118">
        <v>14400</v>
      </c>
      <c r="C119" s="1104">
        <v>3150</v>
      </c>
      <c r="D119" s="1119">
        <f t="shared" si="9"/>
        <v>15000</v>
      </c>
      <c r="E119" s="1147">
        <f t="shared" si="8"/>
        <v>15000</v>
      </c>
      <c r="F119" s="1119">
        <f t="shared" si="10"/>
        <v>600</v>
      </c>
      <c r="G119" s="1121">
        <f t="shared" si="11"/>
        <v>4.1666666666666664E-2</v>
      </c>
      <c r="J119" s="1122"/>
    </row>
    <row r="120" spans="2:10" x14ac:dyDescent="0.25">
      <c r="B120" s="1118">
        <v>14417.5</v>
      </c>
      <c r="C120" s="1104">
        <v>3150</v>
      </c>
      <c r="D120" s="1119">
        <f t="shared" si="9"/>
        <v>15000</v>
      </c>
      <c r="E120" s="1147">
        <f t="shared" si="8"/>
        <v>15000</v>
      </c>
      <c r="F120" s="1119">
        <f t="shared" si="10"/>
        <v>582.5</v>
      </c>
      <c r="G120" s="1121">
        <f t="shared" si="11"/>
        <v>4.0402288885035546E-2</v>
      </c>
      <c r="J120" s="1122"/>
    </row>
    <row r="121" spans="2:10" x14ac:dyDescent="0.25">
      <c r="B121" s="1118">
        <v>14417.5</v>
      </c>
      <c r="C121" s="1104">
        <v>3288</v>
      </c>
      <c r="D121" s="1119">
        <f t="shared" si="9"/>
        <v>15000</v>
      </c>
      <c r="E121" s="1147">
        <f t="shared" si="8"/>
        <v>15000</v>
      </c>
      <c r="F121" s="1119">
        <f t="shared" si="10"/>
        <v>582.5</v>
      </c>
      <c r="G121" s="1121">
        <f t="shared" si="11"/>
        <v>4.0402288885035546E-2</v>
      </c>
      <c r="J121" s="1122"/>
    </row>
    <row r="122" spans="2:10" x14ac:dyDescent="0.25">
      <c r="B122" s="1118">
        <v>14535</v>
      </c>
      <c r="C122" s="1104">
        <v>3150</v>
      </c>
      <c r="D122" s="1119">
        <f t="shared" si="9"/>
        <v>15000</v>
      </c>
      <c r="E122" s="1147">
        <f t="shared" si="8"/>
        <v>15000</v>
      </c>
      <c r="F122" s="1119">
        <f t="shared" si="10"/>
        <v>465</v>
      </c>
      <c r="G122" s="1121">
        <f t="shared" si="11"/>
        <v>3.1991744066047469E-2</v>
      </c>
      <c r="J122" s="1122"/>
    </row>
    <row r="123" spans="2:10" x14ac:dyDescent="0.25">
      <c r="B123" s="1118">
        <v>14600</v>
      </c>
      <c r="C123" s="1104">
        <v>3150</v>
      </c>
      <c r="D123" s="1119">
        <f t="shared" si="9"/>
        <v>15000</v>
      </c>
      <c r="E123" s="1147">
        <f t="shared" si="8"/>
        <v>15000</v>
      </c>
      <c r="F123" s="1119">
        <f t="shared" si="10"/>
        <v>400</v>
      </c>
      <c r="G123" s="1121">
        <f t="shared" si="11"/>
        <v>2.7397260273972601E-2</v>
      </c>
      <c r="J123" s="1122"/>
    </row>
    <row r="124" spans="2:10" x14ac:dyDescent="0.25">
      <c r="B124" s="1118">
        <v>14600</v>
      </c>
      <c r="C124" s="1104">
        <v>3150</v>
      </c>
      <c r="D124" s="1119">
        <f t="shared" si="9"/>
        <v>15000</v>
      </c>
      <c r="E124" s="1147">
        <f t="shared" si="8"/>
        <v>15000</v>
      </c>
      <c r="F124" s="1119">
        <f t="shared" si="10"/>
        <v>400</v>
      </c>
      <c r="G124" s="1121">
        <f t="shared" si="11"/>
        <v>2.7397260273972601E-2</v>
      </c>
      <c r="J124" s="1122"/>
    </row>
    <row r="125" spans="2:10" x14ac:dyDescent="0.25">
      <c r="B125" s="1118">
        <v>14600</v>
      </c>
      <c r="C125" s="1104">
        <v>3150</v>
      </c>
      <c r="D125" s="1119">
        <f t="shared" si="9"/>
        <v>15000</v>
      </c>
      <c r="E125" s="1147">
        <f t="shared" si="8"/>
        <v>15000</v>
      </c>
      <c r="F125" s="1119">
        <f t="shared" si="10"/>
        <v>400</v>
      </c>
      <c r="G125" s="1121">
        <f t="shared" si="11"/>
        <v>2.7397260273972601E-2</v>
      </c>
      <c r="J125" s="1122"/>
    </row>
    <row r="126" spans="2:10" x14ac:dyDescent="0.25">
      <c r="B126" s="1118">
        <v>14600</v>
      </c>
      <c r="C126" s="1104">
        <v>3150</v>
      </c>
      <c r="D126" s="1119">
        <f t="shared" si="9"/>
        <v>15000</v>
      </c>
      <c r="E126" s="1147">
        <f t="shared" si="8"/>
        <v>15000</v>
      </c>
      <c r="F126" s="1119">
        <f t="shared" si="10"/>
        <v>400</v>
      </c>
      <c r="G126" s="1121">
        <f t="shared" si="11"/>
        <v>2.7397260273972601E-2</v>
      </c>
      <c r="J126" s="1122"/>
    </row>
    <row r="127" spans="2:10" x14ac:dyDescent="0.25">
      <c r="B127" s="1118">
        <v>14600</v>
      </c>
      <c r="C127" s="1104">
        <v>3150</v>
      </c>
      <c r="D127" s="1119">
        <f t="shared" si="9"/>
        <v>15000</v>
      </c>
      <c r="E127" s="1147">
        <f t="shared" si="8"/>
        <v>15000</v>
      </c>
      <c r="F127" s="1119">
        <f t="shared" si="10"/>
        <v>400</v>
      </c>
      <c r="G127" s="1121">
        <f t="shared" si="11"/>
        <v>2.7397260273972601E-2</v>
      </c>
      <c r="J127" s="1122"/>
    </row>
    <row r="128" spans="2:10" x14ac:dyDescent="0.25">
      <c r="B128" s="1118">
        <v>14600</v>
      </c>
      <c r="C128" s="1104">
        <v>3150</v>
      </c>
      <c r="D128" s="1119">
        <f t="shared" si="9"/>
        <v>15000</v>
      </c>
      <c r="E128" s="1147">
        <f t="shared" si="8"/>
        <v>15000</v>
      </c>
      <c r="F128" s="1119">
        <f t="shared" si="10"/>
        <v>400</v>
      </c>
      <c r="G128" s="1121">
        <f t="shared" si="11"/>
        <v>2.7397260273972601E-2</v>
      </c>
      <c r="J128" s="1122"/>
    </row>
    <row r="129" spans="2:10" x14ac:dyDescent="0.25">
      <c r="B129" s="1118">
        <v>14600</v>
      </c>
      <c r="C129" s="1104">
        <v>3150</v>
      </c>
      <c r="D129" s="1119">
        <f t="shared" si="9"/>
        <v>15000</v>
      </c>
      <c r="E129" s="1147">
        <f t="shared" ref="E129:E139" si="12">IF(B129&lt;15000,15000,15000)</f>
        <v>15000</v>
      </c>
      <c r="F129" s="1119">
        <f t="shared" si="10"/>
        <v>400</v>
      </c>
      <c r="G129" s="1121">
        <f t="shared" si="11"/>
        <v>2.7397260273972601E-2</v>
      </c>
      <c r="J129" s="1122"/>
    </row>
    <row r="130" spans="2:10" x14ac:dyDescent="0.25">
      <c r="B130" s="1118">
        <v>14600</v>
      </c>
      <c r="C130" s="1104">
        <v>3150</v>
      </c>
      <c r="D130" s="1119">
        <f t="shared" ref="D130:D193" si="13">ROUNDUP(B130,-3)</f>
        <v>15000</v>
      </c>
      <c r="E130" s="1147">
        <f t="shared" si="12"/>
        <v>15000</v>
      </c>
      <c r="F130" s="1119">
        <f t="shared" ref="F130:F193" si="14">E130-B130</f>
        <v>400</v>
      </c>
      <c r="G130" s="1121">
        <f t="shared" ref="G130:G193" si="15">F130/B130</f>
        <v>2.7397260273972601E-2</v>
      </c>
      <c r="J130" s="1122"/>
    </row>
    <row r="131" spans="2:10" x14ac:dyDescent="0.25">
      <c r="B131" s="1118">
        <v>14600</v>
      </c>
      <c r="C131" s="1104">
        <v>3150</v>
      </c>
      <c r="D131" s="1119">
        <f t="shared" si="13"/>
        <v>15000</v>
      </c>
      <c r="E131" s="1147">
        <f t="shared" si="12"/>
        <v>15000</v>
      </c>
      <c r="F131" s="1119">
        <f t="shared" si="14"/>
        <v>400</v>
      </c>
      <c r="G131" s="1121">
        <f t="shared" si="15"/>
        <v>2.7397260273972601E-2</v>
      </c>
      <c r="J131" s="1122"/>
    </row>
    <row r="132" spans="2:10" x14ac:dyDescent="0.25">
      <c r="B132" s="1118">
        <v>14600</v>
      </c>
      <c r="C132" s="1104">
        <v>3150</v>
      </c>
      <c r="D132" s="1119">
        <f t="shared" si="13"/>
        <v>15000</v>
      </c>
      <c r="E132" s="1147">
        <f t="shared" si="12"/>
        <v>15000</v>
      </c>
      <c r="F132" s="1119">
        <f t="shared" si="14"/>
        <v>400</v>
      </c>
      <c r="G132" s="1121">
        <f t="shared" si="15"/>
        <v>2.7397260273972601E-2</v>
      </c>
      <c r="J132" s="1122"/>
    </row>
    <row r="133" spans="2:10" x14ac:dyDescent="0.25">
      <c r="B133" s="1118">
        <v>14600</v>
      </c>
      <c r="C133" s="1104">
        <v>3288</v>
      </c>
      <c r="D133" s="1119">
        <f t="shared" si="13"/>
        <v>15000</v>
      </c>
      <c r="E133" s="1147">
        <f t="shared" si="12"/>
        <v>15000</v>
      </c>
      <c r="F133" s="1119">
        <f t="shared" si="14"/>
        <v>400</v>
      </c>
      <c r="G133" s="1121">
        <f t="shared" si="15"/>
        <v>2.7397260273972601E-2</v>
      </c>
      <c r="J133" s="1122"/>
    </row>
    <row r="134" spans="2:10" x14ac:dyDescent="0.25">
      <c r="B134" s="1118">
        <v>14600</v>
      </c>
      <c r="C134" s="1104">
        <v>3288</v>
      </c>
      <c r="D134" s="1119">
        <f t="shared" si="13"/>
        <v>15000</v>
      </c>
      <c r="E134" s="1147">
        <f t="shared" si="12"/>
        <v>15000</v>
      </c>
      <c r="F134" s="1119">
        <f t="shared" si="14"/>
        <v>400</v>
      </c>
      <c r="G134" s="1121">
        <f t="shared" si="15"/>
        <v>2.7397260273972601E-2</v>
      </c>
      <c r="J134" s="1122"/>
    </row>
    <row r="135" spans="2:10" x14ac:dyDescent="0.25">
      <c r="B135" s="1118">
        <v>14600</v>
      </c>
      <c r="C135" s="1104">
        <v>3288</v>
      </c>
      <c r="D135" s="1119">
        <f t="shared" si="13"/>
        <v>15000</v>
      </c>
      <c r="E135" s="1147">
        <f t="shared" si="12"/>
        <v>15000</v>
      </c>
      <c r="F135" s="1119">
        <f t="shared" si="14"/>
        <v>400</v>
      </c>
      <c r="G135" s="1121">
        <f t="shared" si="15"/>
        <v>2.7397260273972601E-2</v>
      </c>
      <c r="J135" s="1122"/>
    </row>
    <row r="136" spans="2:10" x14ac:dyDescent="0.25">
      <c r="B136" s="1118">
        <v>14600</v>
      </c>
      <c r="C136" s="1104">
        <v>3288</v>
      </c>
      <c r="D136" s="1119">
        <f t="shared" si="13"/>
        <v>15000</v>
      </c>
      <c r="E136" s="1147">
        <f t="shared" si="12"/>
        <v>15000</v>
      </c>
      <c r="F136" s="1119">
        <f t="shared" si="14"/>
        <v>400</v>
      </c>
      <c r="G136" s="1121">
        <f t="shared" si="15"/>
        <v>2.7397260273972601E-2</v>
      </c>
      <c r="J136" s="1122"/>
    </row>
    <row r="137" spans="2:10" x14ac:dyDescent="0.25">
      <c r="B137" s="1118">
        <v>14870.1</v>
      </c>
      <c r="C137" s="1104">
        <v>3150</v>
      </c>
      <c r="D137" s="1119">
        <f t="shared" si="13"/>
        <v>15000</v>
      </c>
      <c r="E137" s="1147">
        <f t="shared" si="12"/>
        <v>15000</v>
      </c>
      <c r="F137" s="1119">
        <f t="shared" si="14"/>
        <v>129.89999999999964</v>
      </c>
      <c r="G137" s="1121">
        <f t="shared" si="15"/>
        <v>8.7356507353682639E-3</v>
      </c>
      <c r="J137" s="1122"/>
    </row>
    <row r="138" spans="2:10" x14ac:dyDescent="0.25">
      <c r="B138" s="1118">
        <v>14965</v>
      </c>
      <c r="C138" s="1104">
        <v>3150</v>
      </c>
      <c r="D138" s="1119">
        <f t="shared" si="13"/>
        <v>15000</v>
      </c>
      <c r="E138" s="1147">
        <f t="shared" si="12"/>
        <v>15000</v>
      </c>
      <c r="F138" s="1119">
        <f t="shared" si="14"/>
        <v>35</v>
      </c>
      <c r="G138" s="1121">
        <f t="shared" si="15"/>
        <v>2.3387905111927833E-3</v>
      </c>
      <c r="J138" s="1122"/>
    </row>
    <row r="139" spans="2:10" x14ac:dyDescent="0.25">
      <c r="B139" s="1118">
        <v>14965</v>
      </c>
      <c r="C139" s="1104">
        <v>3288</v>
      </c>
      <c r="D139" s="1119">
        <f t="shared" si="13"/>
        <v>15000</v>
      </c>
      <c r="E139" s="1147">
        <f t="shared" si="12"/>
        <v>15000</v>
      </c>
      <c r="F139" s="1119">
        <f t="shared" si="14"/>
        <v>35</v>
      </c>
      <c r="G139" s="1121">
        <f t="shared" si="15"/>
        <v>2.3387905111927833E-3</v>
      </c>
      <c r="J139" s="1122"/>
    </row>
    <row r="140" spans="2:10" x14ac:dyDescent="0.25">
      <c r="B140" s="1118">
        <v>15001.5</v>
      </c>
      <c r="C140" s="1104">
        <v>3150</v>
      </c>
      <c r="D140" s="1119">
        <f t="shared" si="13"/>
        <v>16000</v>
      </c>
      <c r="E140" s="1148">
        <f t="shared" ref="E140:E180" si="16">IF(B140&lt;=17500,17500)</f>
        <v>17500</v>
      </c>
      <c r="F140" s="1119">
        <f t="shared" si="14"/>
        <v>2498.5</v>
      </c>
      <c r="G140" s="1121">
        <f t="shared" si="15"/>
        <v>0.16655001166550013</v>
      </c>
      <c r="H140" s="1141">
        <v>41</v>
      </c>
      <c r="J140" s="1142">
        <f>AVERAGE(B140:B180)</f>
        <v>16268.11951219512</v>
      </c>
    </row>
    <row r="141" spans="2:10" x14ac:dyDescent="0.25">
      <c r="B141" s="1118">
        <v>15001.5</v>
      </c>
      <c r="C141" s="1104">
        <v>3150</v>
      </c>
      <c r="D141" s="1119">
        <f t="shared" si="13"/>
        <v>16000</v>
      </c>
      <c r="E141" s="1148">
        <f t="shared" si="16"/>
        <v>17500</v>
      </c>
      <c r="F141" s="1119">
        <f t="shared" si="14"/>
        <v>2498.5</v>
      </c>
      <c r="G141" s="1121">
        <f t="shared" si="15"/>
        <v>0.16655001166550013</v>
      </c>
      <c r="J141" s="1122"/>
    </row>
    <row r="142" spans="2:10" x14ac:dyDescent="0.25">
      <c r="B142" s="1118">
        <v>15264.3</v>
      </c>
      <c r="C142" s="1104">
        <v>3150</v>
      </c>
      <c r="D142" s="1119">
        <f t="shared" si="13"/>
        <v>16000</v>
      </c>
      <c r="E142" s="1148">
        <f t="shared" si="16"/>
        <v>17500</v>
      </c>
      <c r="F142" s="1119">
        <f t="shared" si="14"/>
        <v>2235.7000000000007</v>
      </c>
      <c r="G142" s="1121">
        <f t="shared" si="15"/>
        <v>0.14646593685920747</v>
      </c>
      <c r="J142" s="1122"/>
    </row>
    <row r="143" spans="2:10" x14ac:dyDescent="0.25">
      <c r="B143" s="1118">
        <v>15330</v>
      </c>
      <c r="C143" s="1104">
        <v>3150</v>
      </c>
      <c r="D143" s="1119">
        <f t="shared" si="13"/>
        <v>16000</v>
      </c>
      <c r="E143" s="1148">
        <f t="shared" si="16"/>
        <v>17500</v>
      </c>
      <c r="F143" s="1119">
        <f t="shared" si="14"/>
        <v>2170</v>
      </c>
      <c r="G143" s="1121">
        <f t="shared" si="15"/>
        <v>0.14155251141552511</v>
      </c>
      <c r="J143" s="1122"/>
    </row>
    <row r="144" spans="2:10" x14ac:dyDescent="0.25">
      <c r="B144" s="1118">
        <v>15330</v>
      </c>
      <c r="C144" s="1104">
        <v>3150</v>
      </c>
      <c r="D144" s="1119">
        <f t="shared" si="13"/>
        <v>16000</v>
      </c>
      <c r="E144" s="1148">
        <f t="shared" si="16"/>
        <v>17500</v>
      </c>
      <c r="F144" s="1119">
        <f t="shared" si="14"/>
        <v>2170</v>
      </c>
      <c r="G144" s="1121">
        <f t="shared" si="15"/>
        <v>0.14155251141552511</v>
      </c>
      <c r="J144" s="1122"/>
    </row>
    <row r="145" spans="2:10" x14ac:dyDescent="0.25">
      <c r="B145" s="1118">
        <v>15330</v>
      </c>
      <c r="C145" s="1104">
        <v>3150</v>
      </c>
      <c r="D145" s="1119">
        <f t="shared" si="13"/>
        <v>16000</v>
      </c>
      <c r="E145" s="1148">
        <f t="shared" si="16"/>
        <v>17500</v>
      </c>
      <c r="F145" s="1119">
        <f t="shared" si="14"/>
        <v>2170</v>
      </c>
      <c r="G145" s="1121">
        <f t="shared" si="15"/>
        <v>0.14155251141552511</v>
      </c>
      <c r="J145" s="1122"/>
    </row>
    <row r="146" spans="2:10" x14ac:dyDescent="0.25">
      <c r="B146" s="1118">
        <v>15330</v>
      </c>
      <c r="C146" s="1104">
        <v>3288</v>
      </c>
      <c r="D146" s="1119">
        <f t="shared" si="13"/>
        <v>16000</v>
      </c>
      <c r="E146" s="1148">
        <f t="shared" si="16"/>
        <v>17500</v>
      </c>
      <c r="F146" s="1119">
        <f t="shared" si="14"/>
        <v>2170</v>
      </c>
      <c r="G146" s="1121">
        <f t="shared" si="15"/>
        <v>0.14155251141552511</v>
      </c>
      <c r="J146" s="1122"/>
    </row>
    <row r="147" spans="2:10" x14ac:dyDescent="0.25">
      <c r="B147" s="1118">
        <v>15538.05</v>
      </c>
      <c r="C147" s="1104">
        <v>3288</v>
      </c>
      <c r="D147" s="1119">
        <f t="shared" si="13"/>
        <v>16000</v>
      </c>
      <c r="E147" s="1148">
        <f t="shared" si="16"/>
        <v>17500</v>
      </c>
      <c r="F147" s="1119">
        <f t="shared" si="14"/>
        <v>1961.9500000000007</v>
      </c>
      <c r="G147" s="1121">
        <f t="shared" si="15"/>
        <v>0.12626745312313969</v>
      </c>
      <c r="J147" s="1122"/>
    </row>
    <row r="148" spans="2:10" x14ac:dyDescent="0.25">
      <c r="B148" s="1118">
        <v>15563.6</v>
      </c>
      <c r="C148" s="1104">
        <v>3288</v>
      </c>
      <c r="D148" s="1119">
        <f t="shared" si="13"/>
        <v>16000</v>
      </c>
      <c r="E148" s="1148">
        <f t="shared" si="16"/>
        <v>17500</v>
      </c>
      <c r="F148" s="1119">
        <f t="shared" si="14"/>
        <v>1936.3999999999996</v>
      </c>
      <c r="G148" s="1121">
        <f t="shared" si="15"/>
        <v>0.12441851499653034</v>
      </c>
      <c r="J148" s="1122"/>
    </row>
    <row r="149" spans="2:10" x14ac:dyDescent="0.25">
      <c r="B149" s="1118">
        <v>15792</v>
      </c>
      <c r="C149" s="1104">
        <v>3150</v>
      </c>
      <c r="D149" s="1119">
        <f t="shared" si="13"/>
        <v>16000</v>
      </c>
      <c r="E149" s="1148">
        <f t="shared" si="16"/>
        <v>17500</v>
      </c>
      <c r="F149" s="1119">
        <f t="shared" si="14"/>
        <v>1708</v>
      </c>
      <c r="G149" s="1121">
        <f t="shared" si="15"/>
        <v>0.10815602836879433</v>
      </c>
      <c r="J149" s="1122"/>
    </row>
    <row r="150" spans="2:10" x14ac:dyDescent="0.25">
      <c r="B150" s="1118">
        <v>15793.55</v>
      </c>
      <c r="C150" s="1104">
        <v>3150</v>
      </c>
      <c r="D150" s="1119">
        <f t="shared" si="13"/>
        <v>16000</v>
      </c>
      <c r="E150" s="1148">
        <f t="shared" si="16"/>
        <v>17500</v>
      </c>
      <c r="F150" s="1119">
        <f t="shared" si="14"/>
        <v>1706.4500000000007</v>
      </c>
      <c r="G150" s="1121">
        <f t="shared" si="15"/>
        <v>0.10804727246249266</v>
      </c>
      <c r="J150" s="1122"/>
    </row>
    <row r="151" spans="2:10" x14ac:dyDescent="0.25">
      <c r="B151" s="1118">
        <v>15860</v>
      </c>
      <c r="C151" s="1104">
        <v>3150</v>
      </c>
      <c r="D151" s="1119">
        <f t="shared" si="13"/>
        <v>16000</v>
      </c>
      <c r="E151" s="1148">
        <f t="shared" si="16"/>
        <v>17500</v>
      </c>
      <c r="F151" s="1119">
        <f t="shared" si="14"/>
        <v>1640</v>
      </c>
      <c r="G151" s="1121">
        <f t="shared" si="15"/>
        <v>0.10340479192938209</v>
      </c>
      <c r="J151" s="1122"/>
    </row>
    <row r="152" spans="2:10" x14ac:dyDescent="0.25">
      <c r="B152" s="1118">
        <v>15965</v>
      </c>
      <c r="C152" s="1104">
        <v>3150</v>
      </c>
      <c r="D152" s="1119">
        <f t="shared" si="13"/>
        <v>16000</v>
      </c>
      <c r="E152" s="1148">
        <f t="shared" si="16"/>
        <v>17500</v>
      </c>
      <c r="F152" s="1119">
        <f t="shared" si="14"/>
        <v>1535</v>
      </c>
      <c r="G152" s="1121">
        <f t="shared" si="15"/>
        <v>9.6147823363607887E-2</v>
      </c>
      <c r="J152" s="1122"/>
    </row>
    <row r="153" spans="2:10" x14ac:dyDescent="0.25">
      <c r="B153" s="1118">
        <v>16001.6</v>
      </c>
      <c r="C153" s="1104">
        <v>3150</v>
      </c>
      <c r="D153" s="1119">
        <f t="shared" si="13"/>
        <v>17000</v>
      </c>
      <c r="E153" s="1148">
        <f t="shared" si="16"/>
        <v>17500</v>
      </c>
      <c r="F153" s="1119">
        <f t="shared" si="14"/>
        <v>1498.3999999999996</v>
      </c>
      <c r="G153" s="1121">
        <f t="shared" si="15"/>
        <v>9.3640635936406341E-2</v>
      </c>
      <c r="J153" s="1122"/>
    </row>
    <row r="154" spans="2:10" x14ac:dyDescent="0.25">
      <c r="B154" s="1118">
        <v>16253.45</v>
      </c>
      <c r="C154" s="1104">
        <v>3150</v>
      </c>
      <c r="D154" s="1119">
        <f t="shared" si="13"/>
        <v>17000</v>
      </c>
      <c r="E154" s="1148">
        <f t="shared" si="16"/>
        <v>17500</v>
      </c>
      <c r="F154" s="1119">
        <f t="shared" si="14"/>
        <v>1246.5499999999993</v>
      </c>
      <c r="G154" s="1121">
        <f t="shared" si="15"/>
        <v>7.6694486401348586E-2</v>
      </c>
      <c r="J154" s="1122"/>
    </row>
    <row r="155" spans="2:10" x14ac:dyDescent="0.25">
      <c r="B155" s="1118">
        <v>16253.45</v>
      </c>
      <c r="C155" s="1104">
        <v>3150</v>
      </c>
      <c r="D155" s="1119">
        <f t="shared" si="13"/>
        <v>17000</v>
      </c>
      <c r="E155" s="1148">
        <f t="shared" si="16"/>
        <v>17500</v>
      </c>
      <c r="F155" s="1119">
        <f t="shared" si="14"/>
        <v>1246.5499999999993</v>
      </c>
      <c r="G155" s="1121">
        <f t="shared" si="15"/>
        <v>7.6694486401348586E-2</v>
      </c>
      <c r="J155" s="1122"/>
    </row>
    <row r="156" spans="2:10" x14ac:dyDescent="0.25">
      <c r="B156" s="1118">
        <v>16325</v>
      </c>
      <c r="C156" s="1104">
        <v>3288</v>
      </c>
      <c r="D156" s="1119">
        <f t="shared" si="13"/>
        <v>17000</v>
      </c>
      <c r="E156" s="1148">
        <f t="shared" si="16"/>
        <v>17500</v>
      </c>
      <c r="F156" s="1119">
        <f t="shared" si="14"/>
        <v>1175</v>
      </c>
      <c r="G156" s="1121">
        <f t="shared" si="15"/>
        <v>7.1975497702909647E-2</v>
      </c>
      <c r="J156" s="1122"/>
    </row>
    <row r="157" spans="2:10" x14ac:dyDescent="0.25">
      <c r="B157" s="1118">
        <v>16365</v>
      </c>
      <c r="C157" s="1104">
        <v>3150</v>
      </c>
      <c r="D157" s="1119">
        <f t="shared" si="13"/>
        <v>17000</v>
      </c>
      <c r="E157" s="1148">
        <f t="shared" si="16"/>
        <v>17500</v>
      </c>
      <c r="F157" s="1119">
        <f t="shared" si="14"/>
        <v>1135</v>
      </c>
      <c r="G157" s="1121">
        <f t="shared" si="15"/>
        <v>6.9355331500152759E-2</v>
      </c>
      <c r="J157" s="1122"/>
    </row>
    <row r="158" spans="2:10" x14ac:dyDescent="0.25">
      <c r="B158" s="1118">
        <v>16425</v>
      </c>
      <c r="C158" s="1104">
        <v>3150</v>
      </c>
      <c r="D158" s="1119">
        <f t="shared" si="13"/>
        <v>17000</v>
      </c>
      <c r="E158" s="1148">
        <f t="shared" si="16"/>
        <v>17500</v>
      </c>
      <c r="F158" s="1119">
        <f t="shared" si="14"/>
        <v>1075</v>
      </c>
      <c r="G158" s="1121">
        <f t="shared" si="15"/>
        <v>6.5449010654490103E-2</v>
      </c>
      <c r="J158" s="1122"/>
    </row>
    <row r="159" spans="2:10" x14ac:dyDescent="0.25">
      <c r="B159" s="1118">
        <v>16425</v>
      </c>
      <c r="C159" s="1104">
        <v>3150</v>
      </c>
      <c r="D159" s="1119">
        <f t="shared" si="13"/>
        <v>17000</v>
      </c>
      <c r="E159" s="1148">
        <f t="shared" si="16"/>
        <v>17500</v>
      </c>
      <c r="F159" s="1119">
        <f t="shared" si="14"/>
        <v>1075</v>
      </c>
      <c r="G159" s="1121">
        <f t="shared" si="15"/>
        <v>6.5449010654490103E-2</v>
      </c>
      <c r="J159" s="1122"/>
    </row>
    <row r="160" spans="2:10" x14ac:dyDescent="0.25">
      <c r="B160" s="1118">
        <v>16425</v>
      </c>
      <c r="C160" s="1104">
        <v>3150</v>
      </c>
      <c r="D160" s="1119">
        <f t="shared" si="13"/>
        <v>17000</v>
      </c>
      <c r="E160" s="1148">
        <f t="shared" si="16"/>
        <v>17500</v>
      </c>
      <c r="F160" s="1119">
        <f t="shared" si="14"/>
        <v>1075</v>
      </c>
      <c r="G160" s="1121">
        <f t="shared" si="15"/>
        <v>6.5449010654490103E-2</v>
      </c>
      <c r="J160" s="1122"/>
    </row>
    <row r="161" spans="2:10" x14ac:dyDescent="0.25">
      <c r="B161" s="1118">
        <v>16425</v>
      </c>
      <c r="C161" s="1104">
        <v>3150</v>
      </c>
      <c r="D161" s="1119">
        <f t="shared" si="13"/>
        <v>17000</v>
      </c>
      <c r="E161" s="1148">
        <f t="shared" si="16"/>
        <v>17500</v>
      </c>
      <c r="F161" s="1119">
        <f t="shared" si="14"/>
        <v>1075</v>
      </c>
      <c r="G161" s="1121">
        <f t="shared" si="15"/>
        <v>6.5449010654490103E-2</v>
      </c>
      <c r="J161" s="1122"/>
    </row>
    <row r="162" spans="2:10" x14ac:dyDescent="0.25">
      <c r="B162" s="1118">
        <v>16425</v>
      </c>
      <c r="C162" s="1104">
        <v>3150</v>
      </c>
      <c r="D162" s="1119">
        <f t="shared" si="13"/>
        <v>17000</v>
      </c>
      <c r="E162" s="1148">
        <f t="shared" si="16"/>
        <v>17500</v>
      </c>
      <c r="F162" s="1119">
        <f t="shared" si="14"/>
        <v>1075</v>
      </c>
      <c r="G162" s="1121">
        <f t="shared" si="15"/>
        <v>6.5449010654490103E-2</v>
      </c>
      <c r="J162" s="1122"/>
    </row>
    <row r="163" spans="2:10" x14ac:dyDescent="0.25">
      <c r="B163" s="1118">
        <v>16425</v>
      </c>
      <c r="C163" s="1104">
        <v>3150</v>
      </c>
      <c r="D163" s="1119">
        <f t="shared" si="13"/>
        <v>17000</v>
      </c>
      <c r="E163" s="1148">
        <f t="shared" si="16"/>
        <v>17500</v>
      </c>
      <c r="F163" s="1119">
        <f t="shared" si="14"/>
        <v>1075</v>
      </c>
      <c r="G163" s="1121">
        <f t="shared" si="15"/>
        <v>6.5449010654490103E-2</v>
      </c>
      <c r="J163" s="1122"/>
    </row>
    <row r="164" spans="2:10" x14ac:dyDescent="0.25">
      <c r="B164" s="1118">
        <v>16425</v>
      </c>
      <c r="C164" s="1104">
        <v>3150</v>
      </c>
      <c r="D164" s="1119">
        <f t="shared" si="13"/>
        <v>17000</v>
      </c>
      <c r="E164" s="1148">
        <f t="shared" si="16"/>
        <v>17500</v>
      </c>
      <c r="F164" s="1119">
        <f t="shared" si="14"/>
        <v>1075</v>
      </c>
      <c r="G164" s="1121">
        <f t="shared" si="15"/>
        <v>6.5449010654490103E-2</v>
      </c>
      <c r="J164" s="1122"/>
    </row>
    <row r="165" spans="2:10" x14ac:dyDescent="0.25">
      <c r="B165" s="1118">
        <v>16425</v>
      </c>
      <c r="C165" s="1104">
        <v>3150</v>
      </c>
      <c r="D165" s="1119">
        <f t="shared" si="13"/>
        <v>17000</v>
      </c>
      <c r="E165" s="1148">
        <f t="shared" si="16"/>
        <v>17500</v>
      </c>
      <c r="F165" s="1119">
        <f t="shared" si="14"/>
        <v>1075</v>
      </c>
      <c r="G165" s="1121">
        <f t="shared" si="15"/>
        <v>6.5449010654490103E-2</v>
      </c>
      <c r="J165" s="1122"/>
    </row>
    <row r="166" spans="2:10" x14ac:dyDescent="0.25">
      <c r="B166" s="1118">
        <v>16425</v>
      </c>
      <c r="C166" s="1104">
        <v>3150</v>
      </c>
      <c r="D166" s="1119">
        <f t="shared" si="13"/>
        <v>17000</v>
      </c>
      <c r="E166" s="1148">
        <f t="shared" si="16"/>
        <v>17500</v>
      </c>
      <c r="F166" s="1119">
        <f t="shared" si="14"/>
        <v>1075</v>
      </c>
      <c r="G166" s="1121">
        <f t="shared" si="15"/>
        <v>6.5449010654490103E-2</v>
      </c>
      <c r="J166" s="1122"/>
    </row>
    <row r="167" spans="2:10" x14ac:dyDescent="0.25">
      <c r="B167" s="1118">
        <v>16425</v>
      </c>
      <c r="C167" s="1104">
        <v>3288</v>
      </c>
      <c r="D167" s="1119">
        <f t="shared" si="13"/>
        <v>17000</v>
      </c>
      <c r="E167" s="1148">
        <f t="shared" si="16"/>
        <v>17500</v>
      </c>
      <c r="F167" s="1119">
        <f t="shared" si="14"/>
        <v>1075</v>
      </c>
      <c r="G167" s="1121">
        <f t="shared" si="15"/>
        <v>6.5449010654490103E-2</v>
      </c>
      <c r="J167" s="1122"/>
    </row>
    <row r="168" spans="2:10" x14ac:dyDescent="0.25">
      <c r="B168" s="1118">
        <v>16472.45</v>
      </c>
      <c r="C168" s="1104">
        <v>3150</v>
      </c>
      <c r="D168" s="1119">
        <f t="shared" si="13"/>
        <v>17000</v>
      </c>
      <c r="E168" s="1148">
        <f t="shared" si="16"/>
        <v>17500</v>
      </c>
      <c r="F168" s="1119">
        <f t="shared" si="14"/>
        <v>1027.5499999999993</v>
      </c>
      <c r="G168" s="1121">
        <f t="shared" si="15"/>
        <v>6.2379913127676774E-2</v>
      </c>
      <c r="J168" s="1122"/>
    </row>
    <row r="169" spans="2:10" x14ac:dyDescent="0.25">
      <c r="B169" s="1118">
        <v>16512</v>
      </c>
      <c r="C169" s="1104">
        <v>3150</v>
      </c>
      <c r="D169" s="1119">
        <f t="shared" si="13"/>
        <v>17000</v>
      </c>
      <c r="E169" s="1148">
        <f t="shared" si="16"/>
        <v>17500</v>
      </c>
      <c r="F169" s="1119">
        <f t="shared" si="14"/>
        <v>988</v>
      </c>
      <c r="G169" s="1121">
        <f t="shared" si="15"/>
        <v>5.983527131782946E-2</v>
      </c>
      <c r="J169" s="1122"/>
    </row>
    <row r="170" spans="2:10" x14ac:dyDescent="0.25">
      <c r="B170" s="1118">
        <v>16752</v>
      </c>
      <c r="C170" s="1104">
        <v>3288</v>
      </c>
      <c r="D170" s="1119">
        <f t="shared" si="13"/>
        <v>17000</v>
      </c>
      <c r="E170" s="1148">
        <f t="shared" si="16"/>
        <v>17500</v>
      </c>
      <c r="F170" s="1119">
        <f t="shared" si="14"/>
        <v>748</v>
      </c>
      <c r="G170" s="1121">
        <f t="shared" si="15"/>
        <v>4.4651384909264569E-2</v>
      </c>
      <c r="J170" s="1122"/>
    </row>
    <row r="171" spans="2:10" x14ac:dyDescent="0.25">
      <c r="B171" s="1118">
        <v>16800</v>
      </c>
      <c r="C171" s="1104">
        <v>3150</v>
      </c>
      <c r="D171" s="1119">
        <f t="shared" si="13"/>
        <v>17000</v>
      </c>
      <c r="E171" s="1148">
        <f t="shared" si="16"/>
        <v>17500</v>
      </c>
      <c r="F171" s="1119">
        <f t="shared" si="14"/>
        <v>700</v>
      </c>
      <c r="G171" s="1121">
        <f t="shared" si="15"/>
        <v>4.1666666666666664E-2</v>
      </c>
      <c r="J171" s="1122"/>
    </row>
    <row r="172" spans="2:10" x14ac:dyDescent="0.25">
      <c r="B172" s="1118">
        <v>16800</v>
      </c>
      <c r="C172" s="1104">
        <v>3150</v>
      </c>
      <c r="D172" s="1119">
        <f t="shared" si="13"/>
        <v>17000</v>
      </c>
      <c r="E172" s="1148">
        <f t="shared" si="16"/>
        <v>17500</v>
      </c>
      <c r="F172" s="1119">
        <f t="shared" si="14"/>
        <v>700</v>
      </c>
      <c r="G172" s="1121">
        <f t="shared" si="15"/>
        <v>4.1666666666666664E-2</v>
      </c>
      <c r="J172" s="1122"/>
    </row>
    <row r="173" spans="2:10" x14ac:dyDescent="0.25">
      <c r="B173" s="1118">
        <v>16800</v>
      </c>
      <c r="C173" s="1104">
        <v>3150</v>
      </c>
      <c r="D173" s="1119">
        <f t="shared" si="13"/>
        <v>17000</v>
      </c>
      <c r="E173" s="1148">
        <f t="shared" si="16"/>
        <v>17500</v>
      </c>
      <c r="F173" s="1119">
        <f t="shared" si="14"/>
        <v>700</v>
      </c>
      <c r="G173" s="1121">
        <f t="shared" si="15"/>
        <v>4.1666666666666664E-2</v>
      </c>
      <c r="J173" s="1122"/>
    </row>
    <row r="174" spans="2:10" x14ac:dyDescent="0.25">
      <c r="B174" s="1118">
        <v>16896</v>
      </c>
      <c r="C174" s="1104">
        <v>3150</v>
      </c>
      <c r="D174" s="1119">
        <f t="shared" si="13"/>
        <v>17000</v>
      </c>
      <c r="E174" s="1148">
        <f t="shared" si="16"/>
        <v>17500</v>
      </c>
      <c r="F174" s="1119">
        <f t="shared" si="14"/>
        <v>604</v>
      </c>
      <c r="G174" s="1121">
        <f t="shared" si="15"/>
        <v>3.5748106060606064E-2</v>
      </c>
      <c r="J174" s="1122"/>
    </row>
    <row r="175" spans="2:10" x14ac:dyDescent="0.25">
      <c r="B175" s="1118">
        <v>16998.05</v>
      </c>
      <c r="C175" s="1104">
        <v>3150</v>
      </c>
      <c r="D175" s="1119">
        <f t="shared" si="13"/>
        <v>17000</v>
      </c>
      <c r="E175" s="1148">
        <f t="shared" si="16"/>
        <v>17500</v>
      </c>
      <c r="F175" s="1119">
        <f t="shared" si="14"/>
        <v>501.95000000000073</v>
      </c>
      <c r="G175" s="1121">
        <f t="shared" si="15"/>
        <v>2.9529857836634248E-2</v>
      </c>
      <c r="J175" s="1122"/>
    </row>
    <row r="176" spans="2:10" x14ac:dyDescent="0.25">
      <c r="B176" s="1118">
        <v>17224.349999999999</v>
      </c>
      <c r="C176" s="1104">
        <v>3150</v>
      </c>
      <c r="D176" s="1119">
        <f t="shared" si="13"/>
        <v>18000</v>
      </c>
      <c r="E176" s="1148">
        <f t="shared" si="16"/>
        <v>17500</v>
      </c>
      <c r="F176" s="1119">
        <f t="shared" si="14"/>
        <v>275.65000000000146</v>
      </c>
      <c r="G176" s="1121">
        <f t="shared" si="15"/>
        <v>1.6003506663531657E-2</v>
      </c>
      <c r="J176" s="1122"/>
    </row>
    <row r="177" spans="2:10" x14ac:dyDescent="0.25">
      <c r="B177" s="1118">
        <v>17225</v>
      </c>
      <c r="C177" s="1104">
        <v>3288</v>
      </c>
      <c r="D177" s="1119">
        <f t="shared" si="13"/>
        <v>18000</v>
      </c>
      <c r="E177" s="1148">
        <f t="shared" si="16"/>
        <v>17500</v>
      </c>
      <c r="F177" s="1119">
        <f t="shared" si="14"/>
        <v>275</v>
      </c>
      <c r="G177" s="1121">
        <f t="shared" si="15"/>
        <v>1.5965166908563134E-2</v>
      </c>
      <c r="J177" s="1122"/>
    </row>
    <row r="178" spans="2:10" x14ac:dyDescent="0.25">
      <c r="B178" s="1118">
        <v>17260.849999999999</v>
      </c>
      <c r="C178" s="1104">
        <v>3150</v>
      </c>
      <c r="D178" s="1119">
        <f t="shared" si="13"/>
        <v>18000</v>
      </c>
      <c r="E178" s="1148">
        <f t="shared" si="16"/>
        <v>17500</v>
      </c>
      <c r="F178" s="1119">
        <f t="shared" si="14"/>
        <v>239.15000000000146</v>
      </c>
      <c r="G178" s="1121">
        <f t="shared" si="15"/>
        <v>1.3855053488095979E-2</v>
      </c>
      <c r="J178" s="1122"/>
    </row>
    <row r="179" spans="2:10" x14ac:dyDescent="0.25">
      <c r="B179" s="1118">
        <v>17337.5</v>
      </c>
      <c r="C179" s="1104">
        <v>3150</v>
      </c>
      <c r="D179" s="1119">
        <f t="shared" si="13"/>
        <v>18000</v>
      </c>
      <c r="E179" s="1148">
        <f t="shared" si="16"/>
        <v>17500</v>
      </c>
      <c r="F179" s="1119">
        <f t="shared" si="14"/>
        <v>162.5</v>
      </c>
      <c r="G179" s="1121">
        <f t="shared" si="15"/>
        <v>9.372746935832732E-3</v>
      </c>
      <c r="J179" s="1122"/>
    </row>
    <row r="180" spans="2:10" x14ac:dyDescent="0.25">
      <c r="B180" s="1118">
        <v>17366.7</v>
      </c>
      <c r="C180" s="1104">
        <v>3150</v>
      </c>
      <c r="D180" s="1119">
        <f t="shared" si="13"/>
        <v>18000</v>
      </c>
      <c r="E180" s="1148">
        <f t="shared" si="16"/>
        <v>17500</v>
      </c>
      <c r="F180" s="1119">
        <f t="shared" si="14"/>
        <v>133.29999999999927</v>
      </c>
      <c r="G180" s="1121">
        <f t="shared" si="15"/>
        <v>7.6756090679288101E-3</v>
      </c>
      <c r="J180" s="1122"/>
    </row>
    <row r="181" spans="2:10" x14ac:dyDescent="0.25">
      <c r="B181" s="1118">
        <v>17403</v>
      </c>
      <c r="C181" s="1104">
        <v>3150</v>
      </c>
      <c r="D181" s="1119">
        <f t="shared" si="13"/>
        <v>18000</v>
      </c>
      <c r="E181" s="1149">
        <f t="shared" ref="E181:E244" si="17">IF(B181&lt;=20000,20000)</f>
        <v>20000</v>
      </c>
      <c r="F181" s="1119">
        <f t="shared" si="14"/>
        <v>2597</v>
      </c>
      <c r="G181" s="1121">
        <f t="shared" si="15"/>
        <v>0.14922714474515889</v>
      </c>
      <c r="H181" s="1141">
        <v>94</v>
      </c>
      <c r="J181" s="1142">
        <f>AVERAGE(B181:B274)</f>
        <v>18780.352659574481</v>
      </c>
    </row>
    <row r="182" spans="2:10" x14ac:dyDescent="0.25">
      <c r="B182" s="1118">
        <v>17500</v>
      </c>
      <c r="C182" s="1104">
        <v>3150</v>
      </c>
      <c r="D182" s="1119">
        <f t="shared" si="13"/>
        <v>18000</v>
      </c>
      <c r="E182" s="1149">
        <f t="shared" si="17"/>
        <v>20000</v>
      </c>
      <c r="F182" s="1119">
        <f t="shared" si="14"/>
        <v>2500</v>
      </c>
      <c r="G182" s="1121">
        <f t="shared" si="15"/>
        <v>0.14285714285714285</v>
      </c>
      <c r="J182" s="1122"/>
    </row>
    <row r="183" spans="2:10" x14ac:dyDescent="0.25">
      <c r="B183" s="1118">
        <v>17500</v>
      </c>
      <c r="C183" s="1104">
        <v>3150</v>
      </c>
      <c r="D183" s="1119">
        <f t="shared" si="13"/>
        <v>18000</v>
      </c>
      <c r="E183" s="1149">
        <f t="shared" si="17"/>
        <v>20000</v>
      </c>
      <c r="F183" s="1119">
        <f t="shared" si="14"/>
        <v>2500</v>
      </c>
      <c r="G183" s="1121">
        <f t="shared" si="15"/>
        <v>0.14285714285714285</v>
      </c>
      <c r="J183" s="1122"/>
    </row>
    <row r="184" spans="2:10" x14ac:dyDescent="0.25">
      <c r="B184" s="1118">
        <v>17500</v>
      </c>
      <c r="C184" s="1104">
        <v>3150</v>
      </c>
      <c r="D184" s="1119">
        <f t="shared" si="13"/>
        <v>18000</v>
      </c>
      <c r="E184" s="1149">
        <f t="shared" si="17"/>
        <v>20000</v>
      </c>
      <c r="F184" s="1119">
        <f t="shared" si="14"/>
        <v>2500</v>
      </c>
      <c r="G184" s="1121">
        <f t="shared" si="15"/>
        <v>0.14285714285714285</v>
      </c>
      <c r="J184" s="1122"/>
    </row>
    <row r="185" spans="2:10" x14ac:dyDescent="0.25">
      <c r="B185" s="1118">
        <v>17505.400000000001</v>
      </c>
      <c r="C185" s="1104">
        <v>3150</v>
      </c>
      <c r="D185" s="1119">
        <f t="shared" si="13"/>
        <v>18000</v>
      </c>
      <c r="E185" s="1149">
        <f t="shared" si="17"/>
        <v>20000</v>
      </c>
      <c r="F185" s="1119">
        <f t="shared" si="14"/>
        <v>2494.5999999999985</v>
      </c>
      <c r="G185" s="1121">
        <f t="shared" si="15"/>
        <v>0.1425045985810092</v>
      </c>
      <c r="J185" s="1122"/>
    </row>
    <row r="186" spans="2:10" x14ac:dyDescent="0.25">
      <c r="B186" s="1118">
        <v>17702.5</v>
      </c>
      <c r="C186" s="1104">
        <v>3150</v>
      </c>
      <c r="D186" s="1119">
        <f t="shared" si="13"/>
        <v>18000</v>
      </c>
      <c r="E186" s="1149">
        <f t="shared" si="17"/>
        <v>20000</v>
      </c>
      <c r="F186" s="1119">
        <f t="shared" si="14"/>
        <v>2297.5</v>
      </c>
      <c r="G186" s="1121">
        <f t="shared" si="15"/>
        <v>0.12978392882361248</v>
      </c>
      <c r="J186" s="1122"/>
    </row>
    <row r="187" spans="2:10" x14ac:dyDescent="0.25">
      <c r="B187" s="1118">
        <v>17702.5</v>
      </c>
      <c r="C187" s="1104">
        <v>3150</v>
      </c>
      <c r="D187" s="1119">
        <f t="shared" si="13"/>
        <v>18000</v>
      </c>
      <c r="E187" s="1149">
        <f t="shared" si="17"/>
        <v>20000</v>
      </c>
      <c r="F187" s="1119">
        <f t="shared" si="14"/>
        <v>2297.5</v>
      </c>
      <c r="G187" s="1121">
        <f t="shared" si="15"/>
        <v>0.12978392882361248</v>
      </c>
      <c r="J187" s="1122"/>
    </row>
    <row r="188" spans="2:10" x14ac:dyDescent="0.25">
      <c r="B188" s="1118">
        <v>17885</v>
      </c>
      <c r="C188" s="1104">
        <v>3150</v>
      </c>
      <c r="D188" s="1119">
        <f t="shared" si="13"/>
        <v>18000</v>
      </c>
      <c r="E188" s="1149">
        <f t="shared" si="17"/>
        <v>20000</v>
      </c>
      <c r="F188" s="1119">
        <f t="shared" si="14"/>
        <v>2115</v>
      </c>
      <c r="G188" s="1121">
        <f t="shared" si="15"/>
        <v>0.11825552138663685</v>
      </c>
      <c r="J188" s="1122"/>
    </row>
    <row r="189" spans="2:10" x14ac:dyDescent="0.25">
      <c r="B189" s="1118">
        <v>17885</v>
      </c>
      <c r="C189" s="1104">
        <v>3150</v>
      </c>
      <c r="D189" s="1119">
        <f t="shared" si="13"/>
        <v>18000</v>
      </c>
      <c r="E189" s="1149">
        <f t="shared" si="17"/>
        <v>20000</v>
      </c>
      <c r="F189" s="1119">
        <f t="shared" si="14"/>
        <v>2115</v>
      </c>
      <c r="G189" s="1121">
        <f t="shared" si="15"/>
        <v>0.11825552138663685</v>
      </c>
      <c r="J189" s="1122"/>
    </row>
    <row r="190" spans="2:10" x14ac:dyDescent="0.25">
      <c r="B190" s="1118">
        <v>17885</v>
      </c>
      <c r="C190" s="1104">
        <v>3150</v>
      </c>
      <c r="D190" s="1119">
        <f t="shared" si="13"/>
        <v>18000</v>
      </c>
      <c r="E190" s="1149">
        <f t="shared" si="17"/>
        <v>20000</v>
      </c>
      <c r="F190" s="1119">
        <f t="shared" si="14"/>
        <v>2115</v>
      </c>
      <c r="G190" s="1121">
        <f t="shared" si="15"/>
        <v>0.11825552138663685</v>
      </c>
      <c r="J190" s="1122"/>
    </row>
    <row r="191" spans="2:10" x14ac:dyDescent="0.25">
      <c r="B191" s="1118">
        <v>17885</v>
      </c>
      <c r="C191" s="1104">
        <v>3150</v>
      </c>
      <c r="D191" s="1119">
        <f t="shared" si="13"/>
        <v>18000</v>
      </c>
      <c r="E191" s="1149">
        <f t="shared" si="17"/>
        <v>20000</v>
      </c>
      <c r="F191" s="1119">
        <f t="shared" si="14"/>
        <v>2115</v>
      </c>
      <c r="G191" s="1121">
        <f t="shared" si="15"/>
        <v>0.11825552138663685</v>
      </c>
      <c r="J191" s="1122"/>
    </row>
    <row r="192" spans="2:10" x14ac:dyDescent="0.25">
      <c r="B192" s="1118">
        <v>17885</v>
      </c>
      <c r="C192" s="1104">
        <v>3150</v>
      </c>
      <c r="D192" s="1119">
        <f t="shared" si="13"/>
        <v>18000</v>
      </c>
      <c r="E192" s="1149">
        <f t="shared" si="17"/>
        <v>20000</v>
      </c>
      <c r="F192" s="1119">
        <f t="shared" si="14"/>
        <v>2115</v>
      </c>
      <c r="G192" s="1121">
        <f t="shared" si="15"/>
        <v>0.11825552138663685</v>
      </c>
      <c r="J192" s="1122"/>
    </row>
    <row r="193" spans="2:10" x14ac:dyDescent="0.25">
      <c r="B193" s="1118">
        <v>17905</v>
      </c>
      <c r="C193" s="1104">
        <v>3150</v>
      </c>
      <c r="D193" s="1119">
        <f t="shared" si="13"/>
        <v>18000</v>
      </c>
      <c r="E193" s="1149">
        <f t="shared" si="17"/>
        <v>20000</v>
      </c>
      <c r="F193" s="1119">
        <f t="shared" si="14"/>
        <v>2095</v>
      </c>
      <c r="G193" s="1121">
        <f t="shared" si="15"/>
        <v>0.11700642278693102</v>
      </c>
      <c r="J193" s="1122"/>
    </row>
    <row r="194" spans="2:10" x14ac:dyDescent="0.25">
      <c r="B194" s="1118">
        <v>17934</v>
      </c>
      <c r="C194" s="1104">
        <v>3150</v>
      </c>
      <c r="D194" s="1119">
        <f t="shared" ref="D194:D257" si="18">ROUNDUP(B194,-3)</f>
        <v>18000</v>
      </c>
      <c r="E194" s="1149">
        <f t="shared" si="17"/>
        <v>20000</v>
      </c>
      <c r="F194" s="1119">
        <f t="shared" ref="F194:F257" si="19">E194-B194</f>
        <v>2066</v>
      </c>
      <c r="G194" s="1121">
        <f t="shared" ref="G194:G257" si="20">F194/B194</f>
        <v>0.11520017843202855</v>
      </c>
      <c r="J194" s="1122"/>
    </row>
    <row r="195" spans="2:10" x14ac:dyDescent="0.25">
      <c r="B195" s="1118">
        <v>17998.150000000001</v>
      </c>
      <c r="C195" s="1104">
        <v>3150</v>
      </c>
      <c r="D195" s="1119">
        <f t="shared" si="18"/>
        <v>18000</v>
      </c>
      <c r="E195" s="1149">
        <f t="shared" si="17"/>
        <v>20000</v>
      </c>
      <c r="F195" s="1119">
        <f t="shared" si="19"/>
        <v>2001.8499999999985</v>
      </c>
      <c r="G195" s="1121">
        <f t="shared" si="20"/>
        <v>0.11122532038015009</v>
      </c>
      <c r="J195" s="1122"/>
    </row>
    <row r="196" spans="2:10" x14ac:dyDescent="0.25">
      <c r="B196" s="1118">
        <v>18000</v>
      </c>
      <c r="C196" s="1104">
        <v>3150</v>
      </c>
      <c r="D196" s="1119">
        <f t="shared" si="18"/>
        <v>18000</v>
      </c>
      <c r="E196" s="1149">
        <f t="shared" si="17"/>
        <v>20000</v>
      </c>
      <c r="F196" s="1119">
        <f t="shared" si="19"/>
        <v>2000</v>
      </c>
      <c r="G196" s="1121">
        <f t="shared" si="20"/>
        <v>0.1111111111111111</v>
      </c>
      <c r="J196" s="1122"/>
    </row>
    <row r="197" spans="2:10" x14ac:dyDescent="0.25">
      <c r="B197" s="1118">
        <v>18000</v>
      </c>
      <c r="C197" s="1104">
        <v>3288</v>
      </c>
      <c r="D197" s="1119">
        <f t="shared" si="18"/>
        <v>18000</v>
      </c>
      <c r="E197" s="1149">
        <f t="shared" si="17"/>
        <v>20000</v>
      </c>
      <c r="F197" s="1119">
        <f t="shared" si="19"/>
        <v>2000</v>
      </c>
      <c r="G197" s="1121">
        <f t="shared" si="20"/>
        <v>0.1111111111111111</v>
      </c>
      <c r="J197" s="1122"/>
    </row>
    <row r="198" spans="2:10" x14ac:dyDescent="0.25">
      <c r="B198" s="1118">
        <v>18001.8</v>
      </c>
      <c r="C198" s="1104">
        <v>3150</v>
      </c>
      <c r="D198" s="1119">
        <f t="shared" si="18"/>
        <v>19000</v>
      </c>
      <c r="E198" s="1149">
        <f t="shared" si="17"/>
        <v>20000</v>
      </c>
      <c r="F198" s="1119">
        <f t="shared" si="19"/>
        <v>1998.2000000000007</v>
      </c>
      <c r="G198" s="1121">
        <f t="shared" si="20"/>
        <v>0.11100001111000016</v>
      </c>
      <c r="J198" s="1122"/>
    </row>
    <row r="199" spans="2:10" x14ac:dyDescent="0.25">
      <c r="B199" s="1118">
        <v>18001.8</v>
      </c>
      <c r="C199" s="1104">
        <v>3150</v>
      </c>
      <c r="D199" s="1119">
        <f t="shared" si="18"/>
        <v>19000</v>
      </c>
      <c r="E199" s="1149">
        <f t="shared" si="17"/>
        <v>20000</v>
      </c>
      <c r="F199" s="1119">
        <f t="shared" si="19"/>
        <v>1998.2000000000007</v>
      </c>
      <c r="G199" s="1121">
        <f t="shared" si="20"/>
        <v>0.11100001111000016</v>
      </c>
      <c r="J199" s="1122"/>
    </row>
    <row r="200" spans="2:10" x14ac:dyDescent="0.25">
      <c r="B200" s="1118">
        <v>18001.8</v>
      </c>
      <c r="C200" s="1104">
        <v>3150</v>
      </c>
      <c r="D200" s="1119">
        <f t="shared" si="18"/>
        <v>19000</v>
      </c>
      <c r="E200" s="1149">
        <f t="shared" si="17"/>
        <v>20000</v>
      </c>
      <c r="F200" s="1119">
        <f t="shared" si="19"/>
        <v>1998.2000000000007</v>
      </c>
      <c r="G200" s="1121">
        <f t="shared" si="20"/>
        <v>0.11100001111000016</v>
      </c>
      <c r="J200" s="1122"/>
    </row>
    <row r="201" spans="2:10" x14ac:dyDescent="0.25">
      <c r="B201" s="1118">
        <v>18036</v>
      </c>
      <c r="C201" s="1104">
        <v>3150</v>
      </c>
      <c r="D201" s="1119">
        <f t="shared" si="18"/>
        <v>19000</v>
      </c>
      <c r="E201" s="1149">
        <f t="shared" si="17"/>
        <v>20000</v>
      </c>
      <c r="F201" s="1119">
        <f t="shared" si="19"/>
        <v>1964</v>
      </c>
      <c r="G201" s="1121">
        <f t="shared" si="20"/>
        <v>0.10889332446218673</v>
      </c>
      <c r="J201" s="1122"/>
    </row>
    <row r="202" spans="2:10" x14ac:dyDescent="0.25">
      <c r="B202" s="1118">
        <v>18158.75</v>
      </c>
      <c r="C202" s="1104">
        <v>3150</v>
      </c>
      <c r="D202" s="1119">
        <f t="shared" si="18"/>
        <v>19000</v>
      </c>
      <c r="E202" s="1149">
        <f t="shared" si="17"/>
        <v>20000</v>
      </c>
      <c r="F202" s="1119">
        <f t="shared" si="19"/>
        <v>1841.25</v>
      </c>
      <c r="G202" s="1121">
        <f t="shared" si="20"/>
        <v>0.10139739794864734</v>
      </c>
      <c r="J202" s="1122"/>
    </row>
    <row r="203" spans="2:10" x14ac:dyDescent="0.25">
      <c r="B203" s="1118">
        <v>18231.75</v>
      </c>
      <c r="C203" s="1104">
        <v>3150</v>
      </c>
      <c r="D203" s="1119">
        <f t="shared" si="18"/>
        <v>19000</v>
      </c>
      <c r="E203" s="1149">
        <f t="shared" si="17"/>
        <v>20000</v>
      </c>
      <c r="F203" s="1119">
        <f t="shared" si="19"/>
        <v>1768.25</v>
      </c>
      <c r="G203" s="1121">
        <f t="shared" si="20"/>
        <v>9.6987398357261376E-2</v>
      </c>
      <c r="J203" s="1122"/>
    </row>
    <row r="204" spans="2:10" x14ac:dyDescent="0.25">
      <c r="B204" s="1118">
        <v>18250</v>
      </c>
      <c r="C204" s="1104">
        <v>3150</v>
      </c>
      <c r="D204" s="1119">
        <f t="shared" si="18"/>
        <v>19000</v>
      </c>
      <c r="E204" s="1149">
        <f t="shared" si="17"/>
        <v>20000</v>
      </c>
      <c r="F204" s="1119">
        <f t="shared" si="19"/>
        <v>1750</v>
      </c>
      <c r="G204" s="1121">
        <f t="shared" si="20"/>
        <v>9.5890410958904104E-2</v>
      </c>
      <c r="J204" s="1122"/>
    </row>
    <row r="205" spans="2:10" x14ac:dyDescent="0.25">
      <c r="B205" s="1118">
        <v>18250</v>
      </c>
      <c r="C205" s="1104">
        <v>3150</v>
      </c>
      <c r="D205" s="1119">
        <f t="shared" si="18"/>
        <v>19000</v>
      </c>
      <c r="E205" s="1149">
        <f t="shared" si="17"/>
        <v>20000</v>
      </c>
      <c r="F205" s="1119">
        <f t="shared" si="19"/>
        <v>1750</v>
      </c>
      <c r="G205" s="1121">
        <f t="shared" si="20"/>
        <v>9.5890410958904104E-2</v>
      </c>
      <c r="J205" s="1122"/>
    </row>
    <row r="206" spans="2:10" x14ac:dyDescent="0.25">
      <c r="B206" s="1118">
        <v>18250</v>
      </c>
      <c r="C206" s="1104">
        <v>3150</v>
      </c>
      <c r="D206" s="1119">
        <f t="shared" si="18"/>
        <v>19000</v>
      </c>
      <c r="E206" s="1149">
        <f t="shared" si="17"/>
        <v>20000</v>
      </c>
      <c r="F206" s="1119">
        <f t="shared" si="19"/>
        <v>1750</v>
      </c>
      <c r="G206" s="1121">
        <f t="shared" si="20"/>
        <v>9.5890410958904104E-2</v>
      </c>
      <c r="J206" s="1122"/>
    </row>
    <row r="207" spans="2:10" x14ac:dyDescent="0.25">
      <c r="B207" s="1118">
        <v>18250</v>
      </c>
      <c r="C207" s="1104">
        <v>3150</v>
      </c>
      <c r="D207" s="1119">
        <f t="shared" si="18"/>
        <v>19000</v>
      </c>
      <c r="E207" s="1149">
        <f t="shared" si="17"/>
        <v>20000</v>
      </c>
      <c r="F207" s="1119">
        <f t="shared" si="19"/>
        <v>1750</v>
      </c>
      <c r="G207" s="1121">
        <f t="shared" si="20"/>
        <v>9.5890410958904104E-2</v>
      </c>
      <c r="J207" s="1122"/>
    </row>
    <row r="208" spans="2:10" x14ac:dyDescent="0.25">
      <c r="B208" s="1118">
        <v>18250</v>
      </c>
      <c r="C208" s="1104">
        <v>3150</v>
      </c>
      <c r="D208" s="1119">
        <f t="shared" si="18"/>
        <v>19000</v>
      </c>
      <c r="E208" s="1149">
        <f t="shared" si="17"/>
        <v>20000</v>
      </c>
      <c r="F208" s="1119">
        <f t="shared" si="19"/>
        <v>1750</v>
      </c>
      <c r="G208" s="1121">
        <f t="shared" si="20"/>
        <v>9.5890410958904104E-2</v>
      </c>
      <c r="J208" s="1122"/>
    </row>
    <row r="209" spans="2:10" x14ac:dyDescent="0.25">
      <c r="B209" s="1118">
        <v>18250</v>
      </c>
      <c r="C209" s="1104">
        <v>3150</v>
      </c>
      <c r="D209" s="1119">
        <f t="shared" si="18"/>
        <v>19000</v>
      </c>
      <c r="E209" s="1149">
        <f t="shared" si="17"/>
        <v>20000</v>
      </c>
      <c r="F209" s="1119">
        <f t="shared" si="19"/>
        <v>1750</v>
      </c>
      <c r="G209" s="1121">
        <f t="shared" si="20"/>
        <v>9.5890410958904104E-2</v>
      </c>
      <c r="J209" s="1122"/>
    </row>
    <row r="210" spans="2:10" x14ac:dyDescent="0.25">
      <c r="B210" s="1118">
        <v>18250</v>
      </c>
      <c r="C210" s="1104">
        <v>3150</v>
      </c>
      <c r="D210" s="1119">
        <f t="shared" si="18"/>
        <v>19000</v>
      </c>
      <c r="E210" s="1149">
        <f t="shared" si="17"/>
        <v>20000</v>
      </c>
      <c r="F210" s="1119">
        <f t="shared" si="19"/>
        <v>1750</v>
      </c>
      <c r="G210" s="1121">
        <f t="shared" si="20"/>
        <v>9.5890410958904104E-2</v>
      </c>
      <c r="J210" s="1122"/>
    </row>
    <row r="211" spans="2:10" x14ac:dyDescent="0.25">
      <c r="B211" s="1118">
        <v>18250</v>
      </c>
      <c r="C211" s="1104">
        <v>3150</v>
      </c>
      <c r="D211" s="1119">
        <f t="shared" si="18"/>
        <v>19000</v>
      </c>
      <c r="E211" s="1149">
        <f t="shared" si="17"/>
        <v>20000</v>
      </c>
      <c r="F211" s="1119">
        <f t="shared" si="19"/>
        <v>1750</v>
      </c>
      <c r="G211" s="1121">
        <f t="shared" si="20"/>
        <v>9.5890410958904104E-2</v>
      </c>
      <c r="J211" s="1122"/>
    </row>
    <row r="212" spans="2:10" x14ac:dyDescent="0.25">
      <c r="B212" s="1118">
        <v>18250</v>
      </c>
      <c r="C212" s="1104">
        <v>3150</v>
      </c>
      <c r="D212" s="1119">
        <f t="shared" si="18"/>
        <v>19000</v>
      </c>
      <c r="E212" s="1149">
        <f t="shared" si="17"/>
        <v>20000</v>
      </c>
      <c r="F212" s="1119">
        <f t="shared" si="19"/>
        <v>1750</v>
      </c>
      <c r="G212" s="1121">
        <f t="shared" si="20"/>
        <v>9.5890410958904104E-2</v>
      </c>
      <c r="J212" s="1122"/>
    </row>
    <row r="213" spans="2:10" x14ac:dyDescent="0.25">
      <c r="B213" s="1118">
        <v>18250</v>
      </c>
      <c r="C213" s="1104">
        <v>3150</v>
      </c>
      <c r="D213" s="1119">
        <f t="shared" si="18"/>
        <v>19000</v>
      </c>
      <c r="E213" s="1149">
        <f t="shared" si="17"/>
        <v>20000</v>
      </c>
      <c r="F213" s="1119">
        <f t="shared" si="19"/>
        <v>1750</v>
      </c>
      <c r="G213" s="1121">
        <f t="shared" si="20"/>
        <v>9.5890410958904104E-2</v>
      </c>
      <c r="J213" s="1122"/>
    </row>
    <row r="214" spans="2:10" x14ac:dyDescent="0.25">
      <c r="B214" s="1118">
        <v>18250</v>
      </c>
      <c r="C214" s="1104">
        <v>3150</v>
      </c>
      <c r="D214" s="1119">
        <f t="shared" si="18"/>
        <v>19000</v>
      </c>
      <c r="E214" s="1149">
        <f t="shared" si="17"/>
        <v>20000</v>
      </c>
      <c r="F214" s="1119">
        <f t="shared" si="19"/>
        <v>1750</v>
      </c>
      <c r="G214" s="1121">
        <f t="shared" si="20"/>
        <v>9.5890410958904104E-2</v>
      </c>
      <c r="J214" s="1122"/>
    </row>
    <row r="215" spans="2:10" x14ac:dyDescent="0.25">
      <c r="B215" s="1118">
        <v>18250</v>
      </c>
      <c r="C215" s="1104">
        <v>3150</v>
      </c>
      <c r="D215" s="1119">
        <f t="shared" si="18"/>
        <v>19000</v>
      </c>
      <c r="E215" s="1149">
        <f t="shared" si="17"/>
        <v>20000</v>
      </c>
      <c r="F215" s="1119">
        <f t="shared" si="19"/>
        <v>1750</v>
      </c>
      <c r="G215" s="1121">
        <f t="shared" si="20"/>
        <v>9.5890410958904104E-2</v>
      </c>
      <c r="J215" s="1122"/>
    </row>
    <row r="216" spans="2:10" x14ac:dyDescent="0.25">
      <c r="B216" s="1118">
        <v>18250</v>
      </c>
      <c r="C216" s="1104">
        <v>3150</v>
      </c>
      <c r="D216" s="1119">
        <f t="shared" si="18"/>
        <v>19000</v>
      </c>
      <c r="E216" s="1149">
        <f t="shared" si="17"/>
        <v>20000</v>
      </c>
      <c r="F216" s="1119">
        <f t="shared" si="19"/>
        <v>1750</v>
      </c>
      <c r="G216" s="1121">
        <f t="shared" si="20"/>
        <v>9.5890410958904104E-2</v>
      </c>
      <c r="J216" s="1122"/>
    </row>
    <row r="217" spans="2:10" x14ac:dyDescent="0.25">
      <c r="B217" s="1118">
        <v>18250</v>
      </c>
      <c r="C217" s="1104">
        <v>3150</v>
      </c>
      <c r="D217" s="1119">
        <f t="shared" si="18"/>
        <v>19000</v>
      </c>
      <c r="E217" s="1149">
        <f t="shared" si="17"/>
        <v>20000</v>
      </c>
      <c r="F217" s="1119">
        <f t="shared" si="19"/>
        <v>1750</v>
      </c>
      <c r="G217" s="1121">
        <f t="shared" si="20"/>
        <v>9.5890410958904104E-2</v>
      </c>
      <c r="J217" s="1122"/>
    </row>
    <row r="218" spans="2:10" x14ac:dyDescent="0.25">
      <c r="B218" s="1118">
        <v>18250</v>
      </c>
      <c r="C218" s="1104">
        <v>3150</v>
      </c>
      <c r="D218" s="1119">
        <f t="shared" si="18"/>
        <v>19000</v>
      </c>
      <c r="E218" s="1149">
        <f t="shared" si="17"/>
        <v>20000</v>
      </c>
      <c r="F218" s="1119">
        <f t="shared" si="19"/>
        <v>1750</v>
      </c>
      <c r="G218" s="1121">
        <f t="shared" si="20"/>
        <v>9.5890410958904104E-2</v>
      </c>
      <c r="J218" s="1122"/>
    </row>
    <row r="219" spans="2:10" x14ac:dyDescent="0.25">
      <c r="B219" s="1118">
        <v>18250</v>
      </c>
      <c r="C219" s="1104">
        <v>3150</v>
      </c>
      <c r="D219" s="1119">
        <f t="shared" si="18"/>
        <v>19000</v>
      </c>
      <c r="E219" s="1149">
        <f t="shared" si="17"/>
        <v>20000</v>
      </c>
      <c r="F219" s="1119">
        <f t="shared" si="19"/>
        <v>1750</v>
      </c>
      <c r="G219" s="1121">
        <f t="shared" si="20"/>
        <v>9.5890410958904104E-2</v>
      </c>
      <c r="J219" s="1122"/>
    </row>
    <row r="220" spans="2:10" x14ac:dyDescent="0.25">
      <c r="B220" s="1118">
        <v>18250</v>
      </c>
      <c r="C220" s="1104">
        <v>3150</v>
      </c>
      <c r="D220" s="1119">
        <f t="shared" si="18"/>
        <v>19000</v>
      </c>
      <c r="E220" s="1149">
        <f t="shared" si="17"/>
        <v>20000</v>
      </c>
      <c r="F220" s="1119">
        <f t="shared" si="19"/>
        <v>1750</v>
      </c>
      <c r="G220" s="1121">
        <f t="shared" si="20"/>
        <v>9.5890410958904104E-2</v>
      </c>
      <c r="J220" s="1122"/>
    </row>
    <row r="221" spans="2:10" x14ac:dyDescent="0.25">
      <c r="B221" s="1118">
        <v>18250</v>
      </c>
      <c r="C221" s="1104">
        <v>3150</v>
      </c>
      <c r="D221" s="1119">
        <f t="shared" si="18"/>
        <v>19000</v>
      </c>
      <c r="E221" s="1149">
        <f t="shared" si="17"/>
        <v>20000</v>
      </c>
      <c r="F221" s="1119">
        <f t="shared" si="19"/>
        <v>1750</v>
      </c>
      <c r="G221" s="1121">
        <f t="shared" si="20"/>
        <v>9.5890410958904104E-2</v>
      </c>
      <c r="J221" s="1122"/>
    </row>
    <row r="222" spans="2:10" x14ac:dyDescent="0.25">
      <c r="B222" s="1118">
        <v>18250</v>
      </c>
      <c r="C222" s="1104">
        <v>3150</v>
      </c>
      <c r="D222" s="1119">
        <f t="shared" si="18"/>
        <v>19000</v>
      </c>
      <c r="E222" s="1149">
        <f t="shared" si="17"/>
        <v>20000</v>
      </c>
      <c r="F222" s="1119">
        <f t="shared" si="19"/>
        <v>1750</v>
      </c>
      <c r="G222" s="1121">
        <f t="shared" si="20"/>
        <v>9.5890410958904104E-2</v>
      </c>
      <c r="J222" s="1122"/>
    </row>
    <row r="223" spans="2:10" x14ac:dyDescent="0.25">
      <c r="B223" s="1118">
        <v>18250</v>
      </c>
      <c r="C223" s="1104">
        <v>3150</v>
      </c>
      <c r="D223" s="1119">
        <f t="shared" si="18"/>
        <v>19000</v>
      </c>
      <c r="E223" s="1149">
        <f t="shared" si="17"/>
        <v>20000</v>
      </c>
      <c r="F223" s="1119">
        <f t="shared" si="19"/>
        <v>1750</v>
      </c>
      <c r="G223" s="1121">
        <f t="shared" si="20"/>
        <v>9.5890410958904104E-2</v>
      </c>
      <c r="J223" s="1122"/>
    </row>
    <row r="224" spans="2:10" x14ac:dyDescent="0.25">
      <c r="B224" s="1118">
        <v>18250</v>
      </c>
      <c r="C224" s="1104">
        <v>3150</v>
      </c>
      <c r="D224" s="1119">
        <f t="shared" si="18"/>
        <v>19000</v>
      </c>
      <c r="E224" s="1149">
        <f t="shared" si="17"/>
        <v>20000</v>
      </c>
      <c r="F224" s="1119">
        <f t="shared" si="19"/>
        <v>1750</v>
      </c>
      <c r="G224" s="1121">
        <f t="shared" si="20"/>
        <v>9.5890410958904104E-2</v>
      </c>
      <c r="J224" s="1122"/>
    </row>
    <row r="225" spans="2:10" x14ac:dyDescent="0.25">
      <c r="B225" s="1118">
        <v>18300</v>
      </c>
      <c r="C225" s="1104">
        <v>3150</v>
      </c>
      <c r="D225" s="1119">
        <f t="shared" si="18"/>
        <v>19000</v>
      </c>
      <c r="E225" s="1149">
        <f t="shared" si="17"/>
        <v>20000</v>
      </c>
      <c r="F225" s="1119">
        <f t="shared" si="19"/>
        <v>1700</v>
      </c>
      <c r="G225" s="1121">
        <f t="shared" si="20"/>
        <v>9.2896174863387984E-2</v>
      </c>
      <c r="J225" s="1122"/>
    </row>
    <row r="226" spans="2:10" x14ac:dyDescent="0.25">
      <c r="B226" s="1118">
        <v>18304</v>
      </c>
      <c r="C226" s="1104">
        <v>3150</v>
      </c>
      <c r="D226" s="1119">
        <f t="shared" si="18"/>
        <v>19000</v>
      </c>
      <c r="E226" s="1149">
        <f t="shared" si="17"/>
        <v>20000</v>
      </c>
      <c r="F226" s="1119">
        <f t="shared" si="19"/>
        <v>1696</v>
      </c>
      <c r="G226" s="1121">
        <f t="shared" si="20"/>
        <v>9.2657342657342656E-2</v>
      </c>
      <c r="J226" s="1122"/>
    </row>
    <row r="227" spans="2:10" x14ac:dyDescent="0.25">
      <c r="B227" s="1118">
        <v>18494.55</v>
      </c>
      <c r="C227" s="1104">
        <v>3150</v>
      </c>
      <c r="D227" s="1119">
        <f t="shared" si="18"/>
        <v>19000</v>
      </c>
      <c r="E227" s="1149">
        <f t="shared" si="17"/>
        <v>20000</v>
      </c>
      <c r="F227" s="1119">
        <f t="shared" si="19"/>
        <v>1505.4500000000007</v>
      </c>
      <c r="G227" s="1121">
        <f t="shared" si="20"/>
        <v>8.1399655574209737E-2</v>
      </c>
      <c r="J227" s="1122"/>
    </row>
    <row r="228" spans="2:10" x14ac:dyDescent="0.25">
      <c r="B228" s="1118">
        <v>18615</v>
      </c>
      <c r="C228" s="1104">
        <v>3150</v>
      </c>
      <c r="D228" s="1119">
        <f t="shared" si="18"/>
        <v>19000</v>
      </c>
      <c r="E228" s="1149">
        <f t="shared" si="17"/>
        <v>20000</v>
      </c>
      <c r="F228" s="1119">
        <f t="shared" si="19"/>
        <v>1385</v>
      </c>
      <c r="G228" s="1121">
        <f t="shared" si="20"/>
        <v>7.4402363685200104E-2</v>
      </c>
      <c r="J228" s="1122"/>
    </row>
    <row r="229" spans="2:10" x14ac:dyDescent="0.25">
      <c r="B229" s="1118">
        <v>18629.599999999999</v>
      </c>
      <c r="C229" s="1104">
        <v>3150</v>
      </c>
      <c r="D229" s="1119">
        <f t="shared" si="18"/>
        <v>19000</v>
      </c>
      <c r="E229" s="1149">
        <f t="shared" si="17"/>
        <v>20000</v>
      </c>
      <c r="F229" s="1119">
        <f t="shared" si="19"/>
        <v>1370.4000000000015</v>
      </c>
      <c r="G229" s="1121">
        <f t="shared" si="20"/>
        <v>7.356035556318985E-2</v>
      </c>
      <c r="J229" s="1122"/>
    </row>
    <row r="230" spans="2:10" x14ac:dyDescent="0.25">
      <c r="B230" s="1118">
        <v>18948</v>
      </c>
      <c r="C230" s="1104">
        <v>3150</v>
      </c>
      <c r="D230" s="1119">
        <f t="shared" si="18"/>
        <v>19000</v>
      </c>
      <c r="E230" s="1149">
        <f t="shared" si="17"/>
        <v>20000</v>
      </c>
      <c r="F230" s="1119">
        <f t="shared" si="19"/>
        <v>1052</v>
      </c>
      <c r="G230" s="1121">
        <f t="shared" si="20"/>
        <v>5.5520371543170785E-2</v>
      </c>
      <c r="J230" s="1122"/>
    </row>
    <row r="231" spans="2:10" x14ac:dyDescent="0.25">
      <c r="B231" s="1118">
        <v>18950.8</v>
      </c>
      <c r="C231" s="1104">
        <v>3288</v>
      </c>
      <c r="D231" s="1119">
        <f t="shared" si="18"/>
        <v>19000</v>
      </c>
      <c r="E231" s="1149">
        <f t="shared" si="17"/>
        <v>20000</v>
      </c>
      <c r="F231" s="1119">
        <f t="shared" si="19"/>
        <v>1049.2000000000007</v>
      </c>
      <c r="G231" s="1121">
        <f t="shared" si="20"/>
        <v>5.536441733330523E-2</v>
      </c>
      <c r="J231" s="1122"/>
    </row>
    <row r="232" spans="2:10" x14ac:dyDescent="0.25">
      <c r="B232" s="1118">
        <v>18960</v>
      </c>
      <c r="C232" s="1104">
        <v>3288</v>
      </c>
      <c r="D232" s="1119">
        <f t="shared" si="18"/>
        <v>19000</v>
      </c>
      <c r="E232" s="1149">
        <f t="shared" si="17"/>
        <v>20000</v>
      </c>
      <c r="F232" s="1119">
        <f t="shared" si="19"/>
        <v>1040</v>
      </c>
      <c r="G232" s="1121">
        <f t="shared" si="20"/>
        <v>5.4852320675105488E-2</v>
      </c>
      <c r="J232" s="1122"/>
    </row>
    <row r="233" spans="2:10" x14ac:dyDescent="0.25">
      <c r="B233" s="1118">
        <v>18994.599999999999</v>
      </c>
      <c r="C233" s="1104">
        <v>3288</v>
      </c>
      <c r="D233" s="1119">
        <f t="shared" si="18"/>
        <v>19000</v>
      </c>
      <c r="E233" s="1149">
        <f t="shared" si="17"/>
        <v>20000</v>
      </c>
      <c r="F233" s="1119">
        <f t="shared" si="19"/>
        <v>1005.4000000000015</v>
      </c>
      <c r="G233" s="1121">
        <f t="shared" si="20"/>
        <v>5.2930832973582045E-2</v>
      </c>
      <c r="J233" s="1122"/>
    </row>
    <row r="234" spans="2:10" x14ac:dyDescent="0.25">
      <c r="B234" s="1118">
        <v>18998.25</v>
      </c>
      <c r="C234" s="1104">
        <v>3150</v>
      </c>
      <c r="D234" s="1119">
        <f t="shared" si="18"/>
        <v>19000</v>
      </c>
      <c r="E234" s="1149">
        <f t="shared" si="17"/>
        <v>20000</v>
      </c>
      <c r="F234" s="1119">
        <f t="shared" si="19"/>
        <v>1001.75</v>
      </c>
      <c r="G234" s="1121">
        <f t="shared" si="20"/>
        <v>5.2728540786651401E-2</v>
      </c>
      <c r="J234" s="1122"/>
    </row>
    <row r="235" spans="2:10" x14ac:dyDescent="0.25">
      <c r="B235" s="1118">
        <v>19000</v>
      </c>
      <c r="C235" s="1104">
        <v>3150</v>
      </c>
      <c r="D235" s="1119">
        <f t="shared" si="18"/>
        <v>19000</v>
      </c>
      <c r="E235" s="1149">
        <f t="shared" si="17"/>
        <v>20000</v>
      </c>
      <c r="F235" s="1119">
        <f t="shared" si="19"/>
        <v>1000</v>
      </c>
      <c r="G235" s="1121">
        <f t="shared" si="20"/>
        <v>5.2631578947368418E-2</v>
      </c>
      <c r="J235" s="1122"/>
    </row>
    <row r="236" spans="2:10" x14ac:dyDescent="0.25">
      <c r="B236" s="1118">
        <v>19023</v>
      </c>
      <c r="C236" s="1104">
        <v>3288</v>
      </c>
      <c r="D236" s="1119">
        <f t="shared" si="18"/>
        <v>20000</v>
      </c>
      <c r="E236" s="1149">
        <f t="shared" si="17"/>
        <v>20000</v>
      </c>
      <c r="F236" s="1119">
        <f t="shared" si="19"/>
        <v>977</v>
      </c>
      <c r="G236" s="1121">
        <f t="shared" si="20"/>
        <v>5.1358881354150239E-2</v>
      </c>
      <c r="J236" s="1122"/>
    </row>
    <row r="237" spans="2:10" x14ac:dyDescent="0.25">
      <c r="B237" s="1118">
        <v>19023.8</v>
      </c>
      <c r="C237" s="1104">
        <v>3150</v>
      </c>
      <c r="D237" s="1119">
        <f t="shared" si="18"/>
        <v>20000</v>
      </c>
      <c r="E237" s="1149">
        <f t="shared" si="17"/>
        <v>20000</v>
      </c>
      <c r="F237" s="1119">
        <f t="shared" si="19"/>
        <v>976.20000000000073</v>
      </c>
      <c r="G237" s="1121">
        <f t="shared" si="20"/>
        <v>5.1314668993576507E-2</v>
      </c>
      <c r="J237" s="1122"/>
    </row>
    <row r="238" spans="2:10" x14ac:dyDescent="0.25">
      <c r="B238" s="1118">
        <v>19080</v>
      </c>
      <c r="C238" s="1104">
        <v>3150</v>
      </c>
      <c r="D238" s="1119">
        <f t="shared" si="18"/>
        <v>20000</v>
      </c>
      <c r="E238" s="1149">
        <f t="shared" si="17"/>
        <v>20000</v>
      </c>
      <c r="F238" s="1119">
        <f t="shared" si="19"/>
        <v>920</v>
      </c>
      <c r="G238" s="1121">
        <f t="shared" si="20"/>
        <v>4.8218029350104823E-2</v>
      </c>
      <c r="J238" s="1122"/>
    </row>
    <row r="239" spans="2:10" x14ac:dyDescent="0.25">
      <c r="B239" s="1118">
        <v>19297.55</v>
      </c>
      <c r="C239" s="1104">
        <v>3288</v>
      </c>
      <c r="D239" s="1119">
        <f t="shared" si="18"/>
        <v>20000</v>
      </c>
      <c r="E239" s="1149">
        <f t="shared" si="17"/>
        <v>20000</v>
      </c>
      <c r="F239" s="1119">
        <f t="shared" si="19"/>
        <v>702.45000000000073</v>
      </c>
      <c r="G239" s="1121">
        <f t="shared" si="20"/>
        <v>3.6400993908553197E-2</v>
      </c>
      <c r="J239" s="1122"/>
    </row>
    <row r="240" spans="2:10" x14ac:dyDescent="0.25">
      <c r="B240" s="1118">
        <v>19359.599999999999</v>
      </c>
      <c r="C240" s="1104">
        <v>3150</v>
      </c>
      <c r="D240" s="1119">
        <f t="shared" si="18"/>
        <v>20000</v>
      </c>
      <c r="E240" s="1149">
        <f t="shared" si="17"/>
        <v>20000</v>
      </c>
      <c r="F240" s="1119">
        <f t="shared" si="19"/>
        <v>640.40000000000146</v>
      </c>
      <c r="G240" s="1121">
        <f t="shared" si="20"/>
        <v>3.3079195851154028E-2</v>
      </c>
      <c r="J240" s="1122"/>
    </row>
    <row r="241" spans="2:10" x14ac:dyDescent="0.25">
      <c r="B241" s="1118">
        <v>19407.05</v>
      </c>
      <c r="C241" s="1104">
        <v>3150</v>
      </c>
      <c r="D241" s="1119">
        <f t="shared" si="18"/>
        <v>20000</v>
      </c>
      <c r="E241" s="1149">
        <f t="shared" si="17"/>
        <v>20000</v>
      </c>
      <c r="F241" s="1119">
        <f t="shared" si="19"/>
        <v>592.95000000000073</v>
      </c>
      <c r="G241" s="1121">
        <f t="shared" si="20"/>
        <v>3.0553329846627938E-2</v>
      </c>
      <c r="J241" s="1122"/>
    </row>
    <row r="242" spans="2:10" x14ac:dyDescent="0.25">
      <c r="B242" s="1118">
        <v>19407.05</v>
      </c>
      <c r="C242" s="1104">
        <v>3150</v>
      </c>
      <c r="D242" s="1119">
        <f t="shared" si="18"/>
        <v>20000</v>
      </c>
      <c r="E242" s="1149">
        <f t="shared" si="17"/>
        <v>20000</v>
      </c>
      <c r="F242" s="1119">
        <f t="shared" si="19"/>
        <v>592.95000000000073</v>
      </c>
      <c r="G242" s="1121">
        <f t="shared" si="20"/>
        <v>3.0553329846627938E-2</v>
      </c>
      <c r="J242" s="1122"/>
    </row>
    <row r="243" spans="2:10" x14ac:dyDescent="0.25">
      <c r="B243" s="1118">
        <v>19407.05</v>
      </c>
      <c r="C243" s="1104">
        <v>3150</v>
      </c>
      <c r="D243" s="1119">
        <f t="shared" si="18"/>
        <v>20000</v>
      </c>
      <c r="E243" s="1149">
        <f t="shared" si="17"/>
        <v>20000</v>
      </c>
      <c r="F243" s="1119">
        <f t="shared" si="19"/>
        <v>592.95000000000073</v>
      </c>
      <c r="G243" s="1121">
        <f t="shared" si="20"/>
        <v>3.0553329846627938E-2</v>
      </c>
      <c r="J243" s="1122"/>
    </row>
    <row r="244" spans="2:10" x14ac:dyDescent="0.25">
      <c r="B244" s="1118">
        <v>19498.3</v>
      </c>
      <c r="C244" s="1104">
        <v>3150</v>
      </c>
      <c r="D244" s="1119">
        <f t="shared" si="18"/>
        <v>20000</v>
      </c>
      <c r="E244" s="1149">
        <f t="shared" si="17"/>
        <v>20000</v>
      </c>
      <c r="F244" s="1119">
        <f t="shared" si="19"/>
        <v>501.70000000000073</v>
      </c>
      <c r="G244" s="1121">
        <f t="shared" si="20"/>
        <v>2.5730448295492467E-2</v>
      </c>
      <c r="J244" s="1122"/>
    </row>
    <row r="245" spans="2:10" x14ac:dyDescent="0.25">
      <c r="B245" s="1118">
        <v>19510</v>
      </c>
      <c r="C245" s="1104">
        <v>3150</v>
      </c>
      <c r="D245" s="1119">
        <f t="shared" si="18"/>
        <v>20000</v>
      </c>
      <c r="E245" s="1149">
        <f t="shared" ref="E245:E274" si="21">IF(B245&lt;=20000,20000)</f>
        <v>20000</v>
      </c>
      <c r="F245" s="1119">
        <f t="shared" si="19"/>
        <v>490</v>
      </c>
      <c r="G245" s="1121">
        <f t="shared" si="20"/>
        <v>2.5115325474115838E-2</v>
      </c>
      <c r="J245" s="1122"/>
    </row>
    <row r="246" spans="2:10" x14ac:dyDescent="0.25">
      <c r="B246" s="1118">
        <v>19510</v>
      </c>
      <c r="C246" s="1104">
        <v>3150</v>
      </c>
      <c r="D246" s="1119">
        <f t="shared" si="18"/>
        <v>20000</v>
      </c>
      <c r="E246" s="1149">
        <f t="shared" si="21"/>
        <v>20000</v>
      </c>
      <c r="F246" s="1119">
        <f t="shared" si="19"/>
        <v>490</v>
      </c>
      <c r="G246" s="1121">
        <f t="shared" si="20"/>
        <v>2.5115325474115838E-2</v>
      </c>
      <c r="J246" s="1122"/>
    </row>
    <row r="247" spans="2:10" x14ac:dyDescent="0.25">
      <c r="B247" s="1118">
        <v>19510</v>
      </c>
      <c r="C247" s="1104">
        <v>3150</v>
      </c>
      <c r="D247" s="1119">
        <f t="shared" si="18"/>
        <v>20000</v>
      </c>
      <c r="E247" s="1149">
        <f t="shared" si="21"/>
        <v>20000</v>
      </c>
      <c r="F247" s="1119">
        <f t="shared" si="19"/>
        <v>490</v>
      </c>
      <c r="G247" s="1121">
        <f t="shared" si="20"/>
        <v>2.5115325474115838E-2</v>
      </c>
      <c r="J247" s="1122"/>
    </row>
    <row r="248" spans="2:10" x14ac:dyDescent="0.25">
      <c r="B248" s="1118">
        <v>19510</v>
      </c>
      <c r="C248" s="1104">
        <v>3150</v>
      </c>
      <c r="D248" s="1119">
        <f t="shared" si="18"/>
        <v>20000</v>
      </c>
      <c r="E248" s="1149">
        <f t="shared" si="21"/>
        <v>20000</v>
      </c>
      <c r="F248" s="1119">
        <f t="shared" si="19"/>
        <v>490</v>
      </c>
      <c r="G248" s="1121">
        <f t="shared" si="20"/>
        <v>2.5115325474115838E-2</v>
      </c>
      <c r="J248" s="1122"/>
    </row>
    <row r="249" spans="2:10" x14ac:dyDescent="0.25">
      <c r="B249" s="1118">
        <v>19510</v>
      </c>
      <c r="C249" s="1104">
        <v>3150</v>
      </c>
      <c r="D249" s="1119">
        <f t="shared" si="18"/>
        <v>20000</v>
      </c>
      <c r="E249" s="1149">
        <f t="shared" si="21"/>
        <v>20000</v>
      </c>
      <c r="F249" s="1119">
        <f t="shared" si="19"/>
        <v>490</v>
      </c>
      <c r="G249" s="1121">
        <f t="shared" si="20"/>
        <v>2.5115325474115838E-2</v>
      </c>
      <c r="J249" s="1122"/>
    </row>
    <row r="250" spans="2:10" x14ac:dyDescent="0.25">
      <c r="B250" s="1118">
        <v>19510</v>
      </c>
      <c r="C250" s="1104">
        <v>3150</v>
      </c>
      <c r="D250" s="1119">
        <f t="shared" si="18"/>
        <v>20000</v>
      </c>
      <c r="E250" s="1149">
        <f t="shared" si="21"/>
        <v>20000</v>
      </c>
      <c r="F250" s="1119">
        <f t="shared" si="19"/>
        <v>490</v>
      </c>
      <c r="G250" s="1121">
        <f t="shared" si="20"/>
        <v>2.5115325474115838E-2</v>
      </c>
      <c r="J250" s="1122"/>
    </row>
    <row r="251" spans="2:10" x14ac:dyDescent="0.25">
      <c r="B251" s="1118">
        <v>19510</v>
      </c>
      <c r="C251" s="1104">
        <v>3150</v>
      </c>
      <c r="D251" s="1119">
        <f t="shared" si="18"/>
        <v>20000</v>
      </c>
      <c r="E251" s="1149">
        <f t="shared" si="21"/>
        <v>20000</v>
      </c>
      <c r="F251" s="1119">
        <f t="shared" si="19"/>
        <v>490</v>
      </c>
      <c r="G251" s="1121">
        <f t="shared" si="20"/>
        <v>2.5115325474115838E-2</v>
      </c>
      <c r="J251" s="1122"/>
    </row>
    <row r="252" spans="2:10" x14ac:dyDescent="0.25">
      <c r="B252" s="1118">
        <v>19510</v>
      </c>
      <c r="C252" s="1104">
        <v>3150</v>
      </c>
      <c r="D252" s="1119">
        <f t="shared" si="18"/>
        <v>20000</v>
      </c>
      <c r="E252" s="1149">
        <f t="shared" si="21"/>
        <v>20000</v>
      </c>
      <c r="F252" s="1119">
        <f t="shared" si="19"/>
        <v>490</v>
      </c>
      <c r="G252" s="1121">
        <f t="shared" si="20"/>
        <v>2.5115325474115838E-2</v>
      </c>
      <c r="J252" s="1122"/>
    </row>
    <row r="253" spans="2:10" x14ac:dyDescent="0.25">
      <c r="B253" s="1118">
        <v>19510</v>
      </c>
      <c r="C253" s="1104">
        <v>3150</v>
      </c>
      <c r="D253" s="1119">
        <f t="shared" si="18"/>
        <v>20000</v>
      </c>
      <c r="E253" s="1149">
        <f t="shared" si="21"/>
        <v>20000</v>
      </c>
      <c r="F253" s="1119">
        <f t="shared" si="19"/>
        <v>490</v>
      </c>
      <c r="G253" s="1121">
        <f t="shared" si="20"/>
        <v>2.5115325474115838E-2</v>
      </c>
      <c r="J253" s="1122"/>
    </row>
    <row r="254" spans="2:10" x14ac:dyDescent="0.25">
      <c r="B254" s="1118">
        <v>19510</v>
      </c>
      <c r="C254" s="1104">
        <v>3150</v>
      </c>
      <c r="D254" s="1119">
        <f t="shared" si="18"/>
        <v>20000</v>
      </c>
      <c r="E254" s="1149">
        <f t="shared" si="21"/>
        <v>20000</v>
      </c>
      <c r="F254" s="1119">
        <f t="shared" si="19"/>
        <v>490</v>
      </c>
      <c r="G254" s="1121">
        <f t="shared" si="20"/>
        <v>2.5115325474115838E-2</v>
      </c>
      <c r="J254" s="1122"/>
    </row>
    <row r="255" spans="2:10" x14ac:dyDescent="0.25">
      <c r="B255" s="1118">
        <v>19510</v>
      </c>
      <c r="C255" s="1104">
        <v>3150</v>
      </c>
      <c r="D255" s="1119">
        <f t="shared" si="18"/>
        <v>20000</v>
      </c>
      <c r="E255" s="1149">
        <f t="shared" si="21"/>
        <v>20000</v>
      </c>
      <c r="F255" s="1119">
        <f t="shared" si="19"/>
        <v>490</v>
      </c>
      <c r="G255" s="1121">
        <f t="shared" si="20"/>
        <v>2.5115325474115838E-2</v>
      </c>
      <c r="J255" s="1122"/>
    </row>
    <row r="256" spans="2:10" x14ac:dyDescent="0.25">
      <c r="B256" s="1118">
        <v>19510</v>
      </c>
      <c r="C256" s="1104">
        <v>3150</v>
      </c>
      <c r="D256" s="1119">
        <f t="shared" si="18"/>
        <v>20000</v>
      </c>
      <c r="E256" s="1149">
        <f t="shared" si="21"/>
        <v>20000</v>
      </c>
      <c r="F256" s="1119">
        <f t="shared" si="19"/>
        <v>490</v>
      </c>
      <c r="G256" s="1121">
        <f t="shared" si="20"/>
        <v>2.5115325474115838E-2</v>
      </c>
      <c r="J256" s="1122"/>
    </row>
    <row r="257" spans="2:10" x14ac:dyDescent="0.25">
      <c r="B257" s="1118">
        <v>19510</v>
      </c>
      <c r="C257" s="1104">
        <v>3150</v>
      </c>
      <c r="D257" s="1119">
        <f t="shared" si="18"/>
        <v>20000</v>
      </c>
      <c r="E257" s="1149">
        <f t="shared" si="21"/>
        <v>20000</v>
      </c>
      <c r="F257" s="1119">
        <f t="shared" si="19"/>
        <v>490</v>
      </c>
      <c r="G257" s="1121">
        <f t="shared" si="20"/>
        <v>2.5115325474115838E-2</v>
      </c>
      <c r="J257" s="1122"/>
    </row>
    <row r="258" spans="2:10" x14ac:dyDescent="0.25">
      <c r="B258" s="1118">
        <v>19510</v>
      </c>
      <c r="C258" s="1104">
        <v>3150</v>
      </c>
      <c r="D258" s="1119">
        <f t="shared" ref="D258:D321" si="22">ROUNDUP(B258,-3)</f>
        <v>20000</v>
      </c>
      <c r="E258" s="1149">
        <f t="shared" si="21"/>
        <v>20000</v>
      </c>
      <c r="F258" s="1119">
        <f t="shared" ref="F258:F321" si="23">E258-B258</f>
        <v>490</v>
      </c>
      <c r="G258" s="1121">
        <f t="shared" ref="G258:G321" si="24">F258/B258</f>
        <v>2.5115325474115838E-2</v>
      </c>
      <c r="J258" s="1122"/>
    </row>
    <row r="259" spans="2:10" x14ac:dyDescent="0.25">
      <c r="B259" s="1118">
        <v>19510</v>
      </c>
      <c r="C259" s="1104">
        <v>3150</v>
      </c>
      <c r="D259" s="1119">
        <f t="shared" si="22"/>
        <v>20000</v>
      </c>
      <c r="E259" s="1149">
        <f t="shared" si="21"/>
        <v>20000</v>
      </c>
      <c r="F259" s="1119">
        <f t="shared" si="23"/>
        <v>490</v>
      </c>
      <c r="G259" s="1121">
        <f t="shared" si="24"/>
        <v>2.5115325474115838E-2</v>
      </c>
      <c r="J259" s="1122"/>
    </row>
    <row r="260" spans="2:10" x14ac:dyDescent="0.25">
      <c r="B260" s="1118">
        <v>19650</v>
      </c>
      <c r="C260" s="1104">
        <v>3150</v>
      </c>
      <c r="D260" s="1119">
        <f t="shared" si="22"/>
        <v>20000</v>
      </c>
      <c r="E260" s="1149">
        <f t="shared" si="21"/>
        <v>20000</v>
      </c>
      <c r="F260" s="1119">
        <f t="shared" si="23"/>
        <v>350</v>
      </c>
      <c r="G260" s="1121">
        <f t="shared" si="24"/>
        <v>1.7811704834605598E-2</v>
      </c>
      <c r="J260" s="1122"/>
    </row>
    <row r="261" spans="2:10" x14ac:dyDescent="0.25">
      <c r="B261" s="1118">
        <v>19650</v>
      </c>
      <c r="C261" s="1104">
        <v>3150</v>
      </c>
      <c r="D261" s="1119">
        <f t="shared" si="22"/>
        <v>20000</v>
      </c>
      <c r="E261" s="1149">
        <f t="shared" si="21"/>
        <v>20000</v>
      </c>
      <c r="F261" s="1119">
        <f t="shared" si="23"/>
        <v>350</v>
      </c>
      <c r="G261" s="1121">
        <f t="shared" si="24"/>
        <v>1.7811704834605598E-2</v>
      </c>
      <c r="J261" s="1122"/>
    </row>
    <row r="262" spans="2:10" x14ac:dyDescent="0.25">
      <c r="B262" s="1118">
        <v>19964</v>
      </c>
      <c r="C262" s="1104">
        <v>3288</v>
      </c>
      <c r="D262" s="1119">
        <f t="shared" si="22"/>
        <v>20000</v>
      </c>
      <c r="E262" s="1149">
        <f t="shared" si="21"/>
        <v>20000</v>
      </c>
      <c r="F262" s="1119">
        <f t="shared" si="23"/>
        <v>36</v>
      </c>
      <c r="G262" s="1121">
        <f t="shared" si="24"/>
        <v>1.8032458425165298E-3</v>
      </c>
      <c r="J262" s="1122"/>
    </row>
    <row r="263" spans="2:10" x14ac:dyDescent="0.25">
      <c r="B263" s="1118">
        <v>19998.349999999999</v>
      </c>
      <c r="C263" s="1104">
        <v>3150</v>
      </c>
      <c r="D263" s="1119">
        <f t="shared" si="22"/>
        <v>20000</v>
      </c>
      <c r="E263" s="1149">
        <f t="shared" si="21"/>
        <v>20000</v>
      </c>
      <c r="F263" s="1119">
        <f t="shared" si="23"/>
        <v>1.6500000000014552</v>
      </c>
      <c r="G263" s="1121">
        <f t="shared" si="24"/>
        <v>8.2506806811634726E-5</v>
      </c>
      <c r="J263" s="1122"/>
    </row>
    <row r="264" spans="2:10" x14ac:dyDescent="0.25">
      <c r="B264" s="1118">
        <v>19998.349999999999</v>
      </c>
      <c r="C264" s="1104">
        <v>3150</v>
      </c>
      <c r="D264" s="1119">
        <f t="shared" si="22"/>
        <v>20000</v>
      </c>
      <c r="E264" s="1149">
        <f t="shared" si="21"/>
        <v>20000</v>
      </c>
      <c r="F264" s="1119">
        <f t="shared" si="23"/>
        <v>1.6500000000014552</v>
      </c>
      <c r="G264" s="1121">
        <f t="shared" si="24"/>
        <v>8.2506806811634726E-5</v>
      </c>
      <c r="J264" s="1122"/>
    </row>
    <row r="265" spans="2:10" x14ac:dyDescent="0.25">
      <c r="B265" s="1118">
        <v>19998.349999999999</v>
      </c>
      <c r="C265" s="1104">
        <v>3150</v>
      </c>
      <c r="D265" s="1119">
        <f t="shared" si="22"/>
        <v>20000</v>
      </c>
      <c r="E265" s="1149">
        <f t="shared" si="21"/>
        <v>20000</v>
      </c>
      <c r="F265" s="1119">
        <f t="shared" si="23"/>
        <v>1.6500000000014552</v>
      </c>
      <c r="G265" s="1121">
        <f t="shared" si="24"/>
        <v>8.2506806811634726E-5</v>
      </c>
      <c r="J265" s="1122"/>
    </row>
    <row r="266" spans="2:10" x14ac:dyDescent="0.25">
      <c r="B266" s="1118">
        <v>19998.349999999999</v>
      </c>
      <c r="C266" s="1104">
        <v>3150</v>
      </c>
      <c r="D266" s="1119">
        <f t="shared" si="22"/>
        <v>20000</v>
      </c>
      <c r="E266" s="1149">
        <f t="shared" si="21"/>
        <v>20000</v>
      </c>
      <c r="F266" s="1119">
        <f t="shared" si="23"/>
        <v>1.6500000000014552</v>
      </c>
      <c r="G266" s="1121">
        <f t="shared" si="24"/>
        <v>8.2506806811634726E-5</v>
      </c>
      <c r="J266" s="1122"/>
    </row>
    <row r="267" spans="2:10" x14ac:dyDescent="0.25">
      <c r="B267" s="1118">
        <v>19998.349999999999</v>
      </c>
      <c r="C267" s="1104">
        <v>3150</v>
      </c>
      <c r="D267" s="1119">
        <f t="shared" si="22"/>
        <v>20000</v>
      </c>
      <c r="E267" s="1149">
        <f t="shared" si="21"/>
        <v>20000</v>
      </c>
      <c r="F267" s="1119">
        <f t="shared" si="23"/>
        <v>1.6500000000014552</v>
      </c>
      <c r="G267" s="1121">
        <f t="shared" si="24"/>
        <v>8.2506806811634726E-5</v>
      </c>
      <c r="J267" s="1122"/>
    </row>
    <row r="268" spans="2:10" x14ac:dyDescent="0.25">
      <c r="B268" s="1118">
        <v>19998.349999999999</v>
      </c>
      <c r="C268" s="1104">
        <v>3150</v>
      </c>
      <c r="D268" s="1119">
        <f t="shared" si="22"/>
        <v>20000</v>
      </c>
      <c r="E268" s="1149">
        <f t="shared" si="21"/>
        <v>20000</v>
      </c>
      <c r="F268" s="1119">
        <f t="shared" si="23"/>
        <v>1.6500000000014552</v>
      </c>
      <c r="G268" s="1121">
        <f t="shared" si="24"/>
        <v>8.2506806811634726E-5</v>
      </c>
      <c r="J268" s="1122"/>
    </row>
    <row r="269" spans="2:10" x14ac:dyDescent="0.25">
      <c r="B269" s="1118">
        <v>19998.349999999999</v>
      </c>
      <c r="C269" s="1104">
        <v>3150</v>
      </c>
      <c r="D269" s="1119">
        <f t="shared" si="22"/>
        <v>20000</v>
      </c>
      <c r="E269" s="1149">
        <f t="shared" si="21"/>
        <v>20000</v>
      </c>
      <c r="F269" s="1119">
        <f t="shared" si="23"/>
        <v>1.6500000000014552</v>
      </c>
      <c r="G269" s="1121">
        <f t="shared" si="24"/>
        <v>8.2506806811634726E-5</v>
      </c>
      <c r="J269" s="1122"/>
    </row>
    <row r="270" spans="2:10" x14ac:dyDescent="0.25">
      <c r="B270" s="1118">
        <v>19998.349999999999</v>
      </c>
      <c r="C270" s="1104">
        <v>3150</v>
      </c>
      <c r="D270" s="1119">
        <f t="shared" si="22"/>
        <v>20000</v>
      </c>
      <c r="E270" s="1149">
        <f t="shared" si="21"/>
        <v>20000</v>
      </c>
      <c r="F270" s="1119">
        <f t="shared" si="23"/>
        <v>1.6500000000014552</v>
      </c>
      <c r="G270" s="1121">
        <f t="shared" si="24"/>
        <v>8.2506806811634726E-5</v>
      </c>
      <c r="J270" s="1122"/>
    </row>
    <row r="271" spans="2:10" x14ac:dyDescent="0.25">
      <c r="B271" s="1118">
        <v>19998.349999999999</v>
      </c>
      <c r="C271" s="1104">
        <v>3288</v>
      </c>
      <c r="D271" s="1119">
        <f t="shared" si="22"/>
        <v>20000</v>
      </c>
      <c r="E271" s="1149">
        <f t="shared" si="21"/>
        <v>20000</v>
      </c>
      <c r="F271" s="1119">
        <f t="shared" si="23"/>
        <v>1.6500000000014552</v>
      </c>
      <c r="G271" s="1121">
        <f t="shared" si="24"/>
        <v>8.2506806811634726E-5</v>
      </c>
      <c r="J271" s="1122"/>
    </row>
    <row r="272" spans="2:10" x14ac:dyDescent="0.25">
      <c r="B272" s="1118">
        <v>19998.349999999999</v>
      </c>
      <c r="C272" s="1104">
        <v>3288</v>
      </c>
      <c r="D272" s="1119">
        <f t="shared" si="22"/>
        <v>20000</v>
      </c>
      <c r="E272" s="1149">
        <f t="shared" si="21"/>
        <v>20000</v>
      </c>
      <c r="F272" s="1119">
        <f t="shared" si="23"/>
        <v>1.6500000000014552</v>
      </c>
      <c r="G272" s="1121">
        <f t="shared" si="24"/>
        <v>8.2506806811634726E-5</v>
      </c>
      <c r="J272" s="1122"/>
    </row>
    <row r="273" spans="2:10" x14ac:dyDescent="0.25">
      <c r="B273" s="1118">
        <v>20000</v>
      </c>
      <c r="C273" s="1104">
        <v>3150</v>
      </c>
      <c r="D273" s="1119">
        <f t="shared" si="22"/>
        <v>20000</v>
      </c>
      <c r="E273" s="1149">
        <f t="shared" si="21"/>
        <v>20000</v>
      </c>
      <c r="F273" s="1119">
        <f t="shared" si="23"/>
        <v>0</v>
      </c>
      <c r="G273" s="1121">
        <f t="shared" si="24"/>
        <v>0</v>
      </c>
      <c r="J273" s="1122"/>
    </row>
    <row r="274" spans="2:10" x14ac:dyDescent="0.25">
      <c r="B274" s="1118">
        <v>20000</v>
      </c>
      <c r="C274" s="1104">
        <v>3150</v>
      </c>
      <c r="D274" s="1119">
        <f t="shared" si="22"/>
        <v>20000</v>
      </c>
      <c r="E274" s="1149">
        <f t="shared" si="21"/>
        <v>20000</v>
      </c>
      <c r="F274" s="1119">
        <f t="shared" si="23"/>
        <v>0</v>
      </c>
      <c r="G274" s="1121">
        <f t="shared" si="24"/>
        <v>0</v>
      </c>
      <c r="J274" s="1122"/>
    </row>
    <row r="275" spans="2:10" x14ac:dyDescent="0.25">
      <c r="B275" s="1118">
        <v>20002</v>
      </c>
      <c r="C275" s="1104">
        <v>3150</v>
      </c>
      <c r="D275" s="1119">
        <f t="shared" si="22"/>
        <v>21000</v>
      </c>
      <c r="E275" s="1150">
        <v>22500</v>
      </c>
      <c r="F275" s="1119">
        <f t="shared" si="23"/>
        <v>2498</v>
      </c>
      <c r="G275" s="1121">
        <f t="shared" si="24"/>
        <v>0.12488751124887511</v>
      </c>
      <c r="H275" s="1141">
        <v>44</v>
      </c>
      <c r="J275" s="1142">
        <f>AVERAGE(B275:B318)</f>
        <v>21142.372727272726</v>
      </c>
    </row>
    <row r="276" spans="2:10" x14ac:dyDescent="0.25">
      <c r="B276" s="1118">
        <v>20002</v>
      </c>
      <c r="C276" s="1104">
        <v>3150</v>
      </c>
      <c r="D276" s="1119">
        <f t="shared" si="22"/>
        <v>21000</v>
      </c>
      <c r="E276" s="1150">
        <v>22500</v>
      </c>
      <c r="F276" s="1119">
        <f t="shared" si="23"/>
        <v>2498</v>
      </c>
      <c r="G276" s="1121">
        <f t="shared" si="24"/>
        <v>0.12488751124887511</v>
      </c>
      <c r="J276" s="1122"/>
    </row>
    <row r="277" spans="2:10" x14ac:dyDescent="0.25">
      <c r="B277" s="1118">
        <v>20009.3</v>
      </c>
      <c r="C277" s="1104">
        <v>3150</v>
      </c>
      <c r="D277" s="1119">
        <f t="shared" si="22"/>
        <v>21000</v>
      </c>
      <c r="E277" s="1150">
        <v>22500</v>
      </c>
      <c r="F277" s="1119">
        <f t="shared" si="23"/>
        <v>2490.7000000000007</v>
      </c>
      <c r="G277" s="1121">
        <f t="shared" si="24"/>
        <v>0.12447711814006492</v>
      </c>
      <c r="J277" s="1122"/>
    </row>
    <row r="278" spans="2:10" x14ac:dyDescent="0.25">
      <c r="B278" s="1118">
        <v>20016.599999999999</v>
      </c>
      <c r="C278" s="1104">
        <v>3150</v>
      </c>
      <c r="D278" s="1119">
        <f t="shared" si="22"/>
        <v>21000</v>
      </c>
      <c r="E278" s="1150">
        <v>22500</v>
      </c>
      <c r="F278" s="1119">
        <f t="shared" si="23"/>
        <v>2483.4000000000015</v>
      </c>
      <c r="G278" s="1121">
        <f t="shared" si="24"/>
        <v>0.12406702436977317</v>
      </c>
      <c r="J278" s="1122"/>
    </row>
    <row r="279" spans="2:10" x14ac:dyDescent="0.25">
      <c r="B279" s="1118">
        <v>20075</v>
      </c>
      <c r="C279" s="1104">
        <v>3150</v>
      </c>
      <c r="D279" s="1119">
        <f t="shared" si="22"/>
        <v>21000</v>
      </c>
      <c r="E279" s="1150">
        <v>22500</v>
      </c>
      <c r="F279" s="1119">
        <f t="shared" si="23"/>
        <v>2425</v>
      </c>
      <c r="G279" s="1121">
        <f t="shared" si="24"/>
        <v>0.12079701120797011</v>
      </c>
      <c r="J279" s="1122"/>
    </row>
    <row r="280" spans="2:10" x14ac:dyDescent="0.25">
      <c r="B280" s="1118">
        <v>20075</v>
      </c>
      <c r="C280" s="1104">
        <v>3150</v>
      </c>
      <c r="D280" s="1119">
        <f t="shared" si="22"/>
        <v>21000</v>
      </c>
      <c r="E280" s="1150">
        <v>22500</v>
      </c>
      <c r="F280" s="1119">
        <f t="shared" si="23"/>
        <v>2425</v>
      </c>
      <c r="G280" s="1121">
        <f t="shared" si="24"/>
        <v>0.12079701120797011</v>
      </c>
      <c r="J280" s="1122"/>
    </row>
    <row r="281" spans="2:10" x14ac:dyDescent="0.25">
      <c r="B281" s="1118">
        <v>20075</v>
      </c>
      <c r="C281" s="1104">
        <v>3150</v>
      </c>
      <c r="D281" s="1119">
        <f t="shared" si="22"/>
        <v>21000</v>
      </c>
      <c r="E281" s="1150">
        <v>22500</v>
      </c>
      <c r="F281" s="1119">
        <f t="shared" si="23"/>
        <v>2425</v>
      </c>
      <c r="G281" s="1121">
        <f t="shared" si="24"/>
        <v>0.12079701120797011</v>
      </c>
      <c r="J281" s="1122"/>
    </row>
    <row r="282" spans="2:10" x14ac:dyDescent="0.25">
      <c r="B282" s="1118">
        <v>20075</v>
      </c>
      <c r="C282" s="1104">
        <v>3150</v>
      </c>
      <c r="D282" s="1119">
        <f t="shared" si="22"/>
        <v>21000</v>
      </c>
      <c r="E282" s="1150">
        <v>22500</v>
      </c>
      <c r="F282" s="1119">
        <f t="shared" si="23"/>
        <v>2425</v>
      </c>
      <c r="G282" s="1121">
        <f t="shared" si="24"/>
        <v>0.12079701120797011</v>
      </c>
      <c r="J282" s="1122"/>
    </row>
    <row r="283" spans="2:10" x14ac:dyDescent="0.25">
      <c r="B283" s="1118">
        <v>20075</v>
      </c>
      <c r="C283" s="1104">
        <v>3150</v>
      </c>
      <c r="D283" s="1119">
        <f t="shared" si="22"/>
        <v>21000</v>
      </c>
      <c r="E283" s="1150">
        <v>22500</v>
      </c>
      <c r="F283" s="1119">
        <f t="shared" si="23"/>
        <v>2425</v>
      </c>
      <c r="G283" s="1121">
        <f t="shared" si="24"/>
        <v>0.12079701120797011</v>
      </c>
      <c r="J283" s="1122"/>
    </row>
    <row r="284" spans="2:10" x14ac:dyDescent="0.25">
      <c r="B284" s="1118">
        <v>20400</v>
      </c>
      <c r="C284" s="1104">
        <v>3150</v>
      </c>
      <c r="D284" s="1119">
        <f t="shared" si="22"/>
        <v>21000</v>
      </c>
      <c r="E284" s="1150">
        <v>22500</v>
      </c>
      <c r="F284" s="1119">
        <f t="shared" si="23"/>
        <v>2100</v>
      </c>
      <c r="G284" s="1121">
        <f t="shared" si="24"/>
        <v>0.10294117647058823</v>
      </c>
      <c r="J284" s="1122"/>
    </row>
    <row r="285" spans="2:10" x14ac:dyDescent="0.25">
      <c r="B285" s="1118">
        <v>20458.25</v>
      </c>
      <c r="C285" s="1104">
        <v>3150</v>
      </c>
      <c r="D285" s="1119">
        <f t="shared" si="22"/>
        <v>21000</v>
      </c>
      <c r="E285" s="1150">
        <v>22500</v>
      </c>
      <c r="F285" s="1119">
        <f t="shared" si="23"/>
        <v>2041.75</v>
      </c>
      <c r="G285" s="1121">
        <f t="shared" si="24"/>
        <v>9.9800813852602255E-2</v>
      </c>
      <c r="J285" s="1122"/>
    </row>
    <row r="286" spans="2:10" x14ac:dyDescent="0.25">
      <c r="B286" s="1118">
        <v>20553.150000000001</v>
      </c>
      <c r="C286" s="1104">
        <v>3150</v>
      </c>
      <c r="D286" s="1119">
        <f t="shared" si="22"/>
        <v>21000</v>
      </c>
      <c r="E286" s="1150">
        <v>22500</v>
      </c>
      <c r="F286" s="1119">
        <f t="shared" si="23"/>
        <v>1946.8499999999985</v>
      </c>
      <c r="G286" s="1121">
        <f t="shared" si="24"/>
        <v>9.4722706738383095E-2</v>
      </c>
      <c r="J286" s="1122"/>
    </row>
    <row r="287" spans="2:10" x14ac:dyDescent="0.25">
      <c r="B287" s="1118">
        <v>20626.150000000001</v>
      </c>
      <c r="C287" s="1104">
        <v>3150</v>
      </c>
      <c r="D287" s="1119">
        <f t="shared" si="22"/>
        <v>21000</v>
      </c>
      <c r="E287" s="1150">
        <v>22500</v>
      </c>
      <c r="F287" s="1119">
        <f t="shared" si="23"/>
        <v>1873.8499999999985</v>
      </c>
      <c r="G287" s="1121">
        <f t="shared" si="24"/>
        <v>9.0848267854155937E-2</v>
      </c>
      <c r="J287" s="1122"/>
    </row>
    <row r="288" spans="2:10" x14ac:dyDescent="0.25">
      <c r="B288" s="1118">
        <v>20675</v>
      </c>
      <c r="C288" s="1104">
        <v>3150</v>
      </c>
      <c r="D288" s="1119">
        <f t="shared" si="22"/>
        <v>21000</v>
      </c>
      <c r="E288" s="1150">
        <v>22500</v>
      </c>
      <c r="F288" s="1119">
        <f t="shared" si="23"/>
        <v>1825</v>
      </c>
      <c r="G288" s="1121">
        <f t="shared" si="24"/>
        <v>8.8270858524788387E-2</v>
      </c>
      <c r="J288" s="1122"/>
    </row>
    <row r="289" spans="2:10" x14ac:dyDescent="0.25">
      <c r="B289" s="1118">
        <v>20805</v>
      </c>
      <c r="C289" s="1104">
        <v>3150</v>
      </c>
      <c r="D289" s="1119">
        <f t="shared" si="22"/>
        <v>21000</v>
      </c>
      <c r="E289" s="1150">
        <v>22500</v>
      </c>
      <c r="F289" s="1119">
        <f t="shared" si="23"/>
        <v>1695</v>
      </c>
      <c r="G289" s="1121">
        <f t="shared" si="24"/>
        <v>8.1470800288392209E-2</v>
      </c>
      <c r="J289" s="1122"/>
    </row>
    <row r="290" spans="2:10" x14ac:dyDescent="0.25">
      <c r="B290" s="1118">
        <v>20988</v>
      </c>
      <c r="C290" s="1104">
        <v>3150</v>
      </c>
      <c r="D290" s="1119">
        <f t="shared" si="22"/>
        <v>21000</v>
      </c>
      <c r="E290" s="1150">
        <v>22500</v>
      </c>
      <c r="F290" s="1119">
        <f t="shared" si="23"/>
        <v>1512</v>
      </c>
      <c r="G290" s="1121">
        <f t="shared" si="24"/>
        <v>7.2041166380789029E-2</v>
      </c>
      <c r="J290" s="1122"/>
    </row>
    <row r="291" spans="2:10" x14ac:dyDescent="0.25">
      <c r="B291" s="1118">
        <v>20994.799999999999</v>
      </c>
      <c r="C291" s="1104">
        <v>3150</v>
      </c>
      <c r="D291" s="1119">
        <f t="shared" si="22"/>
        <v>21000</v>
      </c>
      <c r="E291" s="1150">
        <v>22500</v>
      </c>
      <c r="F291" s="1119">
        <f t="shared" si="23"/>
        <v>1505.2000000000007</v>
      </c>
      <c r="G291" s="1121">
        <f t="shared" si="24"/>
        <v>7.1693943262141138E-2</v>
      </c>
      <c r="J291" s="1122"/>
    </row>
    <row r="292" spans="2:10" x14ac:dyDescent="0.25">
      <c r="B292" s="1118">
        <v>20998.45</v>
      </c>
      <c r="C292" s="1104">
        <v>3150</v>
      </c>
      <c r="D292" s="1119">
        <f t="shared" si="22"/>
        <v>21000</v>
      </c>
      <c r="E292" s="1150">
        <v>22500</v>
      </c>
      <c r="F292" s="1119">
        <f t="shared" si="23"/>
        <v>1501.5499999999993</v>
      </c>
      <c r="G292" s="1121">
        <f t="shared" si="24"/>
        <v>7.1507658898632961E-2</v>
      </c>
      <c r="J292" s="1122"/>
    </row>
    <row r="293" spans="2:10" x14ac:dyDescent="0.25">
      <c r="B293" s="1118">
        <v>21049.55</v>
      </c>
      <c r="C293" s="1104">
        <v>3150</v>
      </c>
      <c r="D293" s="1119">
        <f t="shared" si="22"/>
        <v>22000</v>
      </c>
      <c r="E293" s="1150">
        <v>22500</v>
      </c>
      <c r="F293" s="1119">
        <f t="shared" si="23"/>
        <v>1450.4500000000007</v>
      </c>
      <c r="G293" s="1121">
        <f t="shared" si="24"/>
        <v>6.8906461183255732E-2</v>
      </c>
      <c r="J293" s="1122"/>
    </row>
    <row r="294" spans="2:10" x14ac:dyDescent="0.25">
      <c r="B294" s="1118">
        <v>21204</v>
      </c>
      <c r="C294" s="1104">
        <v>3288</v>
      </c>
      <c r="D294" s="1119">
        <f t="shared" si="22"/>
        <v>22000</v>
      </c>
      <c r="E294" s="1150">
        <v>22500</v>
      </c>
      <c r="F294" s="1119">
        <f t="shared" si="23"/>
        <v>1296</v>
      </c>
      <c r="G294" s="1121">
        <f t="shared" si="24"/>
        <v>6.1120543293718167E-2</v>
      </c>
      <c r="J294" s="1122"/>
    </row>
    <row r="295" spans="2:10" x14ac:dyDescent="0.25">
      <c r="B295" s="1118">
        <v>21217</v>
      </c>
      <c r="C295" s="1104">
        <v>3150</v>
      </c>
      <c r="D295" s="1119">
        <f t="shared" si="22"/>
        <v>22000</v>
      </c>
      <c r="E295" s="1150">
        <v>22500</v>
      </c>
      <c r="F295" s="1119">
        <f t="shared" si="23"/>
        <v>1283</v>
      </c>
      <c r="G295" s="1121">
        <f t="shared" si="24"/>
        <v>6.0470377527454398E-2</v>
      </c>
      <c r="J295" s="1122"/>
    </row>
    <row r="296" spans="2:10" x14ac:dyDescent="0.25">
      <c r="B296" s="1118">
        <v>21340</v>
      </c>
      <c r="C296" s="1104">
        <v>3150</v>
      </c>
      <c r="D296" s="1119">
        <f t="shared" si="22"/>
        <v>22000</v>
      </c>
      <c r="E296" s="1150">
        <v>22500</v>
      </c>
      <c r="F296" s="1119">
        <f t="shared" si="23"/>
        <v>1160</v>
      </c>
      <c r="G296" s="1121">
        <f t="shared" si="24"/>
        <v>5.4358013120899717E-2</v>
      </c>
      <c r="J296" s="1122"/>
    </row>
    <row r="297" spans="2:10" x14ac:dyDescent="0.25">
      <c r="B297" s="1118">
        <v>21340</v>
      </c>
      <c r="C297" s="1104">
        <v>3150</v>
      </c>
      <c r="D297" s="1119">
        <f t="shared" si="22"/>
        <v>22000</v>
      </c>
      <c r="E297" s="1150">
        <v>22500</v>
      </c>
      <c r="F297" s="1119">
        <f t="shared" si="23"/>
        <v>1160</v>
      </c>
      <c r="G297" s="1121">
        <f t="shared" si="24"/>
        <v>5.4358013120899717E-2</v>
      </c>
      <c r="J297" s="1122"/>
    </row>
    <row r="298" spans="2:10" x14ac:dyDescent="0.25">
      <c r="B298" s="1118">
        <v>21340</v>
      </c>
      <c r="C298" s="1104">
        <v>3150</v>
      </c>
      <c r="D298" s="1119">
        <f t="shared" si="22"/>
        <v>22000</v>
      </c>
      <c r="E298" s="1150">
        <v>22500</v>
      </c>
      <c r="F298" s="1119">
        <f t="shared" si="23"/>
        <v>1160</v>
      </c>
      <c r="G298" s="1121">
        <f t="shared" si="24"/>
        <v>5.4358013120899717E-2</v>
      </c>
      <c r="J298" s="1122"/>
    </row>
    <row r="299" spans="2:10" x14ac:dyDescent="0.25">
      <c r="B299" s="1118">
        <v>21340</v>
      </c>
      <c r="C299" s="1104">
        <v>3150</v>
      </c>
      <c r="D299" s="1119">
        <f t="shared" si="22"/>
        <v>22000</v>
      </c>
      <c r="E299" s="1150">
        <v>22500</v>
      </c>
      <c r="F299" s="1119">
        <f t="shared" si="23"/>
        <v>1160</v>
      </c>
      <c r="G299" s="1121">
        <f t="shared" si="24"/>
        <v>5.4358013120899717E-2</v>
      </c>
      <c r="J299" s="1122"/>
    </row>
    <row r="300" spans="2:10" x14ac:dyDescent="0.25">
      <c r="B300" s="1118">
        <v>21348.85</v>
      </c>
      <c r="C300" s="1104">
        <v>3150</v>
      </c>
      <c r="D300" s="1119">
        <f t="shared" si="22"/>
        <v>22000</v>
      </c>
      <c r="E300" s="1150">
        <v>22500</v>
      </c>
      <c r="F300" s="1119">
        <f t="shared" si="23"/>
        <v>1151.1500000000015</v>
      </c>
      <c r="G300" s="1121">
        <f t="shared" si="24"/>
        <v>5.3920937193338354E-2</v>
      </c>
      <c r="J300" s="1122"/>
    </row>
    <row r="301" spans="2:10" x14ac:dyDescent="0.25">
      <c r="B301" s="1118">
        <v>21600</v>
      </c>
      <c r="C301" s="1104">
        <v>3288</v>
      </c>
      <c r="D301" s="1119">
        <f t="shared" si="22"/>
        <v>22000</v>
      </c>
      <c r="E301" s="1150">
        <v>22500</v>
      </c>
      <c r="F301" s="1119">
        <f t="shared" si="23"/>
        <v>900</v>
      </c>
      <c r="G301" s="1121">
        <f t="shared" si="24"/>
        <v>4.1666666666666664E-2</v>
      </c>
      <c r="J301" s="1122"/>
    </row>
    <row r="302" spans="2:10" x14ac:dyDescent="0.25">
      <c r="B302" s="1118">
        <v>21612</v>
      </c>
      <c r="C302" s="1104">
        <v>3150</v>
      </c>
      <c r="D302" s="1119">
        <f t="shared" si="22"/>
        <v>22000</v>
      </c>
      <c r="E302" s="1150">
        <v>22500</v>
      </c>
      <c r="F302" s="1119">
        <f t="shared" si="23"/>
        <v>888</v>
      </c>
      <c r="G302" s="1121">
        <f t="shared" si="24"/>
        <v>4.1088284286507494E-2</v>
      </c>
      <c r="J302" s="1122"/>
    </row>
    <row r="303" spans="2:10" x14ac:dyDescent="0.25">
      <c r="B303" s="1118">
        <v>21615.3</v>
      </c>
      <c r="C303" s="1104">
        <v>3150</v>
      </c>
      <c r="D303" s="1119">
        <f t="shared" si="22"/>
        <v>22000</v>
      </c>
      <c r="E303" s="1150">
        <v>22500</v>
      </c>
      <c r="F303" s="1119">
        <f t="shared" si="23"/>
        <v>884.70000000000073</v>
      </c>
      <c r="G303" s="1121">
        <f t="shared" si="24"/>
        <v>4.0929341716284331E-2</v>
      </c>
      <c r="J303" s="1122"/>
    </row>
    <row r="304" spans="2:10" x14ac:dyDescent="0.25">
      <c r="B304" s="1118">
        <v>21754</v>
      </c>
      <c r="C304" s="1104">
        <v>3150</v>
      </c>
      <c r="D304" s="1119">
        <f t="shared" si="22"/>
        <v>22000</v>
      </c>
      <c r="E304" s="1150">
        <v>22500</v>
      </c>
      <c r="F304" s="1119">
        <f t="shared" si="23"/>
        <v>746</v>
      </c>
      <c r="G304" s="1121">
        <f t="shared" si="24"/>
        <v>3.4292543899972418E-2</v>
      </c>
      <c r="J304" s="1122"/>
    </row>
    <row r="305" spans="2:10" x14ac:dyDescent="0.25">
      <c r="B305" s="1118">
        <v>21900</v>
      </c>
      <c r="C305" s="1104">
        <v>3150</v>
      </c>
      <c r="D305" s="1119">
        <f t="shared" si="22"/>
        <v>22000</v>
      </c>
      <c r="E305" s="1150">
        <v>22500</v>
      </c>
      <c r="F305" s="1119">
        <f t="shared" si="23"/>
        <v>600</v>
      </c>
      <c r="G305" s="1121">
        <f t="shared" si="24"/>
        <v>2.7397260273972601E-2</v>
      </c>
      <c r="J305" s="1122"/>
    </row>
    <row r="306" spans="2:10" x14ac:dyDescent="0.25">
      <c r="B306" s="1118">
        <v>21900</v>
      </c>
      <c r="C306" s="1104">
        <v>3150</v>
      </c>
      <c r="D306" s="1119">
        <f t="shared" si="22"/>
        <v>22000</v>
      </c>
      <c r="E306" s="1150">
        <v>22500</v>
      </c>
      <c r="F306" s="1119">
        <f t="shared" si="23"/>
        <v>600</v>
      </c>
      <c r="G306" s="1121">
        <f t="shared" si="24"/>
        <v>2.7397260273972601E-2</v>
      </c>
      <c r="J306" s="1122"/>
    </row>
    <row r="307" spans="2:10" x14ac:dyDescent="0.25">
      <c r="B307" s="1118">
        <v>21900</v>
      </c>
      <c r="C307" s="1104">
        <v>3150</v>
      </c>
      <c r="D307" s="1119">
        <f t="shared" si="22"/>
        <v>22000</v>
      </c>
      <c r="E307" s="1150">
        <v>22500</v>
      </c>
      <c r="F307" s="1119">
        <f t="shared" si="23"/>
        <v>600</v>
      </c>
      <c r="G307" s="1121">
        <f t="shared" si="24"/>
        <v>2.7397260273972601E-2</v>
      </c>
      <c r="J307" s="1122"/>
    </row>
    <row r="308" spans="2:10" x14ac:dyDescent="0.25">
      <c r="B308" s="1118">
        <v>21900</v>
      </c>
      <c r="C308" s="1104">
        <v>3150</v>
      </c>
      <c r="D308" s="1119">
        <f t="shared" si="22"/>
        <v>22000</v>
      </c>
      <c r="E308" s="1150">
        <v>22500</v>
      </c>
      <c r="F308" s="1119">
        <f t="shared" si="23"/>
        <v>600</v>
      </c>
      <c r="G308" s="1121">
        <f t="shared" si="24"/>
        <v>2.7397260273972601E-2</v>
      </c>
      <c r="J308" s="1122"/>
    </row>
    <row r="309" spans="2:10" x14ac:dyDescent="0.25">
      <c r="B309" s="1118">
        <v>21900</v>
      </c>
      <c r="C309" s="1104">
        <v>3150</v>
      </c>
      <c r="D309" s="1119">
        <f t="shared" si="22"/>
        <v>22000</v>
      </c>
      <c r="E309" s="1150">
        <v>22500</v>
      </c>
      <c r="F309" s="1119">
        <f t="shared" si="23"/>
        <v>600</v>
      </c>
      <c r="G309" s="1121">
        <f t="shared" si="24"/>
        <v>2.7397260273972601E-2</v>
      </c>
      <c r="J309" s="1122"/>
    </row>
    <row r="310" spans="2:10" x14ac:dyDescent="0.25">
      <c r="B310" s="1118">
        <v>21900</v>
      </c>
      <c r="C310" s="1104">
        <v>3150</v>
      </c>
      <c r="D310" s="1119">
        <f t="shared" si="22"/>
        <v>22000</v>
      </c>
      <c r="E310" s="1150">
        <v>22500</v>
      </c>
      <c r="F310" s="1119">
        <f t="shared" si="23"/>
        <v>600</v>
      </c>
      <c r="G310" s="1121">
        <f t="shared" si="24"/>
        <v>2.7397260273972601E-2</v>
      </c>
      <c r="J310" s="1122"/>
    </row>
    <row r="311" spans="2:10" x14ac:dyDescent="0.25">
      <c r="B311" s="1118">
        <v>21900</v>
      </c>
      <c r="C311" s="1104">
        <v>3150</v>
      </c>
      <c r="D311" s="1119">
        <f t="shared" si="22"/>
        <v>22000</v>
      </c>
      <c r="E311" s="1150">
        <v>22500</v>
      </c>
      <c r="F311" s="1119">
        <f t="shared" si="23"/>
        <v>600</v>
      </c>
      <c r="G311" s="1121">
        <f t="shared" si="24"/>
        <v>2.7397260273972601E-2</v>
      </c>
      <c r="J311" s="1122"/>
    </row>
    <row r="312" spans="2:10" x14ac:dyDescent="0.25">
      <c r="B312" s="1118">
        <v>21900</v>
      </c>
      <c r="C312" s="1104">
        <v>3150</v>
      </c>
      <c r="D312" s="1119">
        <f t="shared" si="22"/>
        <v>22000</v>
      </c>
      <c r="E312" s="1150">
        <v>22500</v>
      </c>
      <c r="F312" s="1119">
        <f t="shared" si="23"/>
        <v>600</v>
      </c>
      <c r="G312" s="1121">
        <f t="shared" si="24"/>
        <v>2.7397260273972601E-2</v>
      </c>
      <c r="J312" s="1122"/>
    </row>
    <row r="313" spans="2:10" x14ac:dyDescent="0.25">
      <c r="B313" s="1118">
        <v>21900</v>
      </c>
      <c r="C313" s="1104">
        <v>3150</v>
      </c>
      <c r="D313" s="1119">
        <f t="shared" si="22"/>
        <v>22000</v>
      </c>
      <c r="E313" s="1150">
        <v>22500</v>
      </c>
      <c r="F313" s="1119">
        <f t="shared" si="23"/>
        <v>600</v>
      </c>
      <c r="G313" s="1121">
        <f t="shared" si="24"/>
        <v>2.7397260273972601E-2</v>
      </c>
      <c r="J313" s="1122"/>
    </row>
    <row r="314" spans="2:10" x14ac:dyDescent="0.25">
      <c r="B314" s="1118">
        <v>21900</v>
      </c>
      <c r="C314" s="1104">
        <v>3150</v>
      </c>
      <c r="D314" s="1119">
        <f t="shared" si="22"/>
        <v>22000</v>
      </c>
      <c r="E314" s="1150">
        <v>22500</v>
      </c>
      <c r="F314" s="1119">
        <f t="shared" si="23"/>
        <v>600</v>
      </c>
      <c r="G314" s="1121">
        <f t="shared" si="24"/>
        <v>2.7397260273972601E-2</v>
      </c>
      <c r="J314" s="1122"/>
    </row>
    <row r="315" spans="2:10" x14ac:dyDescent="0.25">
      <c r="B315" s="1118">
        <v>21900</v>
      </c>
      <c r="C315" s="1104">
        <v>3150</v>
      </c>
      <c r="D315" s="1119">
        <f t="shared" si="22"/>
        <v>22000</v>
      </c>
      <c r="E315" s="1150">
        <v>22500</v>
      </c>
      <c r="F315" s="1119">
        <f t="shared" si="23"/>
        <v>600</v>
      </c>
      <c r="G315" s="1121">
        <f t="shared" si="24"/>
        <v>2.7397260273972601E-2</v>
      </c>
      <c r="J315" s="1122"/>
    </row>
    <row r="316" spans="2:10" x14ac:dyDescent="0.25">
      <c r="B316" s="1118">
        <v>21900</v>
      </c>
      <c r="C316" s="1104">
        <v>3150</v>
      </c>
      <c r="D316" s="1119">
        <f t="shared" si="22"/>
        <v>22000</v>
      </c>
      <c r="E316" s="1150">
        <v>22500</v>
      </c>
      <c r="F316" s="1119">
        <f t="shared" si="23"/>
        <v>600</v>
      </c>
      <c r="G316" s="1121">
        <f t="shared" si="24"/>
        <v>2.7397260273972601E-2</v>
      </c>
      <c r="J316" s="1122"/>
    </row>
    <row r="317" spans="2:10" x14ac:dyDescent="0.25">
      <c r="B317" s="1118">
        <v>21900</v>
      </c>
      <c r="C317" s="1104">
        <v>3150</v>
      </c>
      <c r="D317" s="1119">
        <f t="shared" si="22"/>
        <v>22000</v>
      </c>
      <c r="E317" s="1150">
        <v>22500</v>
      </c>
      <c r="F317" s="1119">
        <f t="shared" si="23"/>
        <v>600</v>
      </c>
      <c r="G317" s="1121">
        <f t="shared" si="24"/>
        <v>2.7397260273972601E-2</v>
      </c>
      <c r="J317" s="1122"/>
    </row>
    <row r="318" spans="2:10" x14ac:dyDescent="0.25">
      <c r="B318" s="1118">
        <v>21900</v>
      </c>
      <c r="C318" s="1104">
        <v>3150</v>
      </c>
      <c r="D318" s="1119">
        <f t="shared" si="22"/>
        <v>22000</v>
      </c>
      <c r="E318" s="1150">
        <v>22500</v>
      </c>
      <c r="F318" s="1119">
        <f t="shared" si="23"/>
        <v>600</v>
      </c>
      <c r="G318" s="1121">
        <f t="shared" si="24"/>
        <v>2.7397260273972601E-2</v>
      </c>
      <c r="J318" s="1122"/>
    </row>
    <row r="319" spans="2:10" x14ac:dyDescent="0.25">
      <c r="B319" s="1118">
        <v>22140.9</v>
      </c>
      <c r="C319" s="1104">
        <v>3150</v>
      </c>
      <c r="D319" s="1119">
        <f t="shared" si="22"/>
        <v>23000</v>
      </c>
      <c r="E319" s="1151">
        <f t="shared" ref="E319:E380" si="25">IF(B319&lt;=25000,25000)</f>
        <v>25000</v>
      </c>
      <c r="F319" s="1119">
        <f t="shared" si="23"/>
        <v>2859.0999999999985</v>
      </c>
      <c r="G319" s="1121">
        <f t="shared" si="24"/>
        <v>0.12913205876906533</v>
      </c>
      <c r="H319" s="1141">
        <v>62</v>
      </c>
      <c r="J319" s="1142">
        <f>AVERAGE(B319:B380)</f>
        <v>23764.778225806454</v>
      </c>
    </row>
    <row r="320" spans="2:10" x14ac:dyDescent="0.25">
      <c r="B320" s="1118">
        <v>22200</v>
      </c>
      <c r="C320" s="1104">
        <v>3150</v>
      </c>
      <c r="D320" s="1119">
        <f t="shared" si="22"/>
        <v>23000</v>
      </c>
      <c r="E320" s="1151">
        <f t="shared" si="25"/>
        <v>25000</v>
      </c>
      <c r="F320" s="1119">
        <f t="shared" si="23"/>
        <v>2800</v>
      </c>
      <c r="G320" s="1121">
        <f t="shared" si="24"/>
        <v>0.12612612612612611</v>
      </c>
      <c r="J320" s="1122"/>
    </row>
    <row r="321" spans="2:10" x14ac:dyDescent="0.25">
      <c r="B321" s="1118">
        <v>22328</v>
      </c>
      <c r="C321" s="1104">
        <v>3150</v>
      </c>
      <c r="D321" s="1119">
        <f t="shared" si="22"/>
        <v>23000</v>
      </c>
      <c r="E321" s="1151">
        <f t="shared" si="25"/>
        <v>25000</v>
      </c>
      <c r="F321" s="1119">
        <f t="shared" si="23"/>
        <v>2672</v>
      </c>
      <c r="G321" s="1121">
        <f t="shared" si="24"/>
        <v>0.11967036904335364</v>
      </c>
      <c r="J321" s="1122"/>
    </row>
    <row r="322" spans="2:10" x14ac:dyDescent="0.25">
      <c r="B322" s="1118">
        <v>22348.95</v>
      </c>
      <c r="C322" s="1104">
        <v>3150</v>
      </c>
      <c r="D322" s="1119">
        <f t="shared" ref="D322:D385" si="26">ROUNDUP(B322,-3)</f>
        <v>23000</v>
      </c>
      <c r="E322" s="1151">
        <f t="shared" si="25"/>
        <v>25000</v>
      </c>
      <c r="F322" s="1119">
        <f t="shared" ref="F322:F385" si="27">E322-B322</f>
        <v>2651.0499999999993</v>
      </c>
      <c r="G322" s="1121">
        <f t="shared" ref="G322:G385" si="28">F322/B322</f>
        <v>0.11862078531653608</v>
      </c>
      <c r="J322" s="1122"/>
    </row>
    <row r="323" spans="2:10" x14ac:dyDescent="0.25">
      <c r="B323" s="1118">
        <v>22424</v>
      </c>
      <c r="C323" s="1104">
        <v>3150</v>
      </c>
      <c r="D323" s="1119">
        <f t="shared" si="26"/>
        <v>23000</v>
      </c>
      <c r="E323" s="1151">
        <f t="shared" si="25"/>
        <v>25000</v>
      </c>
      <c r="F323" s="1119">
        <f t="shared" si="27"/>
        <v>2576</v>
      </c>
      <c r="G323" s="1121">
        <f t="shared" si="28"/>
        <v>0.11487691758829825</v>
      </c>
      <c r="J323" s="1122"/>
    </row>
    <row r="324" spans="2:10" x14ac:dyDescent="0.25">
      <c r="B324" s="1118">
        <v>22500</v>
      </c>
      <c r="C324" s="1104">
        <v>3150</v>
      </c>
      <c r="D324" s="1119">
        <f t="shared" si="26"/>
        <v>23000</v>
      </c>
      <c r="E324" s="1151">
        <f t="shared" si="25"/>
        <v>25000</v>
      </c>
      <c r="F324" s="1119">
        <f t="shared" si="27"/>
        <v>2500</v>
      </c>
      <c r="G324" s="1121">
        <f t="shared" si="28"/>
        <v>0.1111111111111111</v>
      </c>
      <c r="J324" s="1122"/>
    </row>
    <row r="325" spans="2:10" x14ac:dyDescent="0.25">
      <c r="B325" s="1118">
        <v>22500</v>
      </c>
      <c r="C325" s="1104">
        <v>3150</v>
      </c>
      <c r="D325" s="1119">
        <f t="shared" si="26"/>
        <v>23000</v>
      </c>
      <c r="E325" s="1151">
        <f t="shared" si="25"/>
        <v>25000</v>
      </c>
      <c r="F325" s="1119">
        <f t="shared" si="27"/>
        <v>2500</v>
      </c>
      <c r="G325" s="1121">
        <f t="shared" si="28"/>
        <v>0.1111111111111111</v>
      </c>
      <c r="J325" s="1122"/>
    </row>
    <row r="326" spans="2:10" x14ac:dyDescent="0.25">
      <c r="B326" s="1118">
        <v>22532</v>
      </c>
      <c r="C326" s="1104">
        <v>3150</v>
      </c>
      <c r="D326" s="1119">
        <f t="shared" si="26"/>
        <v>23000</v>
      </c>
      <c r="E326" s="1151">
        <f t="shared" si="25"/>
        <v>25000</v>
      </c>
      <c r="F326" s="1119">
        <f t="shared" si="27"/>
        <v>2468</v>
      </c>
      <c r="G326" s="1121">
        <f t="shared" si="28"/>
        <v>0.10953310846795668</v>
      </c>
      <c r="J326" s="1122"/>
    </row>
    <row r="327" spans="2:10" x14ac:dyDescent="0.25">
      <c r="B327" s="1118">
        <v>22630</v>
      </c>
      <c r="C327" s="1104">
        <v>3150</v>
      </c>
      <c r="D327" s="1119">
        <f t="shared" si="26"/>
        <v>23000</v>
      </c>
      <c r="E327" s="1151">
        <f t="shared" si="25"/>
        <v>25000</v>
      </c>
      <c r="F327" s="1119">
        <f t="shared" si="27"/>
        <v>2370</v>
      </c>
      <c r="G327" s="1121">
        <f t="shared" si="28"/>
        <v>0.10472823685373397</v>
      </c>
      <c r="J327" s="1122"/>
    </row>
    <row r="328" spans="2:10" x14ac:dyDescent="0.25">
      <c r="B328" s="1118">
        <v>22740</v>
      </c>
      <c r="C328" s="1104">
        <v>3150</v>
      </c>
      <c r="D328" s="1119">
        <f t="shared" si="26"/>
        <v>23000</v>
      </c>
      <c r="E328" s="1151">
        <f t="shared" si="25"/>
        <v>25000</v>
      </c>
      <c r="F328" s="1119">
        <f t="shared" si="27"/>
        <v>2260</v>
      </c>
      <c r="G328" s="1121">
        <f t="shared" si="28"/>
        <v>9.9384344766930519E-2</v>
      </c>
      <c r="J328" s="1122"/>
    </row>
    <row r="329" spans="2:10" x14ac:dyDescent="0.25">
      <c r="B329" s="1118">
        <v>22872</v>
      </c>
      <c r="C329" s="1104">
        <v>3288</v>
      </c>
      <c r="D329" s="1119">
        <f t="shared" si="26"/>
        <v>23000</v>
      </c>
      <c r="E329" s="1151">
        <f t="shared" si="25"/>
        <v>25000</v>
      </c>
      <c r="F329" s="1119">
        <f t="shared" si="27"/>
        <v>2128</v>
      </c>
      <c r="G329" s="1121">
        <f t="shared" si="28"/>
        <v>9.3039524309199026E-2</v>
      </c>
      <c r="J329" s="1122"/>
    </row>
    <row r="330" spans="2:10" x14ac:dyDescent="0.25">
      <c r="B330" s="1118">
        <v>22995</v>
      </c>
      <c r="C330" s="1104">
        <v>3150</v>
      </c>
      <c r="D330" s="1119">
        <f t="shared" si="26"/>
        <v>23000</v>
      </c>
      <c r="E330" s="1151">
        <f t="shared" si="25"/>
        <v>25000</v>
      </c>
      <c r="F330" s="1119">
        <f t="shared" si="27"/>
        <v>2005</v>
      </c>
      <c r="G330" s="1121">
        <f t="shared" si="28"/>
        <v>8.7192868014785818E-2</v>
      </c>
      <c r="J330" s="1122"/>
    </row>
    <row r="331" spans="2:10" x14ac:dyDescent="0.25">
      <c r="B331" s="1118">
        <v>23002.3</v>
      </c>
      <c r="C331" s="1104">
        <v>3150</v>
      </c>
      <c r="D331" s="1119">
        <f t="shared" si="26"/>
        <v>24000</v>
      </c>
      <c r="E331" s="1151">
        <f t="shared" si="25"/>
        <v>25000</v>
      </c>
      <c r="F331" s="1119">
        <f t="shared" si="27"/>
        <v>1997.7000000000007</v>
      </c>
      <c r="G331" s="1121">
        <f t="shared" si="28"/>
        <v>8.6847836955434923E-2</v>
      </c>
      <c r="J331" s="1122"/>
    </row>
    <row r="332" spans="2:10" x14ac:dyDescent="0.25">
      <c r="B332" s="1118">
        <v>23002.3</v>
      </c>
      <c r="C332" s="1104">
        <v>3150</v>
      </c>
      <c r="D332" s="1119">
        <f t="shared" si="26"/>
        <v>24000</v>
      </c>
      <c r="E332" s="1151">
        <f t="shared" si="25"/>
        <v>25000</v>
      </c>
      <c r="F332" s="1119">
        <f t="shared" si="27"/>
        <v>1997.7000000000007</v>
      </c>
      <c r="G332" s="1121">
        <f t="shared" si="28"/>
        <v>8.6847836955434923E-2</v>
      </c>
      <c r="J332" s="1122"/>
    </row>
    <row r="333" spans="2:10" x14ac:dyDescent="0.25">
      <c r="B333" s="1118">
        <v>23002.3</v>
      </c>
      <c r="C333" s="1104">
        <v>3150</v>
      </c>
      <c r="D333" s="1119">
        <f t="shared" si="26"/>
        <v>24000</v>
      </c>
      <c r="E333" s="1151">
        <f t="shared" si="25"/>
        <v>25000</v>
      </c>
      <c r="F333" s="1119">
        <f t="shared" si="27"/>
        <v>1997.7000000000007</v>
      </c>
      <c r="G333" s="1121">
        <f t="shared" si="28"/>
        <v>8.6847836955434923E-2</v>
      </c>
      <c r="J333" s="1122"/>
    </row>
    <row r="334" spans="2:10" x14ac:dyDescent="0.25">
      <c r="B334" s="1118">
        <v>23025</v>
      </c>
      <c r="C334" s="1104">
        <v>3150</v>
      </c>
      <c r="D334" s="1119">
        <f t="shared" si="26"/>
        <v>24000</v>
      </c>
      <c r="E334" s="1151">
        <f t="shared" si="25"/>
        <v>25000</v>
      </c>
      <c r="F334" s="1119">
        <f t="shared" si="27"/>
        <v>1975</v>
      </c>
      <c r="G334" s="1121">
        <f t="shared" si="28"/>
        <v>8.577633007600434E-2</v>
      </c>
      <c r="J334" s="1122"/>
    </row>
    <row r="335" spans="2:10" x14ac:dyDescent="0.25">
      <c r="B335" s="1118">
        <v>23025</v>
      </c>
      <c r="C335" s="1104">
        <v>3288</v>
      </c>
      <c r="D335" s="1119">
        <f t="shared" si="26"/>
        <v>24000</v>
      </c>
      <c r="E335" s="1151">
        <f t="shared" si="25"/>
        <v>25000</v>
      </c>
      <c r="F335" s="1119">
        <f t="shared" si="27"/>
        <v>1975</v>
      </c>
      <c r="G335" s="1121">
        <f t="shared" si="28"/>
        <v>8.577633007600434E-2</v>
      </c>
      <c r="J335" s="1122"/>
    </row>
    <row r="336" spans="2:10" x14ac:dyDescent="0.25">
      <c r="B336" s="1118">
        <v>23052</v>
      </c>
      <c r="C336" s="1104">
        <v>3150</v>
      </c>
      <c r="D336" s="1119">
        <f t="shared" si="26"/>
        <v>24000</v>
      </c>
      <c r="E336" s="1151">
        <f t="shared" si="25"/>
        <v>25000</v>
      </c>
      <c r="F336" s="1119">
        <f t="shared" si="27"/>
        <v>1948</v>
      </c>
      <c r="G336" s="1121">
        <f t="shared" si="28"/>
        <v>8.4504598299496789E-2</v>
      </c>
      <c r="J336" s="1122"/>
    </row>
    <row r="337" spans="2:10" x14ac:dyDescent="0.25">
      <c r="B337" s="1118">
        <v>23144</v>
      </c>
      <c r="C337" s="1104">
        <v>3150</v>
      </c>
      <c r="D337" s="1119">
        <f t="shared" si="26"/>
        <v>24000</v>
      </c>
      <c r="E337" s="1151">
        <f t="shared" si="25"/>
        <v>25000</v>
      </c>
      <c r="F337" s="1119">
        <f t="shared" si="27"/>
        <v>1856</v>
      </c>
      <c r="G337" s="1121">
        <f t="shared" si="28"/>
        <v>8.0193570687867269E-2</v>
      </c>
      <c r="J337" s="1122"/>
    </row>
    <row r="338" spans="2:10" x14ac:dyDescent="0.25">
      <c r="B338" s="1118">
        <v>23160</v>
      </c>
      <c r="C338" s="1104">
        <v>3150</v>
      </c>
      <c r="D338" s="1119">
        <f t="shared" si="26"/>
        <v>24000</v>
      </c>
      <c r="E338" s="1151">
        <f t="shared" si="25"/>
        <v>25000</v>
      </c>
      <c r="F338" s="1119">
        <f t="shared" si="27"/>
        <v>1840</v>
      </c>
      <c r="G338" s="1121">
        <f t="shared" si="28"/>
        <v>7.9447322970639028E-2</v>
      </c>
      <c r="J338" s="1122"/>
    </row>
    <row r="339" spans="2:10" x14ac:dyDescent="0.25">
      <c r="B339" s="1118">
        <v>23498.7</v>
      </c>
      <c r="C339" s="1104">
        <v>3150</v>
      </c>
      <c r="D339" s="1119">
        <f t="shared" si="26"/>
        <v>24000</v>
      </c>
      <c r="E339" s="1151">
        <f t="shared" si="25"/>
        <v>25000</v>
      </c>
      <c r="F339" s="1119">
        <f t="shared" si="27"/>
        <v>1501.2999999999993</v>
      </c>
      <c r="G339" s="1121">
        <f t="shared" si="28"/>
        <v>6.3888640648206041E-2</v>
      </c>
      <c r="J339" s="1122"/>
    </row>
    <row r="340" spans="2:10" x14ac:dyDescent="0.25">
      <c r="B340" s="1118">
        <v>23500</v>
      </c>
      <c r="C340" s="1104">
        <v>3150</v>
      </c>
      <c r="D340" s="1119">
        <f t="shared" si="26"/>
        <v>24000</v>
      </c>
      <c r="E340" s="1151">
        <f t="shared" si="25"/>
        <v>25000</v>
      </c>
      <c r="F340" s="1119">
        <f t="shared" si="27"/>
        <v>1500</v>
      </c>
      <c r="G340" s="1121">
        <f t="shared" si="28"/>
        <v>6.3829787234042548E-2</v>
      </c>
      <c r="J340" s="1122"/>
    </row>
    <row r="341" spans="2:10" x14ac:dyDescent="0.25">
      <c r="B341" s="1118">
        <v>23597</v>
      </c>
      <c r="C341" s="1104">
        <v>3150</v>
      </c>
      <c r="D341" s="1119">
        <f t="shared" si="26"/>
        <v>24000</v>
      </c>
      <c r="E341" s="1151">
        <f t="shared" si="25"/>
        <v>25000</v>
      </c>
      <c r="F341" s="1119">
        <f t="shared" si="27"/>
        <v>1403</v>
      </c>
      <c r="G341" s="1121">
        <f t="shared" si="28"/>
        <v>5.9456710598804932E-2</v>
      </c>
      <c r="J341" s="1122"/>
    </row>
    <row r="342" spans="2:10" x14ac:dyDescent="0.25">
      <c r="B342" s="1118">
        <v>23650</v>
      </c>
      <c r="C342" s="1104">
        <v>3150</v>
      </c>
      <c r="D342" s="1119">
        <f t="shared" si="26"/>
        <v>24000</v>
      </c>
      <c r="E342" s="1151">
        <f t="shared" si="25"/>
        <v>25000</v>
      </c>
      <c r="F342" s="1119">
        <f t="shared" si="27"/>
        <v>1350</v>
      </c>
      <c r="G342" s="1121">
        <f t="shared" si="28"/>
        <v>5.7082452431289642E-2</v>
      </c>
      <c r="J342" s="1122"/>
    </row>
    <row r="343" spans="2:10" x14ac:dyDescent="0.25">
      <c r="B343" s="1118">
        <v>23725</v>
      </c>
      <c r="C343" s="1104">
        <v>3150</v>
      </c>
      <c r="D343" s="1119">
        <f t="shared" si="26"/>
        <v>24000</v>
      </c>
      <c r="E343" s="1151">
        <f t="shared" si="25"/>
        <v>25000</v>
      </c>
      <c r="F343" s="1119">
        <f t="shared" si="27"/>
        <v>1275</v>
      </c>
      <c r="G343" s="1121">
        <f t="shared" si="28"/>
        <v>5.3740779768177031E-2</v>
      </c>
      <c r="J343" s="1122"/>
    </row>
    <row r="344" spans="2:10" x14ac:dyDescent="0.25">
      <c r="B344" s="1118">
        <v>23725</v>
      </c>
      <c r="C344" s="1104">
        <v>3150</v>
      </c>
      <c r="D344" s="1119">
        <f t="shared" si="26"/>
        <v>24000</v>
      </c>
      <c r="E344" s="1151">
        <f t="shared" si="25"/>
        <v>25000</v>
      </c>
      <c r="F344" s="1119">
        <f t="shared" si="27"/>
        <v>1275</v>
      </c>
      <c r="G344" s="1121">
        <f t="shared" si="28"/>
        <v>5.3740779768177031E-2</v>
      </c>
      <c r="J344" s="1122"/>
    </row>
    <row r="345" spans="2:10" x14ac:dyDescent="0.25">
      <c r="B345" s="1118">
        <v>23725</v>
      </c>
      <c r="C345" s="1104">
        <v>3150</v>
      </c>
      <c r="D345" s="1119">
        <f t="shared" si="26"/>
        <v>24000</v>
      </c>
      <c r="E345" s="1151">
        <f t="shared" si="25"/>
        <v>25000</v>
      </c>
      <c r="F345" s="1119">
        <f t="shared" si="27"/>
        <v>1275</v>
      </c>
      <c r="G345" s="1121">
        <f t="shared" si="28"/>
        <v>5.3740779768177031E-2</v>
      </c>
      <c r="J345" s="1122"/>
    </row>
    <row r="346" spans="2:10" x14ac:dyDescent="0.25">
      <c r="B346" s="1118">
        <v>23725</v>
      </c>
      <c r="C346" s="1104">
        <v>3150</v>
      </c>
      <c r="D346" s="1119">
        <f t="shared" si="26"/>
        <v>24000</v>
      </c>
      <c r="E346" s="1151">
        <f t="shared" si="25"/>
        <v>25000</v>
      </c>
      <c r="F346" s="1119">
        <f t="shared" si="27"/>
        <v>1275</v>
      </c>
      <c r="G346" s="1121">
        <f t="shared" si="28"/>
        <v>5.3740779768177031E-2</v>
      </c>
      <c r="J346" s="1122"/>
    </row>
    <row r="347" spans="2:10" x14ac:dyDescent="0.25">
      <c r="B347" s="1118">
        <v>23725</v>
      </c>
      <c r="C347" s="1104">
        <v>3150</v>
      </c>
      <c r="D347" s="1119">
        <f t="shared" si="26"/>
        <v>24000</v>
      </c>
      <c r="E347" s="1151">
        <f t="shared" si="25"/>
        <v>25000</v>
      </c>
      <c r="F347" s="1119">
        <f t="shared" si="27"/>
        <v>1275</v>
      </c>
      <c r="G347" s="1121">
        <f t="shared" si="28"/>
        <v>5.3740779768177031E-2</v>
      </c>
      <c r="J347" s="1122"/>
    </row>
    <row r="348" spans="2:10" x14ac:dyDescent="0.25">
      <c r="B348" s="1118">
        <v>23745</v>
      </c>
      <c r="C348" s="1104">
        <v>3150</v>
      </c>
      <c r="D348" s="1119">
        <f t="shared" si="26"/>
        <v>24000</v>
      </c>
      <c r="E348" s="1151">
        <f t="shared" si="25"/>
        <v>25000</v>
      </c>
      <c r="F348" s="1119">
        <f t="shared" si="27"/>
        <v>1255</v>
      </c>
      <c r="G348" s="1121">
        <f t="shared" si="28"/>
        <v>5.2853232259423039E-2</v>
      </c>
      <c r="J348" s="1122"/>
    </row>
    <row r="349" spans="2:10" x14ac:dyDescent="0.25">
      <c r="B349" s="1118">
        <v>23761.5</v>
      </c>
      <c r="C349" s="1104">
        <v>3150</v>
      </c>
      <c r="D349" s="1119">
        <f t="shared" si="26"/>
        <v>24000</v>
      </c>
      <c r="E349" s="1151">
        <f t="shared" si="25"/>
        <v>25000</v>
      </c>
      <c r="F349" s="1119">
        <f t="shared" si="27"/>
        <v>1238.5</v>
      </c>
      <c r="G349" s="1121">
        <f t="shared" si="28"/>
        <v>5.2122130336889505E-2</v>
      </c>
      <c r="J349" s="1122"/>
    </row>
    <row r="350" spans="2:10" x14ac:dyDescent="0.25">
      <c r="B350" s="1118">
        <v>23776</v>
      </c>
      <c r="C350" s="1104">
        <v>3150</v>
      </c>
      <c r="D350" s="1119">
        <f t="shared" si="26"/>
        <v>24000</v>
      </c>
      <c r="E350" s="1151">
        <f t="shared" si="25"/>
        <v>25000</v>
      </c>
      <c r="F350" s="1119">
        <f t="shared" si="27"/>
        <v>1224</v>
      </c>
      <c r="G350" s="1121">
        <f t="shared" si="28"/>
        <v>5.148048452220727E-2</v>
      </c>
      <c r="J350" s="1122"/>
    </row>
    <row r="351" spans="2:10" x14ac:dyDescent="0.25">
      <c r="B351" s="1118">
        <v>23877</v>
      </c>
      <c r="C351" s="1104">
        <v>3288</v>
      </c>
      <c r="D351" s="1119">
        <f t="shared" si="26"/>
        <v>24000</v>
      </c>
      <c r="E351" s="1151">
        <f t="shared" si="25"/>
        <v>25000</v>
      </c>
      <c r="F351" s="1119">
        <f t="shared" si="27"/>
        <v>1123</v>
      </c>
      <c r="G351" s="1121">
        <f t="shared" si="28"/>
        <v>4.7032709301838588E-2</v>
      </c>
      <c r="J351" s="1122"/>
    </row>
    <row r="352" spans="2:10" x14ac:dyDescent="0.25">
      <c r="B352" s="1118">
        <v>23952</v>
      </c>
      <c r="C352" s="1104">
        <v>3150</v>
      </c>
      <c r="D352" s="1119">
        <f t="shared" si="26"/>
        <v>24000</v>
      </c>
      <c r="E352" s="1151">
        <f t="shared" si="25"/>
        <v>25000</v>
      </c>
      <c r="F352" s="1119">
        <f t="shared" si="27"/>
        <v>1048</v>
      </c>
      <c r="G352" s="1121">
        <f t="shared" si="28"/>
        <v>4.3754175016700064E-2</v>
      </c>
      <c r="J352" s="1122"/>
    </row>
    <row r="353" spans="2:10" x14ac:dyDescent="0.25">
      <c r="B353" s="1118">
        <v>23998.75</v>
      </c>
      <c r="C353" s="1104">
        <v>3150</v>
      </c>
      <c r="D353" s="1119">
        <f t="shared" si="26"/>
        <v>24000</v>
      </c>
      <c r="E353" s="1151">
        <f t="shared" si="25"/>
        <v>25000</v>
      </c>
      <c r="F353" s="1119">
        <f t="shared" si="27"/>
        <v>1001.25</v>
      </c>
      <c r="G353" s="1121">
        <f t="shared" si="28"/>
        <v>4.1720922964737749E-2</v>
      </c>
      <c r="J353" s="1122"/>
    </row>
    <row r="354" spans="2:10" x14ac:dyDescent="0.25">
      <c r="B354" s="1118">
        <v>24000</v>
      </c>
      <c r="C354" s="1104">
        <v>3150</v>
      </c>
      <c r="D354" s="1119">
        <f t="shared" si="26"/>
        <v>24000</v>
      </c>
      <c r="E354" s="1151">
        <f t="shared" si="25"/>
        <v>25000</v>
      </c>
      <c r="F354" s="1119">
        <f t="shared" si="27"/>
        <v>1000</v>
      </c>
      <c r="G354" s="1121">
        <f t="shared" si="28"/>
        <v>4.1666666666666664E-2</v>
      </c>
      <c r="J354" s="1122"/>
    </row>
    <row r="355" spans="2:10" x14ac:dyDescent="0.25">
      <c r="B355" s="1118">
        <v>24000</v>
      </c>
      <c r="C355" s="1104">
        <v>3288</v>
      </c>
      <c r="D355" s="1119">
        <f t="shared" si="26"/>
        <v>24000</v>
      </c>
      <c r="E355" s="1151">
        <f t="shared" si="25"/>
        <v>25000</v>
      </c>
      <c r="F355" s="1119">
        <f t="shared" si="27"/>
        <v>1000</v>
      </c>
      <c r="G355" s="1121">
        <f t="shared" si="28"/>
        <v>4.1666666666666664E-2</v>
      </c>
      <c r="J355" s="1122"/>
    </row>
    <row r="356" spans="2:10" x14ac:dyDescent="0.25">
      <c r="B356" s="1118">
        <v>24090</v>
      </c>
      <c r="C356" s="1104">
        <v>3150</v>
      </c>
      <c r="D356" s="1119">
        <f t="shared" si="26"/>
        <v>25000</v>
      </c>
      <c r="E356" s="1151">
        <f t="shared" si="25"/>
        <v>25000</v>
      </c>
      <c r="F356" s="1119">
        <f t="shared" si="27"/>
        <v>910</v>
      </c>
      <c r="G356" s="1121">
        <f t="shared" si="28"/>
        <v>3.7775010377750107E-2</v>
      </c>
      <c r="J356" s="1122"/>
    </row>
    <row r="357" spans="2:10" x14ac:dyDescent="0.25">
      <c r="B357" s="1118">
        <v>24099</v>
      </c>
      <c r="C357" s="1104">
        <v>3150</v>
      </c>
      <c r="D357" s="1119">
        <f t="shared" si="26"/>
        <v>25000</v>
      </c>
      <c r="E357" s="1151">
        <f t="shared" si="25"/>
        <v>25000</v>
      </c>
      <c r="F357" s="1119">
        <f t="shared" si="27"/>
        <v>901</v>
      </c>
      <c r="G357" s="1121">
        <f t="shared" si="28"/>
        <v>3.7387443462384332E-2</v>
      </c>
      <c r="J357" s="1122"/>
    </row>
    <row r="358" spans="2:10" x14ac:dyDescent="0.25">
      <c r="B358" s="1118">
        <v>24408</v>
      </c>
      <c r="C358" s="1104">
        <v>3288</v>
      </c>
      <c r="D358" s="1119">
        <f t="shared" si="26"/>
        <v>25000</v>
      </c>
      <c r="E358" s="1151">
        <f t="shared" si="25"/>
        <v>25000</v>
      </c>
      <c r="F358" s="1119">
        <f t="shared" si="27"/>
        <v>592</v>
      </c>
      <c r="G358" s="1121">
        <f t="shared" si="28"/>
        <v>2.4254342838413635E-2</v>
      </c>
      <c r="J358" s="1122"/>
    </row>
    <row r="359" spans="2:10" x14ac:dyDescent="0.25">
      <c r="B359" s="1118">
        <v>24450</v>
      </c>
      <c r="C359" s="1104">
        <v>3288</v>
      </c>
      <c r="D359" s="1119">
        <f t="shared" si="26"/>
        <v>25000</v>
      </c>
      <c r="E359" s="1151">
        <f t="shared" si="25"/>
        <v>25000</v>
      </c>
      <c r="F359" s="1119">
        <f t="shared" si="27"/>
        <v>550</v>
      </c>
      <c r="G359" s="1121">
        <f t="shared" si="28"/>
        <v>2.2494887525562373E-2</v>
      </c>
      <c r="J359" s="1122"/>
    </row>
    <row r="360" spans="2:10" x14ac:dyDescent="0.25">
      <c r="B360" s="1118">
        <v>24500</v>
      </c>
      <c r="C360" s="1104">
        <v>3150</v>
      </c>
      <c r="D360" s="1119">
        <f t="shared" si="26"/>
        <v>25000</v>
      </c>
      <c r="E360" s="1151">
        <f t="shared" si="25"/>
        <v>25000</v>
      </c>
      <c r="F360" s="1119">
        <f t="shared" si="27"/>
        <v>500</v>
      </c>
      <c r="G360" s="1121">
        <f t="shared" si="28"/>
        <v>2.0408163265306121E-2</v>
      </c>
      <c r="J360" s="1122"/>
    </row>
    <row r="361" spans="2:10" x14ac:dyDescent="0.25">
      <c r="B361" s="1118">
        <v>24500</v>
      </c>
      <c r="C361" s="1104">
        <v>3150</v>
      </c>
      <c r="D361" s="1119">
        <f t="shared" si="26"/>
        <v>25000</v>
      </c>
      <c r="E361" s="1151">
        <f t="shared" si="25"/>
        <v>25000</v>
      </c>
      <c r="F361" s="1119">
        <f t="shared" si="27"/>
        <v>500</v>
      </c>
      <c r="G361" s="1121">
        <f t="shared" si="28"/>
        <v>2.0408163265306121E-2</v>
      </c>
      <c r="J361" s="1122"/>
    </row>
    <row r="362" spans="2:10" x14ac:dyDescent="0.25">
      <c r="B362" s="1118">
        <v>24500</v>
      </c>
      <c r="C362" s="1104">
        <v>3150</v>
      </c>
      <c r="D362" s="1119">
        <f t="shared" si="26"/>
        <v>25000</v>
      </c>
      <c r="E362" s="1151">
        <f t="shared" si="25"/>
        <v>25000</v>
      </c>
      <c r="F362" s="1119">
        <f t="shared" si="27"/>
        <v>500</v>
      </c>
      <c r="G362" s="1121">
        <f t="shared" si="28"/>
        <v>2.0408163265306121E-2</v>
      </c>
      <c r="J362" s="1122"/>
    </row>
    <row r="363" spans="2:10" x14ac:dyDescent="0.25">
      <c r="B363" s="1118">
        <v>24500</v>
      </c>
      <c r="C363" s="1104">
        <v>3150</v>
      </c>
      <c r="D363" s="1119">
        <f t="shared" si="26"/>
        <v>25000</v>
      </c>
      <c r="E363" s="1151">
        <f t="shared" si="25"/>
        <v>25000</v>
      </c>
      <c r="F363" s="1119">
        <f t="shared" si="27"/>
        <v>500</v>
      </c>
      <c r="G363" s="1121">
        <f t="shared" si="28"/>
        <v>2.0408163265306121E-2</v>
      </c>
      <c r="J363" s="1122"/>
    </row>
    <row r="364" spans="2:10" x14ac:dyDescent="0.25">
      <c r="B364" s="1118">
        <v>24500</v>
      </c>
      <c r="C364" s="1104">
        <v>3150</v>
      </c>
      <c r="D364" s="1119">
        <f t="shared" si="26"/>
        <v>25000</v>
      </c>
      <c r="E364" s="1151">
        <f t="shared" si="25"/>
        <v>25000</v>
      </c>
      <c r="F364" s="1119">
        <f t="shared" si="27"/>
        <v>500</v>
      </c>
      <c r="G364" s="1121">
        <f t="shared" si="28"/>
        <v>2.0408163265306121E-2</v>
      </c>
      <c r="J364" s="1122"/>
    </row>
    <row r="365" spans="2:10" x14ac:dyDescent="0.25">
      <c r="B365" s="1118">
        <v>24500</v>
      </c>
      <c r="C365" s="1104">
        <v>3150</v>
      </c>
      <c r="D365" s="1119">
        <f t="shared" si="26"/>
        <v>25000</v>
      </c>
      <c r="E365" s="1151">
        <f t="shared" si="25"/>
        <v>25000</v>
      </c>
      <c r="F365" s="1119">
        <f t="shared" si="27"/>
        <v>500</v>
      </c>
      <c r="G365" s="1121">
        <f t="shared" si="28"/>
        <v>2.0408163265306121E-2</v>
      </c>
      <c r="J365" s="1122"/>
    </row>
    <row r="366" spans="2:10" x14ac:dyDescent="0.25">
      <c r="B366" s="1118">
        <v>24500</v>
      </c>
      <c r="C366" s="1104">
        <v>3150</v>
      </c>
      <c r="D366" s="1119">
        <f t="shared" si="26"/>
        <v>25000</v>
      </c>
      <c r="E366" s="1151">
        <f t="shared" si="25"/>
        <v>25000</v>
      </c>
      <c r="F366" s="1119">
        <f t="shared" si="27"/>
        <v>500</v>
      </c>
      <c r="G366" s="1121">
        <f t="shared" si="28"/>
        <v>2.0408163265306121E-2</v>
      </c>
      <c r="J366" s="1122"/>
    </row>
    <row r="367" spans="2:10" x14ac:dyDescent="0.25">
      <c r="B367" s="1118">
        <v>24500</v>
      </c>
      <c r="C367" s="1104">
        <v>3150</v>
      </c>
      <c r="D367" s="1119">
        <f t="shared" si="26"/>
        <v>25000</v>
      </c>
      <c r="E367" s="1151">
        <f t="shared" si="25"/>
        <v>25000</v>
      </c>
      <c r="F367" s="1119">
        <f t="shared" si="27"/>
        <v>500</v>
      </c>
      <c r="G367" s="1121">
        <f t="shared" si="28"/>
        <v>2.0408163265306121E-2</v>
      </c>
      <c r="J367" s="1122"/>
    </row>
    <row r="368" spans="2:10" x14ac:dyDescent="0.25">
      <c r="B368" s="1118">
        <v>24500</v>
      </c>
      <c r="C368" s="1104">
        <v>3150</v>
      </c>
      <c r="D368" s="1119">
        <f t="shared" si="26"/>
        <v>25000</v>
      </c>
      <c r="E368" s="1151">
        <f t="shared" si="25"/>
        <v>25000</v>
      </c>
      <c r="F368" s="1119">
        <f t="shared" si="27"/>
        <v>500</v>
      </c>
      <c r="G368" s="1121">
        <f t="shared" si="28"/>
        <v>2.0408163265306121E-2</v>
      </c>
      <c r="J368" s="1122"/>
    </row>
    <row r="369" spans="2:10" x14ac:dyDescent="0.25">
      <c r="B369" s="1118">
        <v>24500</v>
      </c>
      <c r="C369" s="1104">
        <v>3150</v>
      </c>
      <c r="D369" s="1119">
        <f t="shared" si="26"/>
        <v>25000</v>
      </c>
      <c r="E369" s="1151">
        <f t="shared" si="25"/>
        <v>25000</v>
      </c>
      <c r="F369" s="1119">
        <f t="shared" si="27"/>
        <v>500</v>
      </c>
      <c r="G369" s="1121">
        <f t="shared" si="28"/>
        <v>2.0408163265306121E-2</v>
      </c>
      <c r="J369" s="1122"/>
    </row>
    <row r="370" spans="2:10" x14ac:dyDescent="0.25">
      <c r="B370" s="1118">
        <v>24500</v>
      </c>
      <c r="C370" s="1104">
        <v>3150</v>
      </c>
      <c r="D370" s="1119">
        <f t="shared" si="26"/>
        <v>25000</v>
      </c>
      <c r="E370" s="1151">
        <f t="shared" si="25"/>
        <v>25000</v>
      </c>
      <c r="F370" s="1119">
        <f t="shared" si="27"/>
        <v>500</v>
      </c>
      <c r="G370" s="1121">
        <f t="shared" si="28"/>
        <v>2.0408163265306121E-2</v>
      </c>
      <c r="J370" s="1122"/>
    </row>
    <row r="371" spans="2:10" x14ac:dyDescent="0.25">
      <c r="B371" s="1118">
        <v>24500</v>
      </c>
      <c r="C371" s="1104">
        <v>3150</v>
      </c>
      <c r="D371" s="1119">
        <f t="shared" si="26"/>
        <v>25000</v>
      </c>
      <c r="E371" s="1151">
        <f t="shared" si="25"/>
        <v>25000</v>
      </c>
      <c r="F371" s="1119">
        <f t="shared" si="27"/>
        <v>500</v>
      </c>
      <c r="G371" s="1121">
        <f t="shared" si="28"/>
        <v>2.0408163265306121E-2</v>
      </c>
      <c r="J371" s="1122"/>
    </row>
    <row r="372" spans="2:10" x14ac:dyDescent="0.25">
      <c r="B372" s="1118">
        <v>24500</v>
      </c>
      <c r="C372" s="1104">
        <v>3150</v>
      </c>
      <c r="D372" s="1119">
        <f t="shared" si="26"/>
        <v>25000</v>
      </c>
      <c r="E372" s="1151">
        <f t="shared" si="25"/>
        <v>25000</v>
      </c>
      <c r="F372" s="1119">
        <f t="shared" si="27"/>
        <v>500</v>
      </c>
      <c r="G372" s="1121">
        <f t="shared" si="28"/>
        <v>2.0408163265306121E-2</v>
      </c>
      <c r="J372" s="1122"/>
    </row>
    <row r="373" spans="2:10" x14ac:dyDescent="0.25">
      <c r="B373" s="1118">
        <v>24700</v>
      </c>
      <c r="C373" s="1104">
        <v>3150</v>
      </c>
      <c r="D373" s="1119">
        <f t="shared" si="26"/>
        <v>25000</v>
      </c>
      <c r="E373" s="1151">
        <f t="shared" si="25"/>
        <v>25000</v>
      </c>
      <c r="F373" s="1119">
        <f t="shared" si="27"/>
        <v>300</v>
      </c>
      <c r="G373" s="1121">
        <f t="shared" si="28"/>
        <v>1.2145748987854251E-2</v>
      </c>
      <c r="J373" s="1122"/>
    </row>
    <row r="374" spans="2:10" x14ac:dyDescent="0.25">
      <c r="B374" s="1118">
        <v>24768</v>
      </c>
      <c r="C374" s="1104">
        <v>3150</v>
      </c>
      <c r="D374" s="1119">
        <f t="shared" si="26"/>
        <v>25000</v>
      </c>
      <c r="E374" s="1151">
        <f t="shared" si="25"/>
        <v>25000</v>
      </c>
      <c r="F374" s="1119">
        <f t="shared" si="27"/>
        <v>232</v>
      </c>
      <c r="G374" s="1121">
        <f t="shared" si="28"/>
        <v>9.3669250645994837E-3</v>
      </c>
      <c r="J374" s="1122"/>
    </row>
    <row r="375" spans="2:10" x14ac:dyDescent="0.25">
      <c r="B375" s="1118">
        <v>24804</v>
      </c>
      <c r="C375" s="1104">
        <v>3288</v>
      </c>
      <c r="D375" s="1119">
        <f t="shared" si="26"/>
        <v>25000</v>
      </c>
      <c r="E375" s="1151">
        <f t="shared" si="25"/>
        <v>25000</v>
      </c>
      <c r="F375" s="1119">
        <f t="shared" si="27"/>
        <v>196</v>
      </c>
      <c r="G375" s="1121">
        <f t="shared" si="28"/>
        <v>7.9019512981777125E-3</v>
      </c>
      <c r="J375" s="1122"/>
    </row>
    <row r="376" spans="2:10" x14ac:dyDescent="0.25">
      <c r="B376" s="1118">
        <v>24996</v>
      </c>
      <c r="C376" s="1104">
        <v>3150</v>
      </c>
      <c r="D376" s="1119">
        <f t="shared" si="26"/>
        <v>25000</v>
      </c>
      <c r="E376" s="1151">
        <f t="shared" si="25"/>
        <v>25000</v>
      </c>
      <c r="F376" s="1119">
        <f t="shared" si="27"/>
        <v>4</v>
      </c>
      <c r="G376" s="1121">
        <f t="shared" si="28"/>
        <v>1.6002560409665546E-4</v>
      </c>
      <c r="J376" s="1122"/>
    </row>
    <row r="377" spans="2:10" x14ac:dyDescent="0.25">
      <c r="B377" s="1118">
        <v>24998.85</v>
      </c>
      <c r="C377" s="1104">
        <v>3150</v>
      </c>
      <c r="D377" s="1119">
        <f t="shared" si="26"/>
        <v>25000</v>
      </c>
      <c r="E377" s="1151">
        <f t="shared" si="25"/>
        <v>25000</v>
      </c>
      <c r="F377" s="1119">
        <f t="shared" si="27"/>
        <v>1.1500000000014552</v>
      </c>
      <c r="G377" s="1121">
        <f t="shared" si="28"/>
        <v>4.6002116097398694E-5</v>
      </c>
      <c r="J377" s="1122"/>
    </row>
    <row r="378" spans="2:10" x14ac:dyDescent="0.25">
      <c r="B378" s="1118">
        <v>24998.85</v>
      </c>
      <c r="C378" s="1104">
        <v>3150</v>
      </c>
      <c r="D378" s="1119">
        <f t="shared" si="26"/>
        <v>25000</v>
      </c>
      <c r="E378" s="1151">
        <f t="shared" si="25"/>
        <v>25000</v>
      </c>
      <c r="F378" s="1119">
        <f t="shared" si="27"/>
        <v>1.1500000000014552</v>
      </c>
      <c r="G378" s="1121">
        <f t="shared" si="28"/>
        <v>4.6002116097398694E-5</v>
      </c>
      <c r="J378" s="1122"/>
    </row>
    <row r="379" spans="2:10" x14ac:dyDescent="0.25">
      <c r="B379" s="1118">
        <v>24998.85</v>
      </c>
      <c r="C379" s="1104">
        <v>3150</v>
      </c>
      <c r="D379" s="1119">
        <f t="shared" si="26"/>
        <v>25000</v>
      </c>
      <c r="E379" s="1151">
        <f t="shared" si="25"/>
        <v>25000</v>
      </c>
      <c r="F379" s="1119">
        <f t="shared" si="27"/>
        <v>1.1500000000014552</v>
      </c>
      <c r="G379" s="1121">
        <f t="shared" si="28"/>
        <v>4.6002116097398694E-5</v>
      </c>
      <c r="J379" s="1122"/>
    </row>
    <row r="380" spans="2:10" x14ac:dyDescent="0.25">
      <c r="B380" s="1118">
        <v>25000</v>
      </c>
      <c r="C380" s="1104">
        <v>3150</v>
      </c>
      <c r="D380" s="1119">
        <f t="shared" si="26"/>
        <v>25000</v>
      </c>
      <c r="E380" s="1152">
        <f t="shared" si="25"/>
        <v>25000</v>
      </c>
      <c r="F380" s="1119">
        <f t="shared" si="27"/>
        <v>0</v>
      </c>
      <c r="G380" s="1121">
        <f t="shared" si="28"/>
        <v>0</v>
      </c>
      <c r="J380" s="1122"/>
    </row>
    <row r="381" spans="2:10" x14ac:dyDescent="0.25">
      <c r="B381" s="1118">
        <v>25002.5</v>
      </c>
      <c r="C381" s="1104">
        <v>3150</v>
      </c>
      <c r="D381" s="1119">
        <f t="shared" si="26"/>
        <v>26000</v>
      </c>
      <c r="E381" s="1153">
        <v>27500</v>
      </c>
      <c r="F381" s="1119">
        <f t="shared" si="27"/>
        <v>2497.5</v>
      </c>
      <c r="G381" s="1121">
        <f t="shared" si="28"/>
        <v>9.9890010998900117E-2</v>
      </c>
      <c r="H381" s="1141">
        <v>32</v>
      </c>
      <c r="J381" s="1142">
        <f>AVERAGE(B381:B412)</f>
        <v>26366.993750000005</v>
      </c>
    </row>
    <row r="382" spans="2:10" x14ac:dyDescent="0.25">
      <c r="B382" s="1118">
        <v>25200</v>
      </c>
      <c r="C382" s="1104">
        <v>3150</v>
      </c>
      <c r="D382" s="1119">
        <f t="shared" si="26"/>
        <v>26000</v>
      </c>
      <c r="E382" s="1153">
        <v>27500</v>
      </c>
      <c r="F382" s="1119">
        <f t="shared" si="27"/>
        <v>2300</v>
      </c>
      <c r="G382" s="1121">
        <f t="shared" si="28"/>
        <v>9.1269841269841265E-2</v>
      </c>
      <c r="J382" s="1122"/>
    </row>
    <row r="383" spans="2:10" x14ac:dyDescent="0.25">
      <c r="B383" s="1118">
        <v>25285</v>
      </c>
      <c r="C383" s="1104">
        <v>3150</v>
      </c>
      <c r="D383" s="1119">
        <f t="shared" si="26"/>
        <v>26000</v>
      </c>
      <c r="E383" s="1153">
        <v>27500</v>
      </c>
      <c r="F383" s="1119">
        <f t="shared" si="27"/>
        <v>2215</v>
      </c>
      <c r="G383" s="1121">
        <f t="shared" si="28"/>
        <v>8.7601344670753409E-2</v>
      </c>
      <c r="J383" s="1122"/>
    </row>
    <row r="384" spans="2:10" x14ac:dyDescent="0.25">
      <c r="B384" s="1118">
        <v>25444.400000000001</v>
      </c>
      <c r="C384" s="1104">
        <v>3150</v>
      </c>
      <c r="D384" s="1119">
        <f t="shared" si="26"/>
        <v>26000</v>
      </c>
      <c r="E384" s="1153">
        <v>27500</v>
      </c>
      <c r="F384" s="1119">
        <f t="shared" si="27"/>
        <v>2055.5999999999985</v>
      </c>
      <c r="G384" s="1121">
        <f t="shared" si="28"/>
        <v>8.0787914040024458E-2</v>
      </c>
      <c r="J384" s="1122"/>
    </row>
    <row r="385" spans="2:10" x14ac:dyDescent="0.25">
      <c r="B385" s="1118">
        <v>25550</v>
      </c>
      <c r="C385" s="1104">
        <v>3150</v>
      </c>
      <c r="D385" s="1119">
        <f t="shared" si="26"/>
        <v>26000</v>
      </c>
      <c r="E385" s="1153">
        <v>27500</v>
      </c>
      <c r="F385" s="1119">
        <f t="shared" si="27"/>
        <v>1950</v>
      </c>
      <c r="G385" s="1121">
        <f t="shared" si="28"/>
        <v>7.6320939334637961E-2</v>
      </c>
      <c r="J385" s="1122"/>
    </row>
    <row r="386" spans="2:10" x14ac:dyDescent="0.25">
      <c r="B386" s="1118">
        <v>25550</v>
      </c>
      <c r="C386" s="1104">
        <v>3150</v>
      </c>
      <c r="D386" s="1119">
        <f t="shared" ref="D386:D449" si="29">ROUNDUP(B386,-3)</f>
        <v>26000</v>
      </c>
      <c r="E386" s="1153">
        <v>27500</v>
      </c>
      <c r="F386" s="1119">
        <f t="shared" ref="F386:F449" si="30">E386-B386</f>
        <v>1950</v>
      </c>
      <c r="G386" s="1121">
        <f t="shared" ref="G386:G449" si="31">F386/B386</f>
        <v>7.6320939334637961E-2</v>
      </c>
      <c r="J386" s="1122"/>
    </row>
    <row r="387" spans="2:10" x14ac:dyDescent="0.25">
      <c r="B387" s="1118">
        <v>25550</v>
      </c>
      <c r="C387" s="1104">
        <v>3150</v>
      </c>
      <c r="D387" s="1119">
        <f t="shared" si="29"/>
        <v>26000</v>
      </c>
      <c r="E387" s="1153">
        <v>27500</v>
      </c>
      <c r="F387" s="1119">
        <f t="shared" si="30"/>
        <v>1950</v>
      </c>
      <c r="G387" s="1121">
        <f t="shared" si="31"/>
        <v>7.6320939334637961E-2</v>
      </c>
      <c r="J387" s="1122"/>
    </row>
    <row r="388" spans="2:10" x14ac:dyDescent="0.25">
      <c r="B388" s="1118">
        <v>25550</v>
      </c>
      <c r="C388" s="1104">
        <v>3150</v>
      </c>
      <c r="D388" s="1119">
        <f t="shared" si="29"/>
        <v>26000</v>
      </c>
      <c r="E388" s="1153">
        <v>27500</v>
      </c>
      <c r="F388" s="1119">
        <f t="shared" si="30"/>
        <v>1950</v>
      </c>
      <c r="G388" s="1121">
        <f t="shared" si="31"/>
        <v>7.6320939334637961E-2</v>
      </c>
      <c r="J388" s="1122"/>
    </row>
    <row r="389" spans="2:10" x14ac:dyDescent="0.25">
      <c r="B389" s="1118">
        <v>25550</v>
      </c>
      <c r="C389" s="1104">
        <v>3150</v>
      </c>
      <c r="D389" s="1119">
        <f t="shared" si="29"/>
        <v>26000</v>
      </c>
      <c r="E389" s="1153">
        <v>27500</v>
      </c>
      <c r="F389" s="1119">
        <f t="shared" si="30"/>
        <v>1950</v>
      </c>
      <c r="G389" s="1121">
        <f t="shared" si="31"/>
        <v>7.6320939334637961E-2</v>
      </c>
      <c r="J389" s="1122"/>
    </row>
    <row r="390" spans="2:10" x14ac:dyDescent="0.25">
      <c r="B390" s="1118">
        <v>25550</v>
      </c>
      <c r="C390" s="1104">
        <v>3150</v>
      </c>
      <c r="D390" s="1119">
        <f t="shared" si="29"/>
        <v>26000</v>
      </c>
      <c r="E390" s="1153">
        <v>27500</v>
      </c>
      <c r="F390" s="1119">
        <f t="shared" si="30"/>
        <v>1950</v>
      </c>
      <c r="G390" s="1121">
        <f t="shared" si="31"/>
        <v>7.6320939334637961E-2</v>
      </c>
      <c r="J390" s="1122"/>
    </row>
    <row r="391" spans="2:10" x14ac:dyDescent="0.25">
      <c r="B391" s="1118">
        <v>25550</v>
      </c>
      <c r="C391" s="1104">
        <v>3150</v>
      </c>
      <c r="D391" s="1119">
        <f t="shared" si="29"/>
        <v>26000</v>
      </c>
      <c r="E391" s="1153">
        <v>27500</v>
      </c>
      <c r="F391" s="1119">
        <f t="shared" si="30"/>
        <v>1950</v>
      </c>
      <c r="G391" s="1121">
        <f t="shared" si="31"/>
        <v>7.6320939334637961E-2</v>
      </c>
      <c r="J391" s="1122"/>
    </row>
    <row r="392" spans="2:10" x14ac:dyDescent="0.25">
      <c r="B392" s="1118">
        <v>25998.95</v>
      </c>
      <c r="C392" s="1104">
        <v>3150</v>
      </c>
      <c r="D392" s="1119">
        <f t="shared" si="29"/>
        <v>26000</v>
      </c>
      <c r="E392" s="1153">
        <v>27500</v>
      </c>
      <c r="F392" s="1119">
        <f t="shared" si="30"/>
        <v>1501.0499999999993</v>
      </c>
      <c r="G392" s="1121">
        <f t="shared" si="31"/>
        <v>5.7735023914427287E-2</v>
      </c>
      <c r="J392" s="1122"/>
    </row>
    <row r="393" spans="2:10" x14ac:dyDescent="0.25">
      <c r="B393" s="1118">
        <v>26000</v>
      </c>
      <c r="C393" s="1104">
        <v>3150</v>
      </c>
      <c r="D393" s="1119">
        <f t="shared" si="29"/>
        <v>26000</v>
      </c>
      <c r="E393" s="1153">
        <v>27500</v>
      </c>
      <c r="F393" s="1119">
        <f t="shared" si="30"/>
        <v>1500</v>
      </c>
      <c r="G393" s="1121">
        <f t="shared" si="31"/>
        <v>5.7692307692307696E-2</v>
      </c>
      <c r="J393" s="1122"/>
    </row>
    <row r="394" spans="2:10" x14ac:dyDescent="0.25">
      <c r="B394" s="1118">
        <v>26058</v>
      </c>
      <c r="C394" s="1104">
        <v>3150</v>
      </c>
      <c r="D394" s="1119">
        <f t="shared" si="29"/>
        <v>27000</v>
      </c>
      <c r="E394" s="1153">
        <v>27500</v>
      </c>
      <c r="F394" s="1119">
        <f t="shared" si="30"/>
        <v>1442</v>
      </c>
      <c r="G394" s="1121">
        <f t="shared" si="31"/>
        <v>5.5338091948729753E-2</v>
      </c>
      <c r="J394" s="1122"/>
    </row>
    <row r="395" spans="2:10" x14ac:dyDescent="0.25">
      <c r="B395" s="1118">
        <v>26196</v>
      </c>
      <c r="C395" s="1104">
        <v>3150</v>
      </c>
      <c r="D395" s="1119">
        <f t="shared" si="29"/>
        <v>27000</v>
      </c>
      <c r="E395" s="1153">
        <v>27500</v>
      </c>
      <c r="F395" s="1119">
        <f t="shared" si="30"/>
        <v>1304</v>
      </c>
      <c r="G395" s="1121">
        <f t="shared" si="31"/>
        <v>4.9778592151473511E-2</v>
      </c>
      <c r="J395" s="1122"/>
    </row>
    <row r="396" spans="2:10" x14ac:dyDescent="0.25">
      <c r="B396" s="1118">
        <v>26217.95</v>
      </c>
      <c r="C396" s="1104">
        <v>3288</v>
      </c>
      <c r="D396" s="1119">
        <f t="shared" si="29"/>
        <v>27000</v>
      </c>
      <c r="E396" s="1153">
        <v>27500</v>
      </c>
      <c r="F396" s="1119">
        <f t="shared" si="30"/>
        <v>1282.0499999999993</v>
      </c>
      <c r="G396" s="1121">
        <f t="shared" si="31"/>
        <v>4.8899704210283383E-2</v>
      </c>
      <c r="J396" s="1122"/>
    </row>
    <row r="397" spans="2:10" x14ac:dyDescent="0.25">
      <c r="B397" s="1118">
        <v>26280</v>
      </c>
      <c r="C397" s="1104">
        <v>3150</v>
      </c>
      <c r="D397" s="1119">
        <f t="shared" si="29"/>
        <v>27000</v>
      </c>
      <c r="E397" s="1153">
        <v>27500</v>
      </c>
      <c r="F397" s="1119">
        <f t="shared" si="30"/>
        <v>1220</v>
      </c>
      <c r="G397" s="1121">
        <f t="shared" si="31"/>
        <v>4.6423135464231352E-2</v>
      </c>
      <c r="J397" s="1122"/>
    </row>
    <row r="398" spans="2:10" x14ac:dyDescent="0.25">
      <c r="B398" s="1118">
        <v>26520.9</v>
      </c>
      <c r="C398" s="1104">
        <v>3150</v>
      </c>
      <c r="D398" s="1119">
        <f t="shared" si="29"/>
        <v>27000</v>
      </c>
      <c r="E398" s="1153">
        <v>27500</v>
      </c>
      <c r="F398" s="1119">
        <f t="shared" si="30"/>
        <v>979.09999999999854</v>
      </c>
      <c r="G398" s="1121">
        <f t="shared" si="31"/>
        <v>3.6918053308899718E-2</v>
      </c>
      <c r="J398" s="1122"/>
    </row>
    <row r="399" spans="2:10" x14ac:dyDescent="0.25">
      <c r="B399" s="1118">
        <v>26903</v>
      </c>
      <c r="C399" s="1104">
        <v>3150</v>
      </c>
      <c r="D399" s="1119">
        <f t="shared" si="29"/>
        <v>27000</v>
      </c>
      <c r="E399" s="1153">
        <v>27500</v>
      </c>
      <c r="F399" s="1119">
        <f t="shared" si="30"/>
        <v>597</v>
      </c>
      <c r="G399" s="1121">
        <f t="shared" si="31"/>
        <v>2.2190833736014572E-2</v>
      </c>
      <c r="J399" s="1122"/>
    </row>
    <row r="400" spans="2:10" x14ac:dyDescent="0.25">
      <c r="B400" s="1118">
        <v>26914</v>
      </c>
      <c r="C400" s="1104">
        <v>3150</v>
      </c>
      <c r="D400" s="1119">
        <f t="shared" si="29"/>
        <v>27000</v>
      </c>
      <c r="E400" s="1153">
        <v>27500</v>
      </c>
      <c r="F400" s="1119">
        <f t="shared" si="30"/>
        <v>586</v>
      </c>
      <c r="G400" s="1121">
        <f t="shared" si="31"/>
        <v>2.1773054915657279E-2</v>
      </c>
      <c r="J400" s="1122"/>
    </row>
    <row r="401" spans="2:10" x14ac:dyDescent="0.25">
      <c r="B401" s="1118">
        <v>26999.05</v>
      </c>
      <c r="C401" s="1104">
        <v>3150</v>
      </c>
      <c r="D401" s="1119">
        <f t="shared" si="29"/>
        <v>27000</v>
      </c>
      <c r="E401" s="1153">
        <v>27500</v>
      </c>
      <c r="F401" s="1119">
        <f t="shared" si="30"/>
        <v>500.95000000000073</v>
      </c>
      <c r="G401" s="1121">
        <f t="shared" si="31"/>
        <v>1.855435654217466E-2</v>
      </c>
      <c r="J401" s="1122"/>
    </row>
    <row r="402" spans="2:10" x14ac:dyDescent="0.25">
      <c r="B402" s="1118">
        <v>26999.05</v>
      </c>
      <c r="C402" s="1104">
        <v>3150</v>
      </c>
      <c r="D402" s="1119">
        <f t="shared" si="29"/>
        <v>27000</v>
      </c>
      <c r="E402" s="1153">
        <v>27500</v>
      </c>
      <c r="F402" s="1119">
        <f t="shared" si="30"/>
        <v>500.95000000000073</v>
      </c>
      <c r="G402" s="1121">
        <f t="shared" si="31"/>
        <v>1.855435654217466E-2</v>
      </c>
      <c r="J402" s="1122"/>
    </row>
    <row r="403" spans="2:10" x14ac:dyDescent="0.25">
      <c r="B403" s="1118">
        <v>27000</v>
      </c>
      <c r="C403" s="1104">
        <v>3150</v>
      </c>
      <c r="D403" s="1119">
        <f t="shared" si="29"/>
        <v>27000</v>
      </c>
      <c r="E403" s="1153">
        <v>27500</v>
      </c>
      <c r="F403" s="1119">
        <f t="shared" si="30"/>
        <v>500</v>
      </c>
      <c r="G403" s="1121">
        <f t="shared" si="31"/>
        <v>1.8518518518518517E-2</v>
      </c>
      <c r="J403" s="1122"/>
    </row>
    <row r="404" spans="2:10" x14ac:dyDescent="0.25">
      <c r="B404" s="1118">
        <v>27000</v>
      </c>
      <c r="C404" s="1104">
        <v>3150</v>
      </c>
      <c r="D404" s="1119">
        <f t="shared" si="29"/>
        <v>27000</v>
      </c>
      <c r="E404" s="1153">
        <v>27500</v>
      </c>
      <c r="F404" s="1119">
        <f t="shared" si="30"/>
        <v>500</v>
      </c>
      <c r="G404" s="1121">
        <f t="shared" si="31"/>
        <v>1.8518518518518517E-2</v>
      </c>
      <c r="J404" s="1122"/>
    </row>
    <row r="405" spans="2:10" x14ac:dyDescent="0.25">
      <c r="B405" s="1118">
        <v>27060</v>
      </c>
      <c r="C405" s="1104">
        <v>3150</v>
      </c>
      <c r="D405" s="1119">
        <f t="shared" si="29"/>
        <v>28000</v>
      </c>
      <c r="E405" s="1153">
        <v>27500</v>
      </c>
      <c r="F405" s="1119">
        <f t="shared" si="30"/>
        <v>440</v>
      </c>
      <c r="G405" s="1121">
        <f t="shared" si="31"/>
        <v>1.6260162601626018E-2</v>
      </c>
      <c r="J405" s="1122"/>
    </row>
    <row r="406" spans="2:10" x14ac:dyDescent="0.25">
      <c r="B406" s="1118">
        <v>27375</v>
      </c>
      <c r="C406" s="1104">
        <v>3150</v>
      </c>
      <c r="D406" s="1119">
        <f t="shared" si="29"/>
        <v>28000</v>
      </c>
      <c r="E406" s="1153">
        <v>27500</v>
      </c>
      <c r="F406" s="1119">
        <f t="shared" si="30"/>
        <v>125</v>
      </c>
      <c r="G406" s="1121">
        <f t="shared" si="31"/>
        <v>4.5662100456621002E-3</v>
      </c>
      <c r="J406" s="1122"/>
    </row>
    <row r="407" spans="2:10" x14ac:dyDescent="0.25">
      <c r="B407" s="1118">
        <v>27375</v>
      </c>
      <c r="C407" s="1104">
        <v>3150</v>
      </c>
      <c r="D407" s="1119">
        <f t="shared" si="29"/>
        <v>28000</v>
      </c>
      <c r="E407" s="1153">
        <v>27500</v>
      </c>
      <c r="F407" s="1119">
        <f t="shared" si="30"/>
        <v>125</v>
      </c>
      <c r="G407" s="1121">
        <f t="shared" si="31"/>
        <v>4.5662100456621002E-3</v>
      </c>
      <c r="J407" s="1122"/>
    </row>
    <row r="408" spans="2:10" x14ac:dyDescent="0.25">
      <c r="B408" s="1118">
        <v>27375</v>
      </c>
      <c r="C408" s="1104">
        <v>3150</v>
      </c>
      <c r="D408" s="1119">
        <f t="shared" si="29"/>
        <v>28000</v>
      </c>
      <c r="E408" s="1153">
        <v>27500</v>
      </c>
      <c r="F408" s="1119">
        <f t="shared" si="30"/>
        <v>125</v>
      </c>
      <c r="G408" s="1121">
        <f t="shared" si="31"/>
        <v>4.5662100456621002E-3</v>
      </c>
      <c r="J408" s="1122"/>
    </row>
    <row r="409" spans="2:10" x14ac:dyDescent="0.25">
      <c r="B409" s="1118">
        <v>27375</v>
      </c>
      <c r="C409" s="1104">
        <v>3150</v>
      </c>
      <c r="D409" s="1119">
        <f t="shared" si="29"/>
        <v>28000</v>
      </c>
      <c r="E409" s="1153">
        <v>27500</v>
      </c>
      <c r="F409" s="1119">
        <f t="shared" si="30"/>
        <v>125</v>
      </c>
      <c r="G409" s="1121">
        <f t="shared" si="31"/>
        <v>4.5662100456621002E-3</v>
      </c>
      <c r="J409" s="1122"/>
    </row>
    <row r="410" spans="2:10" x14ac:dyDescent="0.25">
      <c r="B410" s="1118">
        <v>27375</v>
      </c>
      <c r="C410" s="1104">
        <v>3150</v>
      </c>
      <c r="D410" s="1119">
        <f t="shared" si="29"/>
        <v>28000</v>
      </c>
      <c r="E410" s="1153">
        <v>27500</v>
      </c>
      <c r="F410" s="1119">
        <f t="shared" si="30"/>
        <v>125</v>
      </c>
      <c r="G410" s="1121">
        <f t="shared" si="31"/>
        <v>4.5662100456621002E-3</v>
      </c>
      <c r="J410" s="1122"/>
    </row>
    <row r="411" spans="2:10" x14ac:dyDescent="0.25">
      <c r="B411" s="1118">
        <v>27440</v>
      </c>
      <c r="C411" s="1104">
        <v>3150</v>
      </c>
      <c r="D411" s="1119">
        <f t="shared" si="29"/>
        <v>28000</v>
      </c>
      <c r="E411" s="1153">
        <v>27500</v>
      </c>
      <c r="F411" s="1119">
        <f t="shared" si="30"/>
        <v>60</v>
      </c>
      <c r="G411" s="1121">
        <f t="shared" si="31"/>
        <v>2.1865889212827989E-3</v>
      </c>
      <c r="J411" s="1122"/>
    </row>
    <row r="412" spans="2:10" x14ac:dyDescent="0.25">
      <c r="B412" s="1118">
        <v>27500</v>
      </c>
      <c r="C412" s="1104">
        <v>3150</v>
      </c>
      <c r="D412" s="1119">
        <f t="shared" si="29"/>
        <v>28000</v>
      </c>
      <c r="E412" s="1153">
        <v>27500</v>
      </c>
      <c r="F412" s="1119">
        <f t="shared" si="30"/>
        <v>0</v>
      </c>
      <c r="G412" s="1121">
        <f t="shared" si="31"/>
        <v>0</v>
      </c>
      <c r="J412" s="1122"/>
    </row>
    <row r="413" spans="2:10" x14ac:dyDescent="0.25">
      <c r="B413" s="1118">
        <v>27600</v>
      </c>
      <c r="C413" s="1104">
        <v>3150</v>
      </c>
      <c r="D413" s="1119">
        <f t="shared" si="29"/>
        <v>28000</v>
      </c>
      <c r="E413" s="1154">
        <v>30000</v>
      </c>
      <c r="F413" s="1119">
        <f t="shared" si="30"/>
        <v>2400</v>
      </c>
      <c r="G413" s="1121">
        <f t="shared" si="31"/>
        <v>8.6956521739130432E-2</v>
      </c>
      <c r="H413" s="1141">
        <v>33</v>
      </c>
      <c r="J413" s="1142">
        <f>AVERAGE(B413:B445)</f>
        <v>29156.175757575755</v>
      </c>
    </row>
    <row r="414" spans="2:10" x14ac:dyDescent="0.25">
      <c r="B414" s="1118">
        <v>27724</v>
      </c>
      <c r="C414" s="1104">
        <v>3288</v>
      </c>
      <c r="D414" s="1119">
        <f t="shared" si="29"/>
        <v>28000</v>
      </c>
      <c r="E414" s="1154">
        <v>30000</v>
      </c>
      <c r="F414" s="1119">
        <f t="shared" si="30"/>
        <v>2276</v>
      </c>
      <c r="G414" s="1121">
        <f t="shared" si="31"/>
        <v>8.2094935795700472E-2</v>
      </c>
      <c r="J414" s="1122"/>
    </row>
    <row r="415" spans="2:10" x14ac:dyDescent="0.25">
      <c r="B415" s="1118">
        <v>27798</v>
      </c>
      <c r="C415" s="1104">
        <v>3150</v>
      </c>
      <c r="D415" s="1119">
        <f t="shared" si="29"/>
        <v>28000</v>
      </c>
      <c r="E415" s="1154">
        <v>30000</v>
      </c>
      <c r="F415" s="1119">
        <f t="shared" si="30"/>
        <v>2202</v>
      </c>
      <c r="G415" s="1121">
        <f t="shared" si="31"/>
        <v>7.9214331966328516E-2</v>
      </c>
      <c r="J415" s="1122"/>
    </row>
    <row r="416" spans="2:10" x14ac:dyDescent="0.25">
      <c r="B416" s="1118">
        <v>28048</v>
      </c>
      <c r="C416" s="1104">
        <v>3150</v>
      </c>
      <c r="D416" s="1119">
        <f t="shared" si="29"/>
        <v>29000</v>
      </c>
      <c r="E416" s="1154">
        <v>30000</v>
      </c>
      <c r="F416" s="1119">
        <f t="shared" si="30"/>
        <v>1952</v>
      </c>
      <c r="G416" s="1121">
        <f t="shared" si="31"/>
        <v>6.9594980034227039E-2</v>
      </c>
      <c r="J416" s="1122"/>
    </row>
    <row r="417" spans="2:10" x14ac:dyDescent="0.25">
      <c r="B417" s="1118">
        <v>28416</v>
      </c>
      <c r="C417" s="1104">
        <v>3150</v>
      </c>
      <c r="D417" s="1119">
        <f t="shared" si="29"/>
        <v>29000</v>
      </c>
      <c r="E417" s="1154">
        <v>30000</v>
      </c>
      <c r="F417" s="1119">
        <f t="shared" si="30"/>
        <v>1584</v>
      </c>
      <c r="G417" s="1121">
        <f t="shared" si="31"/>
        <v>5.5743243243243243E-2</v>
      </c>
      <c r="J417" s="1122"/>
    </row>
    <row r="418" spans="2:10" x14ac:dyDescent="0.25">
      <c r="B418" s="1118">
        <v>28450</v>
      </c>
      <c r="C418" s="1104">
        <v>3150</v>
      </c>
      <c r="D418" s="1119">
        <f t="shared" si="29"/>
        <v>29000</v>
      </c>
      <c r="E418" s="1154">
        <v>30000</v>
      </c>
      <c r="F418" s="1119">
        <f t="shared" si="30"/>
        <v>1550</v>
      </c>
      <c r="G418" s="1121">
        <f t="shared" si="31"/>
        <v>5.4481546572934976E-2</v>
      </c>
      <c r="J418" s="1122"/>
    </row>
    <row r="419" spans="2:10" x14ac:dyDescent="0.25">
      <c r="B419" s="1118">
        <v>28499.200000000001</v>
      </c>
      <c r="C419" s="1104">
        <v>3150</v>
      </c>
      <c r="D419" s="1119">
        <f t="shared" si="29"/>
        <v>29000</v>
      </c>
      <c r="E419" s="1154">
        <v>30000</v>
      </c>
      <c r="F419" s="1119">
        <f t="shared" si="30"/>
        <v>1500.7999999999993</v>
      </c>
      <c r="G419" s="1121">
        <f t="shared" si="31"/>
        <v>5.2661127329889937E-2</v>
      </c>
      <c r="J419" s="1122"/>
    </row>
    <row r="420" spans="2:10" x14ac:dyDescent="0.25">
      <c r="B420" s="1118">
        <v>28500</v>
      </c>
      <c r="C420" s="1104">
        <v>3288</v>
      </c>
      <c r="D420" s="1119">
        <f t="shared" si="29"/>
        <v>29000</v>
      </c>
      <c r="E420" s="1154">
        <v>30000</v>
      </c>
      <c r="F420" s="1119">
        <f t="shared" si="30"/>
        <v>1500</v>
      </c>
      <c r="G420" s="1121">
        <f t="shared" si="31"/>
        <v>5.2631578947368418E-2</v>
      </c>
      <c r="J420" s="1122"/>
    </row>
    <row r="421" spans="2:10" x14ac:dyDescent="0.25">
      <c r="B421" s="1118">
        <v>28600</v>
      </c>
      <c r="C421" s="1104">
        <v>3150</v>
      </c>
      <c r="D421" s="1119">
        <f t="shared" si="29"/>
        <v>29000</v>
      </c>
      <c r="E421" s="1154">
        <v>30000</v>
      </c>
      <c r="F421" s="1119">
        <f t="shared" si="30"/>
        <v>1400</v>
      </c>
      <c r="G421" s="1121">
        <f t="shared" si="31"/>
        <v>4.8951048951048952E-2</v>
      </c>
      <c r="J421" s="1122"/>
    </row>
    <row r="422" spans="2:10" x14ac:dyDescent="0.25">
      <c r="B422" s="1118">
        <v>28600</v>
      </c>
      <c r="C422" s="1104">
        <v>3150</v>
      </c>
      <c r="D422" s="1119">
        <f t="shared" si="29"/>
        <v>29000</v>
      </c>
      <c r="E422" s="1154">
        <v>30000</v>
      </c>
      <c r="F422" s="1119">
        <f t="shared" si="30"/>
        <v>1400</v>
      </c>
      <c r="G422" s="1121">
        <f t="shared" si="31"/>
        <v>4.8951048951048952E-2</v>
      </c>
      <c r="J422" s="1122"/>
    </row>
    <row r="423" spans="2:10" x14ac:dyDescent="0.25">
      <c r="B423" s="1118">
        <v>28736</v>
      </c>
      <c r="C423" s="1104">
        <v>3150</v>
      </c>
      <c r="D423" s="1119">
        <f t="shared" si="29"/>
        <v>29000</v>
      </c>
      <c r="E423" s="1154">
        <v>30000</v>
      </c>
      <c r="F423" s="1119">
        <f t="shared" si="30"/>
        <v>1264</v>
      </c>
      <c r="G423" s="1121">
        <f t="shared" si="31"/>
        <v>4.3986636971046773E-2</v>
      </c>
      <c r="J423" s="1122"/>
    </row>
    <row r="424" spans="2:10" x14ac:dyDescent="0.25">
      <c r="B424" s="1118">
        <v>28750</v>
      </c>
      <c r="C424" s="1104">
        <v>3150</v>
      </c>
      <c r="D424" s="1119">
        <f t="shared" si="29"/>
        <v>29000</v>
      </c>
      <c r="E424" s="1154">
        <v>30000</v>
      </c>
      <c r="F424" s="1119">
        <f t="shared" si="30"/>
        <v>1250</v>
      </c>
      <c r="G424" s="1121">
        <f t="shared" si="31"/>
        <v>4.3478260869565216E-2</v>
      </c>
      <c r="J424" s="1122"/>
    </row>
    <row r="425" spans="2:10" x14ac:dyDescent="0.25">
      <c r="B425" s="1118">
        <v>28880</v>
      </c>
      <c r="C425" s="1104">
        <v>3150</v>
      </c>
      <c r="D425" s="1119">
        <f t="shared" si="29"/>
        <v>29000</v>
      </c>
      <c r="E425" s="1154">
        <v>30000</v>
      </c>
      <c r="F425" s="1119">
        <f t="shared" si="30"/>
        <v>1120</v>
      </c>
      <c r="G425" s="1121">
        <f t="shared" si="31"/>
        <v>3.8781163434903045E-2</v>
      </c>
      <c r="J425" s="1122"/>
    </row>
    <row r="426" spans="2:10" x14ac:dyDescent="0.25">
      <c r="B426" s="1118">
        <v>28880</v>
      </c>
      <c r="C426" s="1104">
        <v>3288</v>
      </c>
      <c r="D426" s="1119">
        <f t="shared" si="29"/>
        <v>29000</v>
      </c>
      <c r="E426" s="1154">
        <v>30000</v>
      </c>
      <c r="F426" s="1119">
        <f t="shared" si="30"/>
        <v>1120</v>
      </c>
      <c r="G426" s="1121">
        <f t="shared" si="31"/>
        <v>3.8781163434903045E-2</v>
      </c>
      <c r="J426" s="1122"/>
    </row>
    <row r="427" spans="2:10" x14ac:dyDescent="0.25">
      <c r="B427" s="1118">
        <v>28999.25</v>
      </c>
      <c r="C427" s="1104">
        <v>3150</v>
      </c>
      <c r="D427" s="1119">
        <f t="shared" si="29"/>
        <v>29000</v>
      </c>
      <c r="E427" s="1154">
        <v>30000</v>
      </c>
      <c r="F427" s="1119">
        <f t="shared" si="30"/>
        <v>1000.75</v>
      </c>
      <c r="G427" s="1121">
        <f t="shared" si="31"/>
        <v>3.4509513177064924E-2</v>
      </c>
      <c r="J427" s="1122"/>
    </row>
    <row r="428" spans="2:10" x14ac:dyDescent="0.25">
      <c r="B428" s="1118">
        <v>29100</v>
      </c>
      <c r="C428" s="1104">
        <v>3288</v>
      </c>
      <c r="D428" s="1119">
        <f t="shared" si="29"/>
        <v>30000</v>
      </c>
      <c r="E428" s="1154">
        <v>30000</v>
      </c>
      <c r="F428" s="1119">
        <f t="shared" si="30"/>
        <v>900</v>
      </c>
      <c r="G428" s="1121">
        <f t="shared" si="31"/>
        <v>3.0927835051546393E-2</v>
      </c>
      <c r="J428" s="1122"/>
    </row>
    <row r="429" spans="2:10" x14ac:dyDescent="0.25">
      <c r="B429" s="1118">
        <v>29100</v>
      </c>
      <c r="C429" s="1104">
        <v>3288</v>
      </c>
      <c r="D429" s="1119">
        <f t="shared" si="29"/>
        <v>30000</v>
      </c>
      <c r="E429" s="1154">
        <v>30000</v>
      </c>
      <c r="F429" s="1119">
        <f t="shared" si="30"/>
        <v>900</v>
      </c>
      <c r="G429" s="1121">
        <f t="shared" si="31"/>
        <v>3.0927835051546393E-2</v>
      </c>
      <c r="J429" s="1122"/>
    </row>
    <row r="430" spans="2:10" x14ac:dyDescent="0.25">
      <c r="B430" s="1118">
        <v>29250</v>
      </c>
      <c r="C430" s="1104">
        <v>3150</v>
      </c>
      <c r="D430" s="1119">
        <f t="shared" si="29"/>
        <v>30000</v>
      </c>
      <c r="E430" s="1154">
        <v>30000</v>
      </c>
      <c r="F430" s="1119">
        <f t="shared" si="30"/>
        <v>750</v>
      </c>
      <c r="G430" s="1121">
        <f t="shared" si="31"/>
        <v>2.564102564102564E-2</v>
      </c>
      <c r="J430" s="1122"/>
    </row>
    <row r="431" spans="2:10" x14ac:dyDescent="0.25">
      <c r="B431" s="1118">
        <v>29448</v>
      </c>
      <c r="C431" s="1104">
        <v>3288</v>
      </c>
      <c r="D431" s="1119">
        <f t="shared" si="29"/>
        <v>30000</v>
      </c>
      <c r="E431" s="1154">
        <v>30000</v>
      </c>
      <c r="F431" s="1119">
        <f t="shared" si="30"/>
        <v>552</v>
      </c>
      <c r="G431" s="1121">
        <f t="shared" si="31"/>
        <v>1.8744906275468622E-2</v>
      </c>
      <c r="J431" s="1122"/>
    </row>
    <row r="432" spans="2:10" x14ac:dyDescent="0.25">
      <c r="B432" s="1118">
        <v>29500</v>
      </c>
      <c r="C432" s="1104">
        <v>3150</v>
      </c>
      <c r="D432" s="1119">
        <f t="shared" si="29"/>
        <v>30000</v>
      </c>
      <c r="E432" s="1154">
        <v>30000</v>
      </c>
      <c r="F432" s="1119">
        <f t="shared" si="30"/>
        <v>500</v>
      </c>
      <c r="G432" s="1121">
        <f t="shared" si="31"/>
        <v>1.6949152542372881E-2</v>
      </c>
      <c r="J432" s="1122"/>
    </row>
    <row r="433" spans="2:10" x14ac:dyDescent="0.25">
      <c r="B433" s="1118">
        <v>29700</v>
      </c>
      <c r="C433" s="1104">
        <v>3150</v>
      </c>
      <c r="D433" s="1119">
        <f t="shared" si="29"/>
        <v>30000</v>
      </c>
      <c r="E433" s="1154">
        <v>30000</v>
      </c>
      <c r="F433" s="1119">
        <f t="shared" si="30"/>
        <v>300</v>
      </c>
      <c r="G433" s="1121">
        <f t="shared" si="31"/>
        <v>1.0101010101010102E-2</v>
      </c>
      <c r="J433" s="1122"/>
    </row>
    <row r="434" spans="2:10" x14ac:dyDescent="0.25">
      <c r="B434" s="1118">
        <v>29700</v>
      </c>
      <c r="C434" s="1104">
        <v>3150</v>
      </c>
      <c r="D434" s="1119">
        <f t="shared" si="29"/>
        <v>30000</v>
      </c>
      <c r="E434" s="1154">
        <v>30000</v>
      </c>
      <c r="F434" s="1119">
        <f t="shared" si="30"/>
        <v>300</v>
      </c>
      <c r="G434" s="1121">
        <f t="shared" si="31"/>
        <v>1.0101010101010102E-2</v>
      </c>
      <c r="J434" s="1122"/>
    </row>
    <row r="435" spans="2:10" x14ac:dyDescent="0.25">
      <c r="B435" s="1118">
        <v>29880</v>
      </c>
      <c r="C435" s="1104">
        <v>3150</v>
      </c>
      <c r="D435" s="1119">
        <f t="shared" si="29"/>
        <v>30000</v>
      </c>
      <c r="E435" s="1154">
        <v>30000</v>
      </c>
      <c r="F435" s="1119">
        <f t="shared" si="30"/>
        <v>120</v>
      </c>
      <c r="G435" s="1121">
        <f t="shared" si="31"/>
        <v>4.0160642570281121E-3</v>
      </c>
      <c r="J435" s="1122"/>
    </row>
    <row r="436" spans="2:10" x14ac:dyDescent="0.25">
      <c r="B436" s="1118">
        <v>29995.35</v>
      </c>
      <c r="C436" s="1104">
        <v>3150</v>
      </c>
      <c r="D436" s="1119">
        <f t="shared" si="29"/>
        <v>30000</v>
      </c>
      <c r="E436" s="1154">
        <v>30000</v>
      </c>
      <c r="F436" s="1119">
        <f t="shared" si="30"/>
        <v>4.6500000000014552</v>
      </c>
      <c r="G436" s="1121">
        <f t="shared" si="31"/>
        <v>1.550240287245008E-4</v>
      </c>
      <c r="J436" s="1122"/>
    </row>
    <row r="437" spans="2:10" x14ac:dyDescent="0.25">
      <c r="B437" s="1118">
        <v>30000</v>
      </c>
      <c r="C437" s="1104">
        <v>3150</v>
      </c>
      <c r="D437" s="1119">
        <f t="shared" si="29"/>
        <v>30000</v>
      </c>
      <c r="E437" s="1154">
        <v>30000</v>
      </c>
      <c r="F437" s="1119">
        <f t="shared" si="30"/>
        <v>0</v>
      </c>
      <c r="G437" s="1121">
        <f t="shared" si="31"/>
        <v>0</v>
      </c>
      <c r="J437" s="1122"/>
    </row>
    <row r="438" spans="2:10" x14ac:dyDescent="0.25">
      <c r="B438" s="1118">
        <v>30000</v>
      </c>
      <c r="C438" s="1104">
        <v>3150</v>
      </c>
      <c r="D438" s="1119">
        <f t="shared" si="29"/>
        <v>30000</v>
      </c>
      <c r="E438" s="1154">
        <v>30000</v>
      </c>
      <c r="F438" s="1119">
        <f t="shared" si="30"/>
        <v>0</v>
      </c>
      <c r="G438" s="1121">
        <f t="shared" si="31"/>
        <v>0</v>
      </c>
      <c r="J438" s="1122"/>
    </row>
    <row r="439" spans="2:10" x14ac:dyDescent="0.25">
      <c r="B439" s="1118">
        <v>30000</v>
      </c>
      <c r="C439" s="1104">
        <v>3150</v>
      </c>
      <c r="D439" s="1119">
        <f t="shared" si="29"/>
        <v>30000</v>
      </c>
      <c r="E439" s="1154">
        <v>30000</v>
      </c>
      <c r="F439" s="1119">
        <f t="shared" si="30"/>
        <v>0</v>
      </c>
      <c r="G439" s="1121">
        <f t="shared" si="31"/>
        <v>0</v>
      </c>
      <c r="J439" s="1122"/>
    </row>
    <row r="440" spans="2:10" x14ac:dyDescent="0.25">
      <c r="B440" s="1118">
        <v>30000</v>
      </c>
      <c r="C440" s="1104">
        <v>3150</v>
      </c>
      <c r="D440" s="1119">
        <f t="shared" si="29"/>
        <v>30000</v>
      </c>
      <c r="E440" s="1154">
        <v>30000</v>
      </c>
      <c r="F440" s="1119">
        <f t="shared" si="30"/>
        <v>0</v>
      </c>
      <c r="G440" s="1121">
        <f t="shared" si="31"/>
        <v>0</v>
      </c>
      <c r="J440" s="1122"/>
    </row>
    <row r="441" spans="2:10" x14ac:dyDescent="0.25">
      <c r="B441" s="1118">
        <v>30000</v>
      </c>
      <c r="C441" s="1104">
        <v>3150</v>
      </c>
      <c r="D441" s="1119">
        <f t="shared" si="29"/>
        <v>30000</v>
      </c>
      <c r="E441" s="1154">
        <v>30000</v>
      </c>
      <c r="F441" s="1119">
        <f t="shared" si="30"/>
        <v>0</v>
      </c>
      <c r="G441" s="1121">
        <f t="shared" si="31"/>
        <v>0</v>
      </c>
      <c r="J441" s="1122"/>
    </row>
    <row r="442" spans="2:10" x14ac:dyDescent="0.25">
      <c r="B442" s="1118">
        <v>30000</v>
      </c>
      <c r="C442" s="1104">
        <v>3150</v>
      </c>
      <c r="D442" s="1119">
        <f t="shared" si="29"/>
        <v>30000</v>
      </c>
      <c r="E442" s="1154">
        <v>30000</v>
      </c>
      <c r="F442" s="1119">
        <f t="shared" si="30"/>
        <v>0</v>
      </c>
      <c r="G442" s="1121">
        <f t="shared" si="31"/>
        <v>0</v>
      </c>
      <c r="J442" s="1122"/>
    </row>
    <row r="443" spans="2:10" x14ac:dyDescent="0.25">
      <c r="B443" s="1118">
        <v>30000</v>
      </c>
      <c r="C443" s="1104">
        <v>3150</v>
      </c>
      <c r="D443" s="1119">
        <f t="shared" si="29"/>
        <v>30000</v>
      </c>
      <c r="E443" s="1154">
        <v>30000</v>
      </c>
      <c r="F443" s="1119">
        <f t="shared" si="30"/>
        <v>0</v>
      </c>
      <c r="G443" s="1121">
        <f t="shared" si="31"/>
        <v>0</v>
      </c>
      <c r="J443" s="1122"/>
    </row>
    <row r="444" spans="2:10" x14ac:dyDescent="0.25">
      <c r="B444" s="1118">
        <v>30000</v>
      </c>
      <c r="C444" s="1104">
        <v>3150</v>
      </c>
      <c r="D444" s="1119">
        <f t="shared" si="29"/>
        <v>30000</v>
      </c>
      <c r="E444" s="1154">
        <v>30000</v>
      </c>
      <c r="F444" s="1119">
        <f t="shared" si="30"/>
        <v>0</v>
      </c>
      <c r="G444" s="1121">
        <f t="shared" si="31"/>
        <v>0</v>
      </c>
      <c r="J444" s="1122"/>
    </row>
    <row r="445" spans="2:10" x14ac:dyDescent="0.25">
      <c r="B445" s="1118">
        <v>30000</v>
      </c>
      <c r="C445" s="1104">
        <v>3288</v>
      </c>
      <c r="D445" s="1119">
        <f t="shared" si="29"/>
        <v>30000</v>
      </c>
      <c r="E445" s="1154">
        <v>30000</v>
      </c>
      <c r="F445" s="1119">
        <f t="shared" si="30"/>
        <v>0</v>
      </c>
      <c r="G445" s="1121">
        <f t="shared" si="31"/>
        <v>0</v>
      </c>
      <c r="J445" s="1122"/>
    </row>
    <row r="446" spans="2:10" x14ac:dyDescent="0.25">
      <c r="B446" s="1118">
        <v>30274.3</v>
      </c>
      <c r="C446" s="1104">
        <v>3150</v>
      </c>
      <c r="D446" s="1119">
        <f t="shared" si="29"/>
        <v>31000</v>
      </c>
      <c r="E446" s="1155">
        <v>35000</v>
      </c>
      <c r="F446" s="1119">
        <f t="shared" si="30"/>
        <v>4725.7000000000007</v>
      </c>
      <c r="G446" s="1121">
        <f t="shared" si="31"/>
        <v>0.15609609470739211</v>
      </c>
      <c r="H446" s="1141">
        <v>80</v>
      </c>
      <c r="J446" s="1142">
        <f>AVERAGE(B446:B525)</f>
        <v>33114.903249999996</v>
      </c>
    </row>
    <row r="447" spans="2:10" x14ac:dyDescent="0.25">
      <c r="B447" s="1118">
        <v>30400</v>
      </c>
      <c r="C447" s="1104">
        <v>3288</v>
      </c>
      <c r="D447" s="1119">
        <f t="shared" si="29"/>
        <v>31000</v>
      </c>
      <c r="E447" s="1155">
        <v>35000</v>
      </c>
      <c r="F447" s="1119">
        <f t="shared" si="30"/>
        <v>4600</v>
      </c>
      <c r="G447" s="1121">
        <f t="shared" si="31"/>
        <v>0.15131578947368421</v>
      </c>
      <c r="J447" s="1122"/>
    </row>
    <row r="448" spans="2:10" x14ac:dyDescent="0.25">
      <c r="B448" s="1118">
        <v>30500</v>
      </c>
      <c r="C448" s="1104">
        <v>3150</v>
      </c>
      <c r="D448" s="1119">
        <f t="shared" si="29"/>
        <v>31000</v>
      </c>
      <c r="E448" s="1155">
        <v>35000</v>
      </c>
      <c r="F448" s="1119">
        <f t="shared" si="30"/>
        <v>4500</v>
      </c>
      <c r="G448" s="1121">
        <f t="shared" si="31"/>
        <v>0.14754098360655737</v>
      </c>
      <c r="J448" s="1122"/>
    </row>
    <row r="449" spans="2:10" x14ac:dyDescent="0.25">
      <c r="B449" s="1118">
        <v>30600</v>
      </c>
      <c r="C449" s="1104">
        <v>3288</v>
      </c>
      <c r="D449" s="1119">
        <f t="shared" si="29"/>
        <v>31000</v>
      </c>
      <c r="E449" s="1155">
        <v>35000</v>
      </c>
      <c r="F449" s="1119">
        <f t="shared" si="30"/>
        <v>4400</v>
      </c>
      <c r="G449" s="1121">
        <f t="shared" si="31"/>
        <v>0.1437908496732026</v>
      </c>
      <c r="J449" s="1122"/>
    </row>
    <row r="450" spans="2:10" x14ac:dyDescent="0.25">
      <c r="B450" s="1118">
        <v>30620</v>
      </c>
      <c r="C450" s="1104">
        <v>3150</v>
      </c>
      <c r="D450" s="1119">
        <f t="shared" ref="D450:D513" si="32">ROUNDUP(B450,-3)</f>
        <v>31000</v>
      </c>
      <c r="E450" s="1155">
        <v>35000</v>
      </c>
      <c r="F450" s="1119">
        <f t="shared" ref="F450:F513" si="33">E450-B450</f>
        <v>4380</v>
      </c>
      <c r="G450" s="1121">
        <f t="shared" ref="G450:G513" si="34">F450/B450</f>
        <v>0.14304376224689747</v>
      </c>
      <c r="J450" s="1122"/>
    </row>
    <row r="451" spans="2:10" x14ac:dyDescent="0.25">
      <c r="B451" s="1118">
        <v>30655</v>
      </c>
      <c r="C451" s="1104">
        <v>3150</v>
      </c>
      <c r="D451" s="1119">
        <f t="shared" si="32"/>
        <v>31000</v>
      </c>
      <c r="E451" s="1155">
        <v>35000</v>
      </c>
      <c r="F451" s="1119">
        <f t="shared" si="33"/>
        <v>4345</v>
      </c>
      <c r="G451" s="1121">
        <f t="shared" si="34"/>
        <v>0.14173870494209753</v>
      </c>
      <c r="J451" s="1122"/>
    </row>
    <row r="452" spans="2:10" x14ac:dyDescent="0.25">
      <c r="B452" s="1118">
        <v>30660</v>
      </c>
      <c r="C452" s="1104">
        <v>3150</v>
      </c>
      <c r="D452" s="1119">
        <f t="shared" si="32"/>
        <v>31000</v>
      </c>
      <c r="E452" s="1155">
        <v>35000</v>
      </c>
      <c r="F452" s="1119">
        <f t="shared" si="33"/>
        <v>4340</v>
      </c>
      <c r="G452" s="1121">
        <f t="shared" si="34"/>
        <v>0.14155251141552511</v>
      </c>
      <c r="J452" s="1122"/>
    </row>
    <row r="453" spans="2:10" x14ac:dyDescent="0.25">
      <c r="B453" s="1118">
        <v>30792</v>
      </c>
      <c r="C453" s="1104">
        <v>3150</v>
      </c>
      <c r="D453" s="1119">
        <f t="shared" si="32"/>
        <v>31000</v>
      </c>
      <c r="E453" s="1155">
        <v>35000</v>
      </c>
      <c r="F453" s="1119">
        <f t="shared" si="33"/>
        <v>4208</v>
      </c>
      <c r="G453" s="1121">
        <f t="shared" si="34"/>
        <v>0.13665887243439853</v>
      </c>
      <c r="J453" s="1122"/>
    </row>
    <row r="454" spans="2:10" x14ac:dyDescent="0.25">
      <c r="B454" s="1118">
        <v>30999.45</v>
      </c>
      <c r="C454" s="1104">
        <v>3150</v>
      </c>
      <c r="D454" s="1119">
        <f t="shared" si="32"/>
        <v>31000</v>
      </c>
      <c r="E454" s="1155">
        <v>35000</v>
      </c>
      <c r="F454" s="1119">
        <f t="shared" si="33"/>
        <v>4000.5499999999993</v>
      </c>
      <c r="G454" s="1121">
        <f t="shared" si="34"/>
        <v>0.12905228963739676</v>
      </c>
      <c r="J454" s="1122"/>
    </row>
    <row r="455" spans="2:10" x14ac:dyDescent="0.25">
      <c r="B455" s="1118">
        <v>31000</v>
      </c>
      <c r="C455" s="1104">
        <v>3150</v>
      </c>
      <c r="D455" s="1119">
        <f t="shared" si="32"/>
        <v>31000</v>
      </c>
      <c r="E455" s="1155">
        <v>35000</v>
      </c>
      <c r="F455" s="1119">
        <f t="shared" si="33"/>
        <v>4000</v>
      </c>
      <c r="G455" s="1121">
        <f t="shared" si="34"/>
        <v>0.12903225806451613</v>
      </c>
      <c r="J455" s="1122"/>
    </row>
    <row r="456" spans="2:10" x14ac:dyDescent="0.25">
      <c r="B456" s="1118">
        <v>31043</v>
      </c>
      <c r="C456" s="1104">
        <v>3150</v>
      </c>
      <c r="D456" s="1119">
        <f t="shared" si="32"/>
        <v>32000</v>
      </c>
      <c r="E456" s="1155">
        <v>35000</v>
      </c>
      <c r="F456" s="1119">
        <f t="shared" si="33"/>
        <v>3957</v>
      </c>
      <c r="G456" s="1121">
        <f t="shared" si="34"/>
        <v>0.12746835035273651</v>
      </c>
      <c r="J456" s="1122"/>
    </row>
    <row r="457" spans="2:10" x14ac:dyDescent="0.25">
      <c r="B457" s="1118">
        <v>31129</v>
      </c>
      <c r="C457" s="1104">
        <v>3288</v>
      </c>
      <c r="D457" s="1119">
        <f t="shared" si="32"/>
        <v>32000</v>
      </c>
      <c r="E457" s="1155">
        <v>35000</v>
      </c>
      <c r="F457" s="1119">
        <f t="shared" si="33"/>
        <v>3871</v>
      </c>
      <c r="G457" s="1121">
        <f t="shared" si="34"/>
        <v>0.12435349673937486</v>
      </c>
      <c r="J457" s="1122"/>
    </row>
    <row r="458" spans="2:10" x14ac:dyDescent="0.25">
      <c r="B458" s="1118">
        <v>31267.84</v>
      </c>
      <c r="C458" s="1104">
        <v>3150</v>
      </c>
      <c r="D458" s="1119">
        <f t="shared" si="32"/>
        <v>32000</v>
      </c>
      <c r="E458" s="1155">
        <v>35000</v>
      </c>
      <c r="F458" s="1119">
        <f t="shared" si="33"/>
        <v>3732.16</v>
      </c>
      <c r="G458" s="1121">
        <f t="shared" si="34"/>
        <v>0.11936097920419191</v>
      </c>
      <c r="J458" s="1122"/>
    </row>
    <row r="459" spans="2:10" x14ac:dyDescent="0.25">
      <c r="B459" s="1118">
        <v>31360.799999999999</v>
      </c>
      <c r="C459" s="1104">
        <v>3150</v>
      </c>
      <c r="D459" s="1119">
        <f t="shared" si="32"/>
        <v>32000</v>
      </c>
      <c r="E459" s="1155">
        <v>35000</v>
      </c>
      <c r="F459" s="1119">
        <f t="shared" si="33"/>
        <v>3639.2000000000007</v>
      </c>
      <c r="G459" s="1121">
        <f t="shared" si="34"/>
        <v>0.1160429580878039</v>
      </c>
      <c r="J459" s="1122"/>
    </row>
    <row r="460" spans="2:10" x14ac:dyDescent="0.25">
      <c r="B460" s="1118">
        <v>31453</v>
      </c>
      <c r="C460" s="1104">
        <v>3288</v>
      </c>
      <c r="D460" s="1119">
        <f t="shared" si="32"/>
        <v>32000</v>
      </c>
      <c r="E460" s="1155">
        <v>35000</v>
      </c>
      <c r="F460" s="1119">
        <f t="shared" si="33"/>
        <v>3547</v>
      </c>
      <c r="G460" s="1121">
        <f t="shared" si="34"/>
        <v>0.11277143674689219</v>
      </c>
      <c r="J460" s="1122"/>
    </row>
    <row r="461" spans="2:10" x14ac:dyDescent="0.25">
      <c r="B461" s="1118">
        <v>31556</v>
      </c>
      <c r="C461" s="1104">
        <v>3150</v>
      </c>
      <c r="D461" s="1119">
        <f t="shared" si="32"/>
        <v>32000</v>
      </c>
      <c r="E461" s="1155">
        <v>35000</v>
      </c>
      <c r="F461" s="1119">
        <f t="shared" si="33"/>
        <v>3444</v>
      </c>
      <c r="G461" s="1121">
        <f t="shared" si="34"/>
        <v>0.10913930789707187</v>
      </c>
      <c r="J461" s="1122"/>
    </row>
    <row r="462" spans="2:10" x14ac:dyDescent="0.25">
      <c r="B462" s="1118">
        <v>31908</v>
      </c>
      <c r="C462" s="1104">
        <v>3150</v>
      </c>
      <c r="D462" s="1119">
        <f t="shared" si="32"/>
        <v>32000</v>
      </c>
      <c r="E462" s="1155">
        <v>35000</v>
      </c>
      <c r="F462" s="1119">
        <f t="shared" si="33"/>
        <v>3092</v>
      </c>
      <c r="G462" s="1121">
        <f t="shared" si="34"/>
        <v>9.6903597843800926E-2</v>
      </c>
      <c r="J462" s="1122"/>
    </row>
    <row r="463" spans="2:10" x14ac:dyDescent="0.25">
      <c r="B463" s="1118">
        <v>31970</v>
      </c>
      <c r="C463" s="1104">
        <v>3150</v>
      </c>
      <c r="D463" s="1119">
        <f t="shared" si="32"/>
        <v>32000</v>
      </c>
      <c r="E463" s="1155">
        <v>35000</v>
      </c>
      <c r="F463" s="1119">
        <f t="shared" si="33"/>
        <v>3030</v>
      </c>
      <c r="G463" s="1121">
        <f t="shared" si="34"/>
        <v>9.4776352830778857E-2</v>
      </c>
      <c r="J463" s="1122"/>
    </row>
    <row r="464" spans="2:10" x14ac:dyDescent="0.25">
      <c r="B464" s="1118">
        <v>31970</v>
      </c>
      <c r="C464" s="1104">
        <v>3288</v>
      </c>
      <c r="D464" s="1119">
        <f t="shared" si="32"/>
        <v>32000</v>
      </c>
      <c r="E464" s="1155">
        <v>35000</v>
      </c>
      <c r="F464" s="1119">
        <f t="shared" si="33"/>
        <v>3030</v>
      </c>
      <c r="G464" s="1121">
        <f t="shared" si="34"/>
        <v>9.4776352830778857E-2</v>
      </c>
      <c r="J464" s="1122"/>
    </row>
    <row r="465" spans="2:10" x14ac:dyDescent="0.25">
      <c r="B465" s="1118">
        <v>31975</v>
      </c>
      <c r="C465" s="1104">
        <v>3288</v>
      </c>
      <c r="D465" s="1119">
        <f t="shared" si="32"/>
        <v>32000</v>
      </c>
      <c r="E465" s="1155">
        <v>35000</v>
      </c>
      <c r="F465" s="1119">
        <f t="shared" si="33"/>
        <v>3025</v>
      </c>
      <c r="G465" s="1121">
        <f t="shared" si="34"/>
        <v>9.4605160281469897E-2</v>
      </c>
      <c r="J465" s="1122"/>
    </row>
    <row r="466" spans="2:10" x14ac:dyDescent="0.25">
      <c r="B466" s="1118">
        <v>31999.45</v>
      </c>
      <c r="C466" s="1104">
        <v>3150</v>
      </c>
      <c r="D466" s="1119">
        <f t="shared" si="32"/>
        <v>32000</v>
      </c>
      <c r="E466" s="1155">
        <v>35000</v>
      </c>
      <c r="F466" s="1119">
        <f t="shared" si="33"/>
        <v>3000.5499999999993</v>
      </c>
      <c r="G466" s="1121">
        <f t="shared" si="34"/>
        <v>9.3768799151235385E-2</v>
      </c>
      <c r="J466" s="1122"/>
    </row>
    <row r="467" spans="2:10" x14ac:dyDescent="0.25">
      <c r="B467" s="1118">
        <v>32000</v>
      </c>
      <c r="C467" s="1104">
        <v>3150</v>
      </c>
      <c r="D467" s="1119">
        <f t="shared" si="32"/>
        <v>32000</v>
      </c>
      <c r="E467" s="1155">
        <v>35000</v>
      </c>
      <c r="F467" s="1119">
        <f t="shared" si="33"/>
        <v>3000</v>
      </c>
      <c r="G467" s="1121">
        <f t="shared" si="34"/>
        <v>9.375E-2</v>
      </c>
      <c r="J467" s="1122"/>
    </row>
    <row r="468" spans="2:10" x14ac:dyDescent="0.25">
      <c r="B468" s="1118">
        <v>32000</v>
      </c>
      <c r="C468" s="1104">
        <v>3150</v>
      </c>
      <c r="D468" s="1119">
        <f t="shared" si="32"/>
        <v>32000</v>
      </c>
      <c r="E468" s="1155">
        <v>35000</v>
      </c>
      <c r="F468" s="1119">
        <f t="shared" si="33"/>
        <v>3000</v>
      </c>
      <c r="G468" s="1121">
        <f t="shared" si="34"/>
        <v>9.375E-2</v>
      </c>
      <c r="J468" s="1122"/>
    </row>
    <row r="469" spans="2:10" x14ac:dyDescent="0.25">
      <c r="B469" s="1118">
        <v>32000</v>
      </c>
      <c r="C469" s="1104">
        <v>3150</v>
      </c>
      <c r="D469" s="1119">
        <f t="shared" si="32"/>
        <v>32000</v>
      </c>
      <c r="E469" s="1155">
        <f t="shared" ref="E469:E525" si="35">IF(B469&lt;=35000,35000)</f>
        <v>35000</v>
      </c>
      <c r="F469" s="1119">
        <f t="shared" si="33"/>
        <v>3000</v>
      </c>
      <c r="G469" s="1121">
        <f t="shared" si="34"/>
        <v>9.375E-2</v>
      </c>
      <c r="J469" s="1122"/>
    </row>
    <row r="470" spans="2:10" x14ac:dyDescent="0.25">
      <c r="B470" s="1118">
        <v>32000</v>
      </c>
      <c r="C470" s="1104">
        <v>3150</v>
      </c>
      <c r="D470" s="1119">
        <f t="shared" si="32"/>
        <v>32000</v>
      </c>
      <c r="E470" s="1155">
        <f t="shared" si="35"/>
        <v>35000</v>
      </c>
      <c r="F470" s="1119">
        <f t="shared" si="33"/>
        <v>3000</v>
      </c>
      <c r="G470" s="1121">
        <f t="shared" si="34"/>
        <v>9.375E-2</v>
      </c>
      <c r="J470" s="1122"/>
    </row>
    <row r="471" spans="2:10" x14ac:dyDescent="0.25">
      <c r="B471" s="1118">
        <v>32000</v>
      </c>
      <c r="C471" s="1104">
        <v>3150</v>
      </c>
      <c r="D471" s="1119">
        <f t="shared" si="32"/>
        <v>32000</v>
      </c>
      <c r="E471" s="1155">
        <f t="shared" si="35"/>
        <v>35000</v>
      </c>
      <c r="F471" s="1119">
        <f t="shared" si="33"/>
        <v>3000</v>
      </c>
      <c r="G471" s="1121">
        <f t="shared" si="34"/>
        <v>9.375E-2</v>
      </c>
      <c r="J471" s="1122"/>
    </row>
    <row r="472" spans="2:10" x14ac:dyDescent="0.25">
      <c r="B472" s="1118">
        <v>32000</v>
      </c>
      <c r="C472" s="1104">
        <v>3150</v>
      </c>
      <c r="D472" s="1119">
        <f t="shared" si="32"/>
        <v>32000</v>
      </c>
      <c r="E472" s="1155">
        <f t="shared" si="35"/>
        <v>35000</v>
      </c>
      <c r="F472" s="1119">
        <f t="shared" si="33"/>
        <v>3000</v>
      </c>
      <c r="G472" s="1121">
        <f t="shared" si="34"/>
        <v>9.375E-2</v>
      </c>
      <c r="J472" s="1122"/>
    </row>
    <row r="473" spans="2:10" x14ac:dyDescent="0.25">
      <c r="B473" s="1118">
        <v>32000</v>
      </c>
      <c r="C473" s="1104">
        <v>3288</v>
      </c>
      <c r="D473" s="1119">
        <f t="shared" si="32"/>
        <v>32000</v>
      </c>
      <c r="E473" s="1155">
        <f t="shared" si="35"/>
        <v>35000</v>
      </c>
      <c r="F473" s="1119">
        <f t="shared" si="33"/>
        <v>3000</v>
      </c>
      <c r="G473" s="1121">
        <f t="shared" si="34"/>
        <v>9.375E-2</v>
      </c>
      <c r="J473" s="1122"/>
    </row>
    <row r="474" spans="2:10" x14ac:dyDescent="0.25">
      <c r="B474" s="1118">
        <v>32000</v>
      </c>
      <c r="C474" s="1104">
        <v>3288</v>
      </c>
      <c r="D474" s="1119">
        <f t="shared" si="32"/>
        <v>32000</v>
      </c>
      <c r="E474" s="1155">
        <f t="shared" si="35"/>
        <v>35000</v>
      </c>
      <c r="F474" s="1119">
        <f t="shared" si="33"/>
        <v>3000</v>
      </c>
      <c r="G474" s="1121">
        <f t="shared" si="34"/>
        <v>9.375E-2</v>
      </c>
      <c r="J474" s="1122"/>
    </row>
    <row r="475" spans="2:10" x14ac:dyDescent="0.25">
      <c r="B475" s="1118">
        <v>32047</v>
      </c>
      <c r="C475" s="1104">
        <v>3150</v>
      </c>
      <c r="D475" s="1119">
        <f t="shared" si="32"/>
        <v>33000</v>
      </c>
      <c r="E475" s="1155">
        <f t="shared" si="35"/>
        <v>35000</v>
      </c>
      <c r="F475" s="1119">
        <f t="shared" si="33"/>
        <v>2953</v>
      </c>
      <c r="G475" s="1121">
        <f t="shared" si="34"/>
        <v>9.2145910693668676E-2</v>
      </c>
      <c r="J475" s="1122"/>
    </row>
    <row r="476" spans="2:10" x14ac:dyDescent="0.25">
      <c r="B476" s="1118">
        <v>32220</v>
      </c>
      <c r="C476" s="1104">
        <v>3150</v>
      </c>
      <c r="D476" s="1119">
        <f t="shared" si="32"/>
        <v>33000</v>
      </c>
      <c r="E476" s="1155">
        <f t="shared" si="35"/>
        <v>35000</v>
      </c>
      <c r="F476" s="1119">
        <f t="shared" si="33"/>
        <v>2780</v>
      </c>
      <c r="G476" s="1121">
        <f t="shared" si="34"/>
        <v>8.6281812538795785E-2</v>
      </c>
      <c r="J476" s="1122"/>
    </row>
    <row r="477" spans="2:10" x14ac:dyDescent="0.25">
      <c r="B477" s="1118">
        <v>32362</v>
      </c>
      <c r="C477" s="1104">
        <v>3150</v>
      </c>
      <c r="D477" s="1119">
        <f t="shared" si="32"/>
        <v>33000</v>
      </c>
      <c r="E477" s="1155">
        <f t="shared" si="35"/>
        <v>35000</v>
      </c>
      <c r="F477" s="1119">
        <f t="shared" si="33"/>
        <v>2638</v>
      </c>
      <c r="G477" s="1121">
        <f t="shared" si="34"/>
        <v>8.1515357518076759E-2</v>
      </c>
      <c r="J477" s="1122"/>
    </row>
    <row r="478" spans="2:10" x14ac:dyDescent="0.25">
      <c r="B478" s="1118">
        <v>32452</v>
      </c>
      <c r="C478" s="1104">
        <v>3150</v>
      </c>
      <c r="D478" s="1119">
        <f t="shared" si="32"/>
        <v>33000</v>
      </c>
      <c r="E478" s="1155">
        <f t="shared" si="35"/>
        <v>35000</v>
      </c>
      <c r="F478" s="1119">
        <f t="shared" si="33"/>
        <v>2548</v>
      </c>
      <c r="G478" s="1121">
        <f t="shared" si="34"/>
        <v>7.8515962036238132E-2</v>
      </c>
      <c r="J478" s="1122"/>
    </row>
    <row r="479" spans="2:10" x14ac:dyDescent="0.25">
      <c r="B479" s="1118">
        <v>32500</v>
      </c>
      <c r="C479" s="1104">
        <v>3150</v>
      </c>
      <c r="D479" s="1119">
        <f t="shared" si="32"/>
        <v>33000</v>
      </c>
      <c r="E479" s="1155">
        <f t="shared" si="35"/>
        <v>35000</v>
      </c>
      <c r="F479" s="1119">
        <f t="shared" si="33"/>
        <v>2500</v>
      </c>
      <c r="G479" s="1121">
        <f t="shared" si="34"/>
        <v>7.6923076923076927E-2</v>
      </c>
      <c r="J479" s="1122"/>
    </row>
    <row r="480" spans="2:10" x14ac:dyDescent="0.25">
      <c r="B480" s="1118">
        <v>32500</v>
      </c>
      <c r="C480" s="1104">
        <v>3150</v>
      </c>
      <c r="D480" s="1119">
        <f t="shared" si="32"/>
        <v>33000</v>
      </c>
      <c r="E480" s="1155">
        <f t="shared" si="35"/>
        <v>35000</v>
      </c>
      <c r="F480" s="1119">
        <f t="shared" si="33"/>
        <v>2500</v>
      </c>
      <c r="G480" s="1121">
        <f t="shared" si="34"/>
        <v>7.6923076923076927E-2</v>
      </c>
      <c r="J480" s="1122"/>
    </row>
    <row r="481" spans="2:10" x14ac:dyDescent="0.25">
      <c r="B481" s="1118">
        <v>32500</v>
      </c>
      <c r="C481" s="1104">
        <v>3150</v>
      </c>
      <c r="D481" s="1119">
        <f t="shared" si="32"/>
        <v>33000</v>
      </c>
      <c r="E481" s="1155">
        <f t="shared" si="35"/>
        <v>35000</v>
      </c>
      <c r="F481" s="1119">
        <f t="shared" si="33"/>
        <v>2500</v>
      </c>
      <c r="G481" s="1121">
        <f t="shared" si="34"/>
        <v>7.6923076923076927E-2</v>
      </c>
      <c r="J481" s="1122"/>
    </row>
    <row r="482" spans="2:10" x14ac:dyDescent="0.25">
      <c r="B482" s="1118">
        <v>32548</v>
      </c>
      <c r="C482" s="1104">
        <v>3150</v>
      </c>
      <c r="D482" s="1119">
        <f t="shared" si="32"/>
        <v>33000</v>
      </c>
      <c r="E482" s="1155">
        <f t="shared" si="35"/>
        <v>35000</v>
      </c>
      <c r="F482" s="1119">
        <f t="shared" si="33"/>
        <v>2452</v>
      </c>
      <c r="G482" s="1121">
        <f t="shared" si="34"/>
        <v>7.5334890008602676E-2</v>
      </c>
      <c r="J482" s="1122"/>
    </row>
    <row r="483" spans="2:10" x14ac:dyDescent="0.25">
      <c r="B483" s="1118">
        <v>32850</v>
      </c>
      <c r="C483" s="1104">
        <v>3150</v>
      </c>
      <c r="D483" s="1119">
        <f t="shared" si="32"/>
        <v>33000</v>
      </c>
      <c r="E483" s="1155">
        <f t="shared" si="35"/>
        <v>35000</v>
      </c>
      <c r="F483" s="1119">
        <f t="shared" si="33"/>
        <v>2150</v>
      </c>
      <c r="G483" s="1121">
        <f t="shared" si="34"/>
        <v>6.5449010654490103E-2</v>
      </c>
      <c r="J483" s="1122"/>
    </row>
    <row r="484" spans="2:10" x14ac:dyDescent="0.25">
      <c r="B484" s="1118">
        <v>32850</v>
      </c>
      <c r="C484" s="1104">
        <v>3150</v>
      </c>
      <c r="D484" s="1119">
        <f t="shared" si="32"/>
        <v>33000</v>
      </c>
      <c r="E484" s="1155">
        <f t="shared" si="35"/>
        <v>35000</v>
      </c>
      <c r="F484" s="1119">
        <f t="shared" si="33"/>
        <v>2150</v>
      </c>
      <c r="G484" s="1121">
        <f t="shared" si="34"/>
        <v>6.5449010654490103E-2</v>
      </c>
      <c r="J484" s="1122"/>
    </row>
    <row r="485" spans="2:10" x14ac:dyDescent="0.25">
      <c r="B485" s="1118">
        <v>32850</v>
      </c>
      <c r="C485" s="1104">
        <v>3150</v>
      </c>
      <c r="D485" s="1119">
        <f t="shared" si="32"/>
        <v>33000</v>
      </c>
      <c r="E485" s="1155">
        <f t="shared" si="35"/>
        <v>35000</v>
      </c>
      <c r="F485" s="1119">
        <f t="shared" si="33"/>
        <v>2150</v>
      </c>
      <c r="G485" s="1121">
        <f t="shared" si="34"/>
        <v>6.5449010654490103E-2</v>
      </c>
      <c r="J485" s="1122"/>
    </row>
    <row r="486" spans="2:10" x14ac:dyDescent="0.25">
      <c r="B486" s="1118">
        <v>33000</v>
      </c>
      <c r="C486" s="1104">
        <v>3288</v>
      </c>
      <c r="D486" s="1119">
        <f t="shared" si="32"/>
        <v>33000</v>
      </c>
      <c r="E486" s="1155">
        <f t="shared" si="35"/>
        <v>35000</v>
      </c>
      <c r="F486" s="1119">
        <f t="shared" si="33"/>
        <v>2000</v>
      </c>
      <c r="G486" s="1121">
        <f t="shared" si="34"/>
        <v>6.0606060606060608E-2</v>
      </c>
      <c r="J486" s="1122"/>
    </row>
    <row r="487" spans="2:10" x14ac:dyDescent="0.25">
      <c r="B487" s="1118">
        <v>33028</v>
      </c>
      <c r="C487" s="1104">
        <v>3150</v>
      </c>
      <c r="D487" s="1119">
        <f t="shared" si="32"/>
        <v>34000</v>
      </c>
      <c r="E487" s="1155">
        <f t="shared" si="35"/>
        <v>35000</v>
      </c>
      <c r="F487" s="1119">
        <f t="shared" si="33"/>
        <v>1972</v>
      </c>
      <c r="G487" s="1121">
        <f t="shared" si="34"/>
        <v>5.9706915344556133E-2</v>
      </c>
      <c r="J487" s="1122"/>
    </row>
    <row r="488" spans="2:10" x14ac:dyDescent="0.25">
      <c r="B488" s="1118">
        <v>33397.5</v>
      </c>
      <c r="C488" s="1104">
        <v>3150</v>
      </c>
      <c r="D488" s="1119">
        <f t="shared" si="32"/>
        <v>34000</v>
      </c>
      <c r="E488" s="1155">
        <f t="shared" si="35"/>
        <v>35000</v>
      </c>
      <c r="F488" s="1119">
        <f t="shared" si="33"/>
        <v>1602.5</v>
      </c>
      <c r="G488" s="1121">
        <f t="shared" si="34"/>
        <v>4.7982633430646009E-2</v>
      </c>
      <c r="J488" s="1122"/>
    </row>
    <row r="489" spans="2:10" x14ac:dyDescent="0.25">
      <c r="B489" s="1118">
        <v>33600</v>
      </c>
      <c r="C489" s="1104">
        <v>3150</v>
      </c>
      <c r="D489" s="1119">
        <f t="shared" si="32"/>
        <v>34000</v>
      </c>
      <c r="E489" s="1155">
        <f t="shared" si="35"/>
        <v>35000</v>
      </c>
      <c r="F489" s="1119">
        <f t="shared" si="33"/>
        <v>1400</v>
      </c>
      <c r="G489" s="1121">
        <f t="shared" si="34"/>
        <v>4.1666666666666664E-2</v>
      </c>
      <c r="J489" s="1122"/>
    </row>
    <row r="490" spans="2:10" x14ac:dyDescent="0.25">
      <c r="B490" s="1118">
        <v>33625</v>
      </c>
      <c r="C490" s="1104">
        <v>3150</v>
      </c>
      <c r="D490" s="1119">
        <f t="shared" si="32"/>
        <v>34000</v>
      </c>
      <c r="E490" s="1155">
        <f t="shared" si="35"/>
        <v>35000</v>
      </c>
      <c r="F490" s="1119">
        <f t="shared" si="33"/>
        <v>1375</v>
      </c>
      <c r="G490" s="1121">
        <f t="shared" si="34"/>
        <v>4.0892193308550186E-2</v>
      </c>
      <c r="J490" s="1122"/>
    </row>
    <row r="491" spans="2:10" x14ac:dyDescent="0.25">
      <c r="B491" s="1118">
        <v>33799</v>
      </c>
      <c r="C491" s="1104">
        <v>3150</v>
      </c>
      <c r="D491" s="1119">
        <f t="shared" si="32"/>
        <v>34000</v>
      </c>
      <c r="E491" s="1155">
        <f t="shared" si="35"/>
        <v>35000</v>
      </c>
      <c r="F491" s="1119">
        <f t="shared" si="33"/>
        <v>1201</v>
      </c>
      <c r="G491" s="1121">
        <f t="shared" si="34"/>
        <v>3.5533595668510901E-2</v>
      </c>
      <c r="J491" s="1122"/>
    </row>
    <row r="492" spans="2:10" x14ac:dyDescent="0.25">
      <c r="B492" s="1118">
        <v>33800</v>
      </c>
      <c r="C492" s="1104">
        <v>3150</v>
      </c>
      <c r="D492" s="1119">
        <f t="shared" si="32"/>
        <v>34000</v>
      </c>
      <c r="E492" s="1155">
        <f t="shared" si="35"/>
        <v>35000</v>
      </c>
      <c r="F492" s="1119">
        <f t="shared" si="33"/>
        <v>1200</v>
      </c>
      <c r="G492" s="1121">
        <f t="shared" si="34"/>
        <v>3.5502958579881658E-2</v>
      </c>
      <c r="J492" s="1122"/>
    </row>
    <row r="493" spans="2:10" x14ac:dyDescent="0.25">
      <c r="B493" s="1118">
        <v>33927</v>
      </c>
      <c r="C493" s="1104">
        <v>3150</v>
      </c>
      <c r="D493" s="1119">
        <f t="shared" si="32"/>
        <v>34000</v>
      </c>
      <c r="E493" s="1155">
        <f t="shared" si="35"/>
        <v>35000</v>
      </c>
      <c r="F493" s="1119">
        <f t="shared" si="33"/>
        <v>1073</v>
      </c>
      <c r="G493" s="1121">
        <f t="shared" si="34"/>
        <v>3.1626727974769356E-2</v>
      </c>
      <c r="J493" s="1122"/>
    </row>
    <row r="494" spans="2:10" x14ac:dyDescent="0.25">
      <c r="B494" s="1118">
        <v>34000</v>
      </c>
      <c r="C494" s="1104">
        <v>3150</v>
      </c>
      <c r="D494" s="1119">
        <f t="shared" si="32"/>
        <v>34000</v>
      </c>
      <c r="E494" s="1155">
        <f t="shared" si="35"/>
        <v>35000</v>
      </c>
      <c r="F494" s="1119">
        <f t="shared" si="33"/>
        <v>1000</v>
      </c>
      <c r="G494" s="1121">
        <f t="shared" si="34"/>
        <v>2.9411764705882353E-2</v>
      </c>
      <c r="J494" s="1122"/>
    </row>
    <row r="495" spans="2:10" x14ac:dyDescent="0.25">
      <c r="B495" s="1118">
        <v>34000</v>
      </c>
      <c r="C495" s="1104">
        <v>3150</v>
      </c>
      <c r="D495" s="1119">
        <f t="shared" si="32"/>
        <v>34000</v>
      </c>
      <c r="E495" s="1155">
        <f t="shared" si="35"/>
        <v>35000</v>
      </c>
      <c r="F495" s="1119">
        <f t="shared" si="33"/>
        <v>1000</v>
      </c>
      <c r="G495" s="1121">
        <f t="shared" si="34"/>
        <v>2.9411764705882353E-2</v>
      </c>
      <c r="J495" s="1122"/>
    </row>
    <row r="496" spans="2:10" x14ac:dyDescent="0.25">
      <c r="B496" s="1118">
        <v>34112</v>
      </c>
      <c r="C496" s="1104">
        <v>3150</v>
      </c>
      <c r="D496" s="1119">
        <f t="shared" si="32"/>
        <v>35000</v>
      </c>
      <c r="E496" s="1155">
        <f t="shared" si="35"/>
        <v>35000</v>
      </c>
      <c r="F496" s="1119">
        <f t="shared" si="33"/>
        <v>888</v>
      </c>
      <c r="G496" s="1121">
        <f t="shared" si="34"/>
        <v>2.6031894934333957E-2</v>
      </c>
      <c r="J496" s="1122"/>
    </row>
    <row r="497" spans="2:10" x14ac:dyDescent="0.25">
      <c r="B497" s="1118">
        <v>34191</v>
      </c>
      <c r="C497" s="1104">
        <v>3150</v>
      </c>
      <c r="D497" s="1119">
        <f t="shared" si="32"/>
        <v>35000</v>
      </c>
      <c r="E497" s="1155">
        <f t="shared" si="35"/>
        <v>35000</v>
      </c>
      <c r="F497" s="1119">
        <f t="shared" si="33"/>
        <v>809</v>
      </c>
      <c r="G497" s="1121">
        <f t="shared" si="34"/>
        <v>2.3661197391126321E-2</v>
      </c>
      <c r="J497" s="1122"/>
    </row>
    <row r="498" spans="2:10" x14ac:dyDescent="0.25">
      <c r="B498" s="1118">
        <v>34212</v>
      </c>
      <c r="C498" s="1104">
        <v>3150</v>
      </c>
      <c r="D498" s="1119">
        <f t="shared" si="32"/>
        <v>35000</v>
      </c>
      <c r="E498" s="1155">
        <f t="shared" si="35"/>
        <v>35000</v>
      </c>
      <c r="F498" s="1119">
        <f t="shared" si="33"/>
        <v>788</v>
      </c>
      <c r="G498" s="1121">
        <f t="shared" si="34"/>
        <v>2.3032853969367474E-2</v>
      </c>
      <c r="J498" s="1122"/>
    </row>
    <row r="499" spans="2:10" x14ac:dyDescent="0.25">
      <c r="B499" s="1118">
        <v>34299.96</v>
      </c>
      <c r="C499" s="1104">
        <v>3150</v>
      </c>
      <c r="D499" s="1119">
        <f t="shared" si="32"/>
        <v>35000</v>
      </c>
      <c r="E499" s="1155">
        <f t="shared" si="35"/>
        <v>35000</v>
      </c>
      <c r="F499" s="1119">
        <f t="shared" si="33"/>
        <v>700.04000000000087</v>
      </c>
      <c r="G499" s="1121">
        <f t="shared" si="34"/>
        <v>2.0409353247059205E-2</v>
      </c>
      <c r="J499" s="1122"/>
    </row>
    <row r="500" spans="2:10" x14ac:dyDescent="0.25">
      <c r="B500" s="1118">
        <v>34369</v>
      </c>
      <c r="C500" s="1104">
        <v>3150</v>
      </c>
      <c r="D500" s="1119">
        <f t="shared" si="32"/>
        <v>35000</v>
      </c>
      <c r="E500" s="1155">
        <f t="shared" si="35"/>
        <v>35000</v>
      </c>
      <c r="F500" s="1119">
        <f t="shared" si="33"/>
        <v>631</v>
      </c>
      <c r="G500" s="1121">
        <f t="shared" si="34"/>
        <v>1.8359568215543076E-2</v>
      </c>
      <c r="J500" s="1122"/>
    </row>
    <row r="501" spans="2:10" x14ac:dyDescent="0.25">
      <c r="B501" s="1118">
        <v>34500</v>
      </c>
      <c r="C501" s="1104">
        <v>3150</v>
      </c>
      <c r="D501" s="1119">
        <f t="shared" si="32"/>
        <v>35000</v>
      </c>
      <c r="E501" s="1155">
        <f t="shared" si="35"/>
        <v>35000</v>
      </c>
      <c r="F501" s="1119">
        <f t="shared" si="33"/>
        <v>500</v>
      </c>
      <c r="G501" s="1121">
        <f t="shared" si="34"/>
        <v>1.4492753623188406E-2</v>
      </c>
      <c r="J501" s="1122"/>
    </row>
    <row r="502" spans="2:10" x14ac:dyDescent="0.25">
      <c r="B502" s="1118">
        <v>34599.96</v>
      </c>
      <c r="C502" s="1104">
        <v>3288</v>
      </c>
      <c r="D502" s="1119">
        <f t="shared" si="32"/>
        <v>35000</v>
      </c>
      <c r="E502" s="1155">
        <f t="shared" si="35"/>
        <v>35000</v>
      </c>
      <c r="F502" s="1119">
        <f t="shared" si="33"/>
        <v>400.04000000000087</v>
      </c>
      <c r="G502" s="1121">
        <f t="shared" si="34"/>
        <v>1.1561863077298382E-2</v>
      </c>
      <c r="J502" s="1122"/>
    </row>
    <row r="503" spans="2:10" x14ac:dyDescent="0.25">
      <c r="B503" s="1118">
        <v>34920</v>
      </c>
      <c r="C503" s="1104">
        <v>3288</v>
      </c>
      <c r="D503" s="1119">
        <f t="shared" si="32"/>
        <v>35000</v>
      </c>
      <c r="E503" s="1155">
        <f t="shared" si="35"/>
        <v>35000</v>
      </c>
      <c r="F503" s="1119">
        <f t="shared" si="33"/>
        <v>80</v>
      </c>
      <c r="G503" s="1121">
        <f t="shared" si="34"/>
        <v>2.2909507445589921E-3</v>
      </c>
      <c r="J503" s="1122"/>
    </row>
    <row r="504" spans="2:10" x14ac:dyDescent="0.25">
      <c r="B504" s="1118">
        <v>35000</v>
      </c>
      <c r="C504" s="1104">
        <v>3150</v>
      </c>
      <c r="D504" s="1119">
        <f t="shared" si="32"/>
        <v>35000</v>
      </c>
      <c r="E504" s="1155">
        <f t="shared" si="35"/>
        <v>35000</v>
      </c>
      <c r="F504" s="1119">
        <f t="shared" si="33"/>
        <v>0</v>
      </c>
      <c r="G504" s="1121">
        <f t="shared" si="34"/>
        <v>0</v>
      </c>
      <c r="J504" s="1122"/>
    </row>
    <row r="505" spans="2:10" x14ac:dyDescent="0.25">
      <c r="B505" s="1118">
        <v>35000</v>
      </c>
      <c r="C505" s="1104">
        <v>3150</v>
      </c>
      <c r="D505" s="1119">
        <f t="shared" si="32"/>
        <v>35000</v>
      </c>
      <c r="E505" s="1155">
        <f t="shared" si="35"/>
        <v>35000</v>
      </c>
      <c r="F505" s="1119">
        <f t="shared" si="33"/>
        <v>0</v>
      </c>
      <c r="G505" s="1121">
        <f t="shared" si="34"/>
        <v>0</v>
      </c>
      <c r="J505" s="1122"/>
    </row>
    <row r="506" spans="2:10" x14ac:dyDescent="0.25">
      <c r="B506" s="1118">
        <v>35000</v>
      </c>
      <c r="C506" s="1104">
        <v>3150</v>
      </c>
      <c r="D506" s="1119">
        <f t="shared" si="32"/>
        <v>35000</v>
      </c>
      <c r="E506" s="1155">
        <f t="shared" si="35"/>
        <v>35000</v>
      </c>
      <c r="F506" s="1119">
        <f t="shared" si="33"/>
        <v>0</v>
      </c>
      <c r="G506" s="1121">
        <f t="shared" si="34"/>
        <v>0</v>
      </c>
      <c r="J506" s="1122"/>
    </row>
    <row r="507" spans="2:10" x14ac:dyDescent="0.25">
      <c r="B507" s="1118">
        <v>35000</v>
      </c>
      <c r="C507" s="1104">
        <v>3150</v>
      </c>
      <c r="D507" s="1119">
        <f t="shared" si="32"/>
        <v>35000</v>
      </c>
      <c r="E507" s="1155">
        <f t="shared" si="35"/>
        <v>35000</v>
      </c>
      <c r="F507" s="1119">
        <f t="shared" si="33"/>
        <v>0</v>
      </c>
      <c r="G507" s="1121">
        <f t="shared" si="34"/>
        <v>0</v>
      </c>
      <c r="J507" s="1122"/>
    </row>
    <row r="508" spans="2:10" x14ac:dyDescent="0.25">
      <c r="B508" s="1118">
        <v>35000</v>
      </c>
      <c r="C508" s="1104">
        <v>3150</v>
      </c>
      <c r="D508" s="1119">
        <f t="shared" si="32"/>
        <v>35000</v>
      </c>
      <c r="E508" s="1155">
        <f t="shared" si="35"/>
        <v>35000</v>
      </c>
      <c r="F508" s="1119">
        <f t="shared" si="33"/>
        <v>0</v>
      </c>
      <c r="G508" s="1121">
        <f t="shared" si="34"/>
        <v>0</v>
      </c>
      <c r="J508" s="1122"/>
    </row>
    <row r="509" spans="2:10" x14ac:dyDescent="0.25">
      <c r="B509" s="1118">
        <v>35000</v>
      </c>
      <c r="C509" s="1104">
        <v>3150</v>
      </c>
      <c r="D509" s="1119">
        <f t="shared" si="32"/>
        <v>35000</v>
      </c>
      <c r="E509" s="1155">
        <f t="shared" si="35"/>
        <v>35000</v>
      </c>
      <c r="F509" s="1119">
        <f t="shared" si="33"/>
        <v>0</v>
      </c>
      <c r="G509" s="1121">
        <f t="shared" si="34"/>
        <v>0</v>
      </c>
      <c r="J509" s="1122"/>
    </row>
    <row r="510" spans="2:10" x14ac:dyDescent="0.25">
      <c r="B510" s="1118">
        <v>35000</v>
      </c>
      <c r="C510" s="1104">
        <v>3150</v>
      </c>
      <c r="D510" s="1119">
        <f t="shared" si="32"/>
        <v>35000</v>
      </c>
      <c r="E510" s="1155">
        <f t="shared" si="35"/>
        <v>35000</v>
      </c>
      <c r="F510" s="1119">
        <f t="shared" si="33"/>
        <v>0</v>
      </c>
      <c r="G510" s="1121">
        <f t="shared" si="34"/>
        <v>0</v>
      </c>
      <c r="J510" s="1122"/>
    </row>
    <row r="511" spans="2:10" x14ac:dyDescent="0.25">
      <c r="B511" s="1118">
        <v>35000</v>
      </c>
      <c r="C511" s="1104">
        <v>3150</v>
      </c>
      <c r="D511" s="1119">
        <f t="shared" si="32"/>
        <v>35000</v>
      </c>
      <c r="E511" s="1155">
        <f t="shared" si="35"/>
        <v>35000</v>
      </c>
      <c r="F511" s="1119">
        <f t="shared" si="33"/>
        <v>0</v>
      </c>
      <c r="G511" s="1121">
        <f t="shared" si="34"/>
        <v>0</v>
      </c>
      <c r="J511" s="1122"/>
    </row>
    <row r="512" spans="2:10" x14ac:dyDescent="0.25">
      <c r="B512" s="1118">
        <v>35000</v>
      </c>
      <c r="C512" s="1104">
        <v>3150</v>
      </c>
      <c r="D512" s="1119">
        <f t="shared" si="32"/>
        <v>35000</v>
      </c>
      <c r="E512" s="1155">
        <f t="shared" si="35"/>
        <v>35000</v>
      </c>
      <c r="F512" s="1119">
        <f t="shared" si="33"/>
        <v>0</v>
      </c>
      <c r="G512" s="1121">
        <f t="shared" si="34"/>
        <v>0</v>
      </c>
      <c r="J512" s="1122"/>
    </row>
    <row r="513" spans="2:10" x14ac:dyDescent="0.25">
      <c r="B513" s="1118">
        <v>35000</v>
      </c>
      <c r="C513" s="1104">
        <v>3150</v>
      </c>
      <c r="D513" s="1119">
        <f t="shared" si="32"/>
        <v>35000</v>
      </c>
      <c r="E513" s="1155">
        <f t="shared" si="35"/>
        <v>35000</v>
      </c>
      <c r="F513" s="1119">
        <f t="shared" si="33"/>
        <v>0</v>
      </c>
      <c r="G513" s="1121">
        <f t="shared" si="34"/>
        <v>0</v>
      </c>
      <c r="J513" s="1122"/>
    </row>
    <row r="514" spans="2:10" x14ac:dyDescent="0.25">
      <c r="B514" s="1118">
        <v>35000</v>
      </c>
      <c r="C514" s="1104">
        <v>3150</v>
      </c>
      <c r="D514" s="1119">
        <f t="shared" ref="D514:D577" si="36">ROUNDUP(B514,-3)</f>
        <v>35000</v>
      </c>
      <c r="E514" s="1155">
        <f t="shared" si="35"/>
        <v>35000</v>
      </c>
      <c r="F514" s="1119">
        <f t="shared" ref="F514:F577" si="37">E514-B514</f>
        <v>0</v>
      </c>
      <c r="G514" s="1121">
        <f t="shared" ref="G514:G577" si="38">F514/B514</f>
        <v>0</v>
      </c>
      <c r="J514" s="1122"/>
    </row>
    <row r="515" spans="2:10" x14ac:dyDescent="0.25">
      <c r="B515" s="1118">
        <v>35000</v>
      </c>
      <c r="C515" s="1104">
        <v>3150</v>
      </c>
      <c r="D515" s="1119">
        <f t="shared" si="36"/>
        <v>35000</v>
      </c>
      <c r="E515" s="1155">
        <f t="shared" si="35"/>
        <v>35000</v>
      </c>
      <c r="F515" s="1119">
        <f t="shared" si="37"/>
        <v>0</v>
      </c>
      <c r="G515" s="1121">
        <f t="shared" si="38"/>
        <v>0</v>
      </c>
      <c r="J515" s="1122"/>
    </row>
    <row r="516" spans="2:10" x14ac:dyDescent="0.25">
      <c r="B516" s="1118">
        <v>35000</v>
      </c>
      <c r="C516" s="1104">
        <v>3150</v>
      </c>
      <c r="D516" s="1119">
        <f t="shared" si="36"/>
        <v>35000</v>
      </c>
      <c r="E516" s="1155">
        <f t="shared" si="35"/>
        <v>35000</v>
      </c>
      <c r="F516" s="1119">
        <f t="shared" si="37"/>
        <v>0</v>
      </c>
      <c r="G516" s="1121">
        <f t="shared" si="38"/>
        <v>0</v>
      </c>
      <c r="J516" s="1122"/>
    </row>
    <row r="517" spans="2:10" x14ac:dyDescent="0.25">
      <c r="B517" s="1118">
        <v>35000</v>
      </c>
      <c r="C517" s="1104">
        <v>3150</v>
      </c>
      <c r="D517" s="1119">
        <f t="shared" si="36"/>
        <v>35000</v>
      </c>
      <c r="E517" s="1155">
        <f t="shared" si="35"/>
        <v>35000</v>
      </c>
      <c r="F517" s="1119">
        <f t="shared" si="37"/>
        <v>0</v>
      </c>
      <c r="G517" s="1121">
        <f t="shared" si="38"/>
        <v>0</v>
      </c>
      <c r="J517" s="1122"/>
    </row>
    <row r="518" spans="2:10" x14ac:dyDescent="0.25">
      <c r="B518" s="1118">
        <v>35000</v>
      </c>
      <c r="C518" s="1104">
        <v>3150</v>
      </c>
      <c r="D518" s="1119">
        <f t="shared" si="36"/>
        <v>35000</v>
      </c>
      <c r="E518" s="1155">
        <f t="shared" si="35"/>
        <v>35000</v>
      </c>
      <c r="F518" s="1119">
        <f t="shared" si="37"/>
        <v>0</v>
      </c>
      <c r="G518" s="1121">
        <f t="shared" si="38"/>
        <v>0</v>
      </c>
      <c r="J518" s="1122"/>
    </row>
    <row r="519" spans="2:10" x14ac:dyDescent="0.25">
      <c r="B519" s="1118">
        <v>35000</v>
      </c>
      <c r="C519" s="1104">
        <v>3150</v>
      </c>
      <c r="D519" s="1119">
        <f t="shared" si="36"/>
        <v>35000</v>
      </c>
      <c r="E519" s="1155">
        <f t="shared" si="35"/>
        <v>35000</v>
      </c>
      <c r="F519" s="1119">
        <f t="shared" si="37"/>
        <v>0</v>
      </c>
      <c r="G519" s="1121">
        <f t="shared" si="38"/>
        <v>0</v>
      </c>
      <c r="J519" s="1122"/>
    </row>
    <row r="520" spans="2:10" x14ac:dyDescent="0.25">
      <c r="B520" s="1118">
        <v>35000</v>
      </c>
      <c r="C520" s="1104">
        <v>3150</v>
      </c>
      <c r="D520" s="1119">
        <f t="shared" si="36"/>
        <v>35000</v>
      </c>
      <c r="E520" s="1155">
        <f t="shared" si="35"/>
        <v>35000</v>
      </c>
      <c r="F520" s="1119">
        <f t="shared" si="37"/>
        <v>0</v>
      </c>
      <c r="G520" s="1121">
        <f t="shared" si="38"/>
        <v>0</v>
      </c>
      <c r="J520" s="1122"/>
    </row>
    <row r="521" spans="2:10" x14ac:dyDescent="0.25">
      <c r="B521" s="1118">
        <v>35000</v>
      </c>
      <c r="C521" s="1104">
        <v>3150</v>
      </c>
      <c r="D521" s="1119">
        <f t="shared" si="36"/>
        <v>35000</v>
      </c>
      <c r="E521" s="1155">
        <f t="shared" si="35"/>
        <v>35000</v>
      </c>
      <c r="F521" s="1119">
        <f t="shared" si="37"/>
        <v>0</v>
      </c>
      <c r="G521" s="1121">
        <f t="shared" si="38"/>
        <v>0</v>
      </c>
      <c r="J521" s="1122"/>
    </row>
    <row r="522" spans="2:10" x14ac:dyDescent="0.25">
      <c r="B522" s="1118">
        <v>35000</v>
      </c>
      <c r="C522" s="1104">
        <v>3150</v>
      </c>
      <c r="D522" s="1119">
        <f t="shared" si="36"/>
        <v>35000</v>
      </c>
      <c r="E522" s="1155">
        <f t="shared" si="35"/>
        <v>35000</v>
      </c>
      <c r="F522" s="1119">
        <f t="shared" si="37"/>
        <v>0</v>
      </c>
      <c r="G522" s="1121">
        <f t="shared" si="38"/>
        <v>0</v>
      </c>
      <c r="J522" s="1122"/>
    </row>
    <row r="523" spans="2:10" x14ac:dyDescent="0.25">
      <c r="B523" s="1118">
        <v>35000</v>
      </c>
      <c r="C523" s="1104">
        <v>3150</v>
      </c>
      <c r="D523" s="1119">
        <f t="shared" si="36"/>
        <v>35000</v>
      </c>
      <c r="E523" s="1155">
        <f t="shared" si="35"/>
        <v>35000</v>
      </c>
      <c r="F523" s="1119">
        <f t="shared" si="37"/>
        <v>0</v>
      </c>
      <c r="G523" s="1121">
        <f t="shared" si="38"/>
        <v>0</v>
      </c>
      <c r="J523" s="1122"/>
    </row>
    <row r="524" spans="2:10" x14ac:dyDescent="0.25">
      <c r="B524" s="1118">
        <v>35000</v>
      </c>
      <c r="C524" s="1104">
        <v>3150</v>
      </c>
      <c r="D524" s="1119">
        <f t="shared" si="36"/>
        <v>35000</v>
      </c>
      <c r="E524" s="1155">
        <f t="shared" si="35"/>
        <v>35000</v>
      </c>
      <c r="F524" s="1119">
        <f t="shared" si="37"/>
        <v>0</v>
      </c>
      <c r="G524" s="1121">
        <f t="shared" si="38"/>
        <v>0</v>
      </c>
      <c r="J524" s="1122"/>
    </row>
    <row r="525" spans="2:10" x14ac:dyDescent="0.25">
      <c r="B525" s="1118">
        <v>35000</v>
      </c>
      <c r="C525" s="1104">
        <v>3288</v>
      </c>
      <c r="D525" s="1119">
        <f t="shared" si="36"/>
        <v>35000</v>
      </c>
      <c r="E525" s="1155">
        <f t="shared" si="35"/>
        <v>35000</v>
      </c>
      <c r="F525" s="1119">
        <f t="shared" si="37"/>
        <v>0</v>
      </c>
      <c r="G525" s="1121">
        <f t="shared" si="38"/>
        <v>0</v>
      </c>
      <c r="J525" s="1122"/>
    </row>
    <row r="526" spans="2:10" x14ac:dyDescent="0.25">
      <c r="B526" s="1118">
        <v>35100</v>
      </c>
      <c r="C526" s="1104">
        <v>3150</v>
      </c>
      <c r="D526" s="1119">
        <f t="shared" si="36"/>
        <v>36000</v>
      </c>
      <c r="E526" s="1140">
        <v>40000</v>
      </c>
      <c r="F526" s="1119">
        <f t="shared" si="37"/>
        <v>4900</v>
      </c>
      <c r="G526" s="1121">
        <f t="shared" si="38"/>
        <v>0.1396011396011396</v>
      </c>
      <c r="H526" s="1141">
        <v>53</v>
      </c>
      <c r="J526" s="1142">
        <f>AVERAGE(B526:B578)</f>
        <v>37261.339433962261</v>
      </c>
    </row>
    <row r="527" spans="2:10" x14ac:dyDescent="0.25">
      <c r="B527" s="1118">
        <v>35120</v>
      </c>
      <c r="C527" s="1104">
        <v>3150</v>
      </c>
      <c r="D527" s="1119">
        <f t="shared" si="36"/>
        <v>36000</v>
      </c>
      <c r="E527" s="1140">
        <v>40000</v>
      </c>
      <c r="F527" s="1119">
        <f t="shared" si="37"/>
        <v>4880</v>
      </c>
      <c r="G527" s="1121">
        <f t="shared" si="38"/>
        <v>0.13895216400911162</v>
      </c>
      <c r="J527" s="1122"/>
    </row>
    <row r="528" spans="2:10" x14ac:dyDescent="0.25">
      <c r="B528" s="1118">
        <v>35154.519999999997</v>
      </c>
      <c r="C528" s="1104">
        <v>3150</v>
      </c>
      <c r="D528" s="1119">
        <f t="shared" si="36"/>
        <v>36000</v>
      </c>
      <c r="E528" s="1140">
        <v>40000</v>
      </c>
      <c r="F528" s="1119">
        <f t="shared" si="37"/>
        <v>4845.4800000000032</v>
      </c>
      <c r="G528" s="1121">
        <f t="shared" si="38"/>
        <v>0.13783376931330604</v>
      </c>
      <c r="J528" s="1122"/>
    </row>
    <row r="529" spans="2:10" x14ac:dyDescent="0.25">
      <c r="B529" s="1118">
        <v>35191.919999999998</v>
      </c>
      <c r="C529" s="1104">
        <v>3150</v>
      </c>
      <c r="D529" s="1119">
        <f t="shared" si="36"/>
        <v>36000</v>
      </c>
      <c r="E529" s="1140">
        <v>40000</v>
      </c>
      <c r="F529" s="1119">
        <f t="shared" si="37"/>
        <v>4808.0800000000017</v>
      </c>
      <c r="G529" s="1121">
        <f t="shared" si="38"/>
        <v>0.13662454336108976</v>
      </c>
      <c r="J529" s="1122"/>
    </row>
    <row r="530" spans="2:10" x14ac:dyDescent="0.25">
      <c r="B530" s="1118">
        <v>35485</v>
      </c>
      <c r="C530" s="1104">
        <v>3150</v>
      </c>
      <c r="D530" s="1119">
        <f t="shared" si="36"/>
        <v>36000</v>
      </c>
      <c r="E530" s="1140">
        <v>40000</v>
      </c>
      <c r="F530" s="1119">
        <f t="shared" si="37"/>
        <v>4515</v>
      </c>
      <c r="G530" s="1121">
        <f t="shared" si="38"/>
        <v>0.12723686064534309</v>
      </c>
      <c r="J530" s="1122"/>
    </row>
    <row r="531" spans="2:10" x14ac:dyDescent="0.25">
      <c r="B531" s="1118">
        <v>35485</v>
      </c>
      <c r="C531" s="1104">
        <v>3150</v>
      </c>
      <c r="D531" s="1119">
        <f t="shared" si="36"/>
        <v>36000</v>
      </c>
      <c r="E531" s="1140">
        <v>40000</v>
      </c>
      <c r="F531" s="1119">
        <f t="shared" si="37"/>
        <v>4515</v>
      </c>
      <c r="G531" s="1121">
        <f t="shared" si="38"/>
        <v>0.12723686064534309</v>
      </c>
      <c r="J531" s="1122"/>
    </row>
    <row r="532" spans="2:10" x14ac:dyDescent="0.25">
      <c r="B532" s="1118">
        <v>35553</v>
      </c>
      <c r="C532" s="1104">
        <v>3150</v>
      </c>
      <c r="D532" s="1119">
        <f t="shared" si="36"/>
        <v>36000</v>
      </c>
      <c r="E532" s="1140">
        <v>40000</v>
      </c>
      <c r="F532" s="1119">
        <f t="shared" si="37"/>
        <v>4447</v>
      </c>
      <c r="G532" s="1121">
        <f t="shared" si="38"/>
        <v>0.12508086518718534</v>
      </c>
      <c r="J532" s="1122"/>
    </row>
    <row r="533" spans="2:10" x14ac:dyDescent="0.25">
      <c r="B533" s="1118">
        <v>35886</v>
      </c>
      <c r="C533" s="1104">
        <v>3150</v>
      </c>
      <c r="D533" s="1119">
        <f t="shared" si="36"/>
        <v>36000</v>
      </c>
      <c r="E533" s="1140">
        <v>40000</v>
      </c>
      <c r="F533" s="1119">
        <f t="shared" si="37"/>
        <v>4114</v>
      </c>
      <c r="G533" s="1121">
        <f t="shared" si="38"/>
        <v>0.11464080699994426</v>
      </c>
      <c r="J533" s="1122"/>
    </row>
    <row r="534" spans="2:10" x14ac:dyDescent="0.25">
      <c r="B534" s="1118">
        <v>36000</v>
      </c>
      <c r="C534" s="1104">
        <v>3150</v>
      </c>
      <c r="D534" s="1119">
        <f t="shared" si="36"/>
        <v>36000</v>
      </c>
      <c r="E534" s="1140">
        <v>40000</v>
      </c>
      <c r="F534" s="1119">
        <f t="shared" si="37"/>
        <v>4000</v>
      </c>
      <c r="G534" s="1121">
        <f t="shared" si="38"/>
        <v>0.1111111111111111</v>
      </c>
      <c r="J534" s="1122"/>
    </row>
    <row r="535" spans="2:10" x14ac:dyDescent="0.25">
      <c r="B535" s="1118">
        <v>36000</v>
      </c>
      <c r="C535" s="1104">
        <v>3288</v>
      </c>
      <c r="D535" s="1119">
        <f t="shared" si="36"/>
        <v>36000</v>
      </c>
      <c r="E535" s="1140">
        <v>40000</v>
      </c>
      <c r="F535" s="1119">
        <f t="shared" si="37"/>
        <v>4000</v>
      </c>
      <c r="G535" s="1121">
        <f t="shared" si="38"/>
        <v>0.1111111111111111</v>
      </c>
      <c r="J535" s="1122"/>
    </row>
    <row r="536" spans="2:10" x14ac:dyDescent="0.25">
      <c r="B536" s="1118">
        <v>36039</v>
      </c>
      <c r="C536" s="1104">
        <v>3150</v>
      </c>
      <c r="D536" s="1119">
        <f t="shared" si="36"/>
        <v>37000</v>
      </c>
      <c r="E536" s="1140">
        <v>40000</v>
      </c>
      <c r="F536" s="1119">
        <f t="shared" si="37"/>
        <v>3961</v>
      </c>
      <c r="G536" s="1121">
        <f t="shared" si="38"/>
        <v>0.10990871000860179</v>
      </c>
      <c r="J536" s="1122"/>
    </row>
    <row r="537" spans="2:10" x14ac:dyDescent="0.25">
      <c r="B537" s="1118">
        <v>36098</v>
      </c>
      <c r="C537" s="1104">
        <v>3150</v>
      </c>
      <c r="D537" s="1119">
        <f t="shared" si="36"/>
        <v>37000</v>
      </c>
      <c r="E537" s="1140">
        <v>40000</v>
      </c>
      <c r="F537" s="1119">
        <f t="shared" si="37"/>
        <v>3902</v>
      </c>
      <c r="G537" s="1121">
        <f t="shared" si="38"/>
        <v>0.10809463128151144</v>
      </c>
      <c r="J537" s="1122"/>
    </row>
    <row r="538" spans="2:10" x14ac:dyDescent="0.25">
      <c r="B538" s="1118">
        <v>36252</v>
      </c>
      <c r="C538" s="1104">
        <v>3150</v>
      </c>
      <c r="D538" s="1119">
        <f t="shared" si="36"/>
        <v>37000</v>
      </c>
      <c r="E538" s="1140">
        <v>40000</v>
      </c>
      <c r="F538" s="1119">
        <f t="shared" si="37"/>
        <v>3748</v>
      </c>
      <c r="G538" s="1121">
        <f t="shared" si="38"/>
        <v>0.10338739931589981</v>
      </c>
      <c r="J538" s="1122"/>
    </row>
    <row r="539" spans="2:10" x14ac:dyDescent="0.25">
      <c r="B539" s="1118">
        <v>36263</v>
      </c>
      <c r="C539" s="1104">
        <v>3288</v>
      </c>
      <c r="D539" s="1119">
        <f t="shared" si="36"/>
        <v>37000</v>
      </c>
      <c r="E539" s="1140">
        <v>40000</v>
      </c>
      <c r="F539" s="1119">
        <f t="shared" si="37"/>
        <v>3737</v>
      </c>
      <c r="G539" s="1121">
        <f t="shared" si="38"/>
        <v>0.10305269834266333</v>
      </c>
      <c r="J539" s="1122"/>
    </row>
    <row r="540" spans="2:10" x14ac:dyDescent="0.25">
      <c r="B540" s="1118">
        <v>36336</v>
      </c>
      <c r="C540" s="1104">
        <v>3150</v>
      </c>
      <c r="D540" s="1119">
        <f t="shared" si="36"/>
        <v>37000</v>
      </c>
      <c r="E540" s="1140">
        <v>40000</v>
      </c>
      <c r="F540" s="1119">
        <f t="shared" si="37"/>
        <v>3664</v>
      </c>
      <c r="G540" s="1121">
        <f t="shared" si="38"/>
        <v>0.10083663584324086</v>
      </c>
      <c r="J540" s="1122"/>
    </row>
    <row r="541" spans="2:10" x14ac:dyDescent="0.25">
      <c r="B541" s="1118">
        <v>36340</v>
      </c>
      <c r="C541" s="1104">
        <v>3150</v>
      </c>
      <c r="D541" s="1119">
        <f t="shared" si="36"/>
        <v>37000</v>
      </c>
      <c r="E541" s="1140">
        <v>40000</v>
      </c>
      <c r="F541" s="1119">
        <f t="shared" si="37"/>
        <v>3660</v>
      </c>
      <c r="G541" s="1121">
        <f t="shared" si="38"/>
        <v>0.10071546505228399</v>
      </c>
      <c r="J541" s="1122"/>
    </row>
    <row r="542" spans="2:10" x14ac:dyDescent="0.25">
      <c r="B542" s="1118">
        <v>36477</v>
      </c>
      <c r="C542" s="1104">
        <v>3288</v>
      </c>
      <c r="D542" s="1119">
        <f t="shared" si="36"/>
        <v>37000</v>
      </c>
      <c r="E542" s="1140">
        <v>40000</v>
      </c>
      <c r="F542" s="1119">
        <f t="shared" si="37"/>
        <v>3523</v>
      </c>
      <c r="G542" s="1121">
        <f t="shared" si="38"/>
        <v>9.6581407462236479E-2</v>
      </c>
      <c r="J542" s="1122"/>
    </row>
    <row r="543" spans="2:10" x14ac:dyDescent="0.25">
      <c r="B543" s="1118">
        <v>36500</v>
      </c>
      <c r="C543" s="1104">
        <v>3150</v>
      </c>
      <c r="D543" s="1119">
        <f t="shared" si="36"/>
        <v>37000</v>
      </c>
      <c r="E543" s="1140">
        <v>40000</v>
      </c>
      <c r="F543" s="1119">
        <f t="shared" si="37"/>
        <v>3500</v>
      </c>
      <c r="G543" s="1121">
        <f t="shared" si="38"/>
        <v>9.5890410958904104E-2</v>
      </c>
      <c r="J543" s="1122"/>
    </row>
    <row r="544" spans="2:10" x14ac:dyDescent="0.25">
      <c r="B544" s="1118">
        <v>36520</v>
      </c>
      <c r="C544" s="1104">
        <v>3150</v>
      </c>
      <c r="D544" s="1119">
        <f t="shared" si="36"/>
        <v>37000</v>
      </c>
      <c r="E544" s="1140">
        <v>40000</v>
      </c>
      <c r="F544" s="1119">
        <f t="shared" si="37"/>
        <v>3480</v>
      </c>
      <c r="G544" s="1121">
        <f t="shared" si="38"/>
        <v>9.529025191675794E-2</v>
      </c>
      <c r="J544" s="1122"/>
    </row>
    <row r="545" spans="2:10" x14ac:dyDescent="0.25">
      <c r="B545" s="1118">
        <v>36556</v>
      </c>
      <c r="C545" s="1104">
        <v>3150</v>
      </c>
      <c r="D545" s="1119">
        <f t="shared" si="36"/>
        <v>37000</v>
      </c>
      <c r="E545" s="1140">
        <v>40000</v>
      </c>
      <c r="F545" s="1119">
        <f t="shared" si="37"/>
        <v>3444</v>
      </c>
      <c r="G545" s="1121">
        <f t="shared" si="38"/>
        <v>9.421162052741E-2</v>
      </c>
      <c r="J545" s="1122"/>
    </row>
    <row r="546" spans="2:10" x14ac:dyDescent="0.25">
      <c r="B546" s="1118">
        <v>36556</v>
      </c>
      <c r="C546" s="1104">
        <v>3150</v>
      </c>
      <c r="D546" s="1119">
        <f t="shared" si="36"/>
        <v>37000</v>
      </c>
      <c r="E546" s="1140">
        <v>40000</v>
      </c>
      <c r="F546" s="1119">
        <f t="shared" si="37"/>
        <v>3444</v>
      </c>
      <c r="G546" s="1121">
        <f t="shared" si="38"/>
        <v>9.421162052741E-2</v>
      </c>
      <c r="J546" s="1122"/>
    </row>
    <row r="547" spans="2:10" x14ac:dyDescent="0.25">
      <c r="B547" s="1118">
        <v>36556</v>
      </c>
      <c r="C547" s="1104">
        <v>3150</v>
      </c>
      <c r="D547" s="1119">
        <f t="shared" si="36"/>
        <v>37000</v>
      </c>
      <c r="E547" s="1140">
        <v>40000</v>
      </c>
      <c r="F547" s="1119">
        <f t="shared" si="37"/>
        <v>3444</v>
      </c>
      <c r="G547" s="1121">
        <f t="shared" si="38"/>
        <v>9.421162052741E-2</v>
      </c>
      <c r="J547" s="1122"/>
    </row>
    <row r="548" spans="2:10" x14ac:dyDescent="0.25">
      <c r="B548" s="1118">
        <v>36562</v>
      </c>
      <c r="C548" s="1104">
        <v>3150</v>
      </c>
      <c r="D548" s="1119">
        <f t="shared" si="36"/>
        <v>37000</v>
      </c>
      <c r="E548" s="1140">
        <v>40000</v>
      </c>
      <c r="F548" s="1119">
        <f t="shared" si="37"/>
        <v>3438</v>
      </c>
      <c r="G548" s="1121">
        <f t="shared" si="38"/>
        <v>9.4032055139215573E-2</v>
      </c>
      <c r="J548" s="1122"/>
    </row>
    <row r="549" spans="2:10" x14ac:dyDescent="0.25">
      <c r="B549" s="1118">
        <v>36600</v>
      </c>
      <c r="C549" s="1104">
        <v>3150</v>
      </c>
      <c r="D549" s="1119">
        <f t="shared" si="36"/>
        <v>37000</v>
      </c>
      <c r="E549" s="1140">
        <v>40000</v>
      </c>
      <c r="F549" s="1119">
        <f t="shared" si="37"/>
        <v>3400</v>
      </c>
      <c r="G549" s="1121">
        <f t="shared" si="38"/>
        <v>9.2896174863387984E-2</v>
      </c>
      <c r="J549" s="1122"/>
    </row>
    <row r="550" spans="2:10" x14ac:dyDescent="0.25">
      <c r="B550" s="1118">
        <v>36642</v>
      </c>
      <c r="C550" s="1104">
        <v>3150</v>
      </c>
      <c r="D550" s="1119">
        <f t="shared" si="36"/>
        <v>37000</v>
      </c>
      <c r="E550" s="1140">
        <v>40000</v>
      </c>
      <c r="F550" s="1119">
        <f t="shared" si="37"/>
        <v>3358</v>
      </c>
      <c r="G550" s="1121">
        <f t="shared" si="38"/>
        <v>9.1643469242945252E-2</v>
      </c>
      <c r="J550" s="1122"/>
    </row>
    <row r="551" spans="2:10" x14ac:dyDescent="0.25">
      <c r="B551" s="1118">
        <v>36674</v>
      </c>
      <c r="C551" s="1104">
        <v>3150</v>
      </c>
      <c r="D551" s="1119">
        <f t="shared" si="36"/>
        <v>37000</v>
      </c>
      <c r="E551" s="1140">
        <v>40000</v>
      </c>
      <c r="F551" s="1119">
        <f t="shared" si="37"/>
        <v>3326</v>
      </c>
      <c r="G551" s="1121">
        <f t="shared" si="38"/>
        <v>9.0690952718547199E-2</v>
      </c>
      <c r="J551" s="1122"/>
    </row>
    <row r="552" spans="2:10" x14ac:dyDescent="0.25">
      <c r="B552" s="1118">
        <v>36736</v>
      </c>
      <c r="C552" s="1104">
        <v>3150</v>
      </c>
      <c r="D552" s="1119">
        <f t="shared" si="36"/>
        <v>37000</v>
      </c>
      <c r="E552" s="1140">
        <v>40000</v>
      </c>
      <c r="F552" s="1119">
        <f t="shared" si="37"/>
        <v>3264</v>
      </c>
      <c r="G552" s="1121">
        <f t="shared" si="38"/>
        <v>8.885017421602788E-2</v>
      </c>
      <c r="J552" s="1122"/>
    </row>
    <row r="553" spans="2:10" x14ac:dyDescent="0.25">
      <c r="B553" s="1118">
        <v>36764.400000000001</v>
      </c>
      <c r="C553" s="1104">
        <v>3150</v>
      </c>
      <c r="D553" s="1119">
        <f t="shared" si="36"/>
        <v>37000</v>
      </c>
      <c r="E553" s="1140">
        <v>40000</v>
      </c>
      <c r="F553" s="1119">
        <f t="shared" si="37"/>
        <v>3235.5999999999985</v>
      </c>
      <c r="G553" s="1121">
        <f t="shared" si="38"/>
        <v>8.800905223531455E-2</v>
      </c>
      <c r="J553" s="1122"/>
    </row>
    <row r="554" spans="2:10" x14ac:dyDescent="0.25">
      <c r="B554" s="1118">
        <v>36814</v>
      </c>
      <c r="C554" s="1104">
        <v>3150</v>
      </c>
      <c r="D554" s="1119">
        <f t="shared" si="36"/>
        <v>37000</v>
      </c>
      <c r="E554" s="1140">
        <v>40000</v>
      </c>
      <c r="F554" s="1119">
        <f t="shared" si="37"/>
        <v>3186</v>
      </c>
      <c r="G554" s="1121">
        <f t="shared" si="38"/>
        <v>8.6543162927147282E-2</v>
      </c>
      <c r="J554" s="1122"/>
    </row>
    <row r="555" spans="2:10" x14ac:dyDescent="0.25">
      <c r="B555" s="1118">
        <v>37000</v>
      </c>
      <c r="C555" s="1104">
        <v>3150</v>
      </c>
      <c r="D555" s="1119">
        <f t="shared" si="36"/>
        <v>37000</v>
      </c>
      <c r="E555" s="1140">
        <v>40000</v>
      </c>
      <c r="F555" s="1119">
        <f t="shared" si="37"/>
        <v>3000</v>
      </c>
      <c r="G555" s="1121">
        <f t="shared" si="38"/>
        <v>8.1081081081081086E-2</v>
      </c>
      <c r="J555" s="1122"/>
    </row>
    <row r="556" spans="2:10" x14ac:dyDescent="0.25">
      <c r="B556" s="1118">
        <v>37002</v>
      </c>
      <c r="C556" s="1104">
        <v>3150</v>
      </c>
      <c r="D556" s="1119">
        <f t="shared" si="36"/>
        <v>38000</v>
      </c>
      <c r="E556" s="1140">
        <v>40000</v>
      </c>
      <c r="F556" s="1119">
        <f t="shared" si="37"/>
        <v>2998</v>
      </c>
      <c r="G556" s="1121">
        <f t="shared" si="38"/>
        <v>8.1022647424463537E-2</v>
      </c>
      <c r="J556" s="1122"/>
    </row>
    <row r="557" spans="2:10" x14ac:dyDescent="0.25">
      <c r="B557" s="1118">
        <v>37047</v>
      </c>
      <c r="C557" s="1104">
        <v>3150</v>
      </c>
      <c r="D557" s="1119">
        <f t="shared" si="36"/>
        <v>38000</v>
      </c>
      <c r="E557" s="1140">
        <v>40000</v>
      </c>
      <c r="F557" s="1119">
        <f t="shared" si="37"/>
        <v>2953</v>
      </c>
      <c r="G557" s="1121">
        <f t="shared" si="38"/>
        <v>7.9709558128863336E-2</v>
      </c>
      <c r="J557" s="1122"/>
    </row>
    <row r="558" spans="2:10" x14ac:dyDescent="0.25">
      <c r="B558" s="1118">
        <v>37087</v>
      </c>
      <c r="C558" s="1104">
        <v>3150</v>
      </c>
      <c r="D558" s="1119">
        <f t="shared" si="36"/>
        <v>38000</v>
      </c>
      <c r="E558" s="1140">
        <v>40000</v>
      </c>
      <c r="F558" s="1119">
        <f t="shared" si="37"/>
        <v>2913</v>
      </c>
      <c r="G558" s="1121">
        <f t="shared" si="38"/>
        <v>7.8545042737347318E-2</v>
      </c>
      <c r="J558" s="1122"/>
    </row>
    <row r="559" spans="2:10" x14ac:dyDescent="0.25">
      <c r="B559" s="1118">
        <v>37100</v>
      </c>
      <c r="C559" s="1104">
        <v>3150</v>
      </c>
      <c r="D559" s="1119">
        <f t="shared" si="36"/>
        <v>38000</v>
      </c>
      <c r="E559" s="1140">
        <v>40000</v>
      </c>
      <c r="F559" s="1119">
        <f t="shared" si="37"/>
        <v>2900</v>
      </c>
      <c r="G559" s="1121">
        <f t="shared" si="38"/>
        <v>7.8167115902964962E-2</v>
      </c>
      <c r="J559" s="1122"/>
    </row>
    <row r="560" spans="2:10" x14ac:dyDescent="0.25">
      <c r="B560" s="1118">
        <v>37500</v>
      </c>
      <c r="C560" s="1104">
        <v>3288</v>
      </c>
      <c r="D560" s="1119">
        <f t="shared" si="36"/>
        <v>38000</v>
      </c>
      <c r="E560" s="1140">
        <f t="shared" ref="E560:E578" si="39">IF(B560&lt;=40000,40000)</f>
        <v>40000</v>
      </c>
      <c r="F560" s="1119">
        <f t="shared" si="37"/>
        <v>2500</v>
      </c>
      <c r="G560" s="1121">
        <f t="shared" si="38"/>
        <v>6.6666666666666666E-2</v>
      </c>
      <c r="J560" s="1122"/>
    </row>
    <row r="561" spans="2:10" x14ac:dyDescent="0.25">
      <c r="B561" s="1118">
        <v>37785</v>
      </c>
      <c r="C561" s="1104">
        <v>3150</v>
      </c>
      <c r="D561" s="1119">
        <f t="shared" si="36"/>
        <v>38000</v>
      </c>
      <c r="E561" s="1140">
        <f t="shared" si="39"/>
        <v>40000</v>
      </c>
      <c r="F561" s="1119">
        <f t="shared" si="37"/>
        <v>2215</v>
      </c>
      <c r="G561" s="1121">
        <f t="shared" si="38"/>
        <v>5.86211459573905E-2</v>
      </c>
      <c r="J561" s="1122"/>
    </row>
    <row r="562" spans="2:10" x14ac:dyDescent="0.25">
      <c r="B562" s="1118">
        <v>37800</v>
      </c>
      <c r="C562" s="1104">
        <v>3150</v>
      </c>
      <c r="D562" s="1119">
        <f t="shared" si="36"/>
        <v>38000</v>
      </c>
      <c r="E562" s="1140">
        <f t="shared" si="39"/>
        <v>40000</v>
      </c>
      <c r="F562" s="1119">
        <f t="shared" si="37"/>
        <v>2200</v>
      </c>
      <c r="G562" s="1121">
        <f t="shared" si="38"/>
        <v>5.8201058201058198E-2</v>
      </c>
      <c r="J562" s="1122"/>
    </row>
    <row r="563" spans="2:10" x14ac:dyDescent="0.25">
      <c r="B563" s="1118">
        <v>37842</v>
      </c>
      <c r="C563" s="1104">
        <v>3150</v>
      </c>
      <c r="D563" s="1119">
        <f t="shared" si="36"/>
        <v>38000</v>
      </c>
      <c r="E563" s="1140">
        <f t="shared" si="39"/>
        <v>40000</v>
      </c>
      <c r="F563" s="1119">
        <f t="shared" si="37"/>
        <v>2158</v>
      </c>
      <c r="G563" s="1121">
        <f t="shared" si="38"/>
        <v>5.70265842185931E-2</v>
      </c>
      <c r="J563" s="1122"/>
    </row>
    <row r="564" spans="2:10" x14ac:dyDescent="0.25">
      <c r="B564" s="1118">
        <v>38000.15</v>
      </c>
      <c r="C564" s="1104">
        <v>3150</v>
      </c>
      <c r="D564" s="1119">
        <f t="shared" si="36"/>
        <v>39000</v>
      </c>
      <c r="E564" s="1140">
        <f t="shared" si="39"/>
        <v>40000</v>
      </c>
      <c r="F564" s="1119">
        <f t="shared" si="37"/>
        <v>1999.8499999999985</v>
      </c>
      <c r="G564" s="1121">
        <f t="shared" si="38"/>
        <v>5.2627423839116387E-2</v>
      </c>
      <c r="J564" s="1122"/>
    </row>
    <row r="565" spans="2:10" x14ac:dyDescent="0.25">
      <c r="B565" s="1118">
        <v>38248</v>
      </c>
      <c r="C565" s="1104">
        <v>3150</v>
      </c>
      <c r="D565" s="1119">
        <f t="shared" si="36"/>
        <v>39000</v>
      </c>
      <c r="E565" s="1140">
        <f t="shared" si="39"/>
        <v>40000</v>
      </c>
      <c r="F565" s="1119">
        <f t="shared" si="37"/>
        <v>1752</v>
      </c>
      <c r="G565" s="1121">
        <f t="shared" si="38"/>
        <v>4.580631667015269E-2</v>
      </c>
      <c r="J565" s="1122"/>
    </row>
    <row r="566" spans="2:10" x14ac:dyDescent="0.25">
      <c r="B566" s="1118">
        <v>38532</v>
      </c>
      <c r="C566" s="1104">
        <v>3150</v>
      </c>
      <c r="D566" s="1119">
        <f t="shared" si="36"/>
        <v>39000</v>
      </c>
      <c r="E566" s="1140">
        <f t="shared" si="39"/>
        <v>40000</v>
      </c>
      <c r="F566" s="1119">
        <f t="shared" si="37"/>
        <v>1468</v>
      </c>
      <c r="G566" s="1121">
        <f t="shared" si="38"/>
        <v>3.8098204090106925E-2</v>
      </c>
      <c r="J566" s="1122"/>
    </row>
    <row r="567" spans="2:10" x14ac:dyDescent="0.25">
      <c r="B567" s="1118">
        <v>38728</v>
      </c>
      <c r="C567" s="1104">
        <v>3150</v>
      </c>
      <c r="D567" s="1119">
        <f t="shared" si="36"/>
        <v>39000</v>
      </c>
      <c r="E567" s="1140">
        <f t="shared" si="39"/>
        <v>40000</v>
      </c>
      <c r="F567" s="1119">
        <f t="shared" si="37"/>
        <v>1272</v>
      </c>
      <c r="G567" s="1121">
        <f t="shared" si="38"/>
        <v>3.2844453625284036E-2</v>
      </c>
      <c r="J567" s="1122"/>
    </row>
    <row r="568" spans="2:10" x14ac:dyDescent="0.25">
      <c r="B568" s="1118">
        <v>38894</v>
      </c>
      <c r="C568" s="1104">
        <v>3150</v>
      </c>
      <c r="D568" s="1119">
        <f t="shared" si="36"/>
        <v>39000</v>
      </c>
      <c r="E568" s="1140">
        <f t="shared" si="39"/>
        <v>40000</v>
      </c>
      <c r="F568" s="1119">
        <f t="shared" si="37"/>
        <v>1106</v>
      </c>
      <c r="G568" s="1121">
        <f t="shared" si="38"/>
        <v>2.8436262662621482E-2</v>
      </c>
      <c r="J568" s="1122"/>
    </row>
    <row r="569" spans="2:10" x14ac:dyDescent="0.25">
      <c r="B569" s="1118">
        <v>39480</v>
      </c>
      <c r="C569" s="1104">
        <v>3150</v>
      </c>
      <c r="D569" s="1119">
        <f t="shared" si="36"/>
        <v>40000</v>
      </c>
      <c r="E569" s="1140">
        <f t="shared" si="39"/>
        <v>40000</v>
      </c>
      <c r="F569" s="1119">
        <f t="shared" si="37"/>
        <v>520</v>
      </c>
      <c r="G569" s="1121">
        <f t="shared" si="38"/>
        <v>1.3171225937183385E-2</v>
      </c>
      <c r="J569" s="1122"/>
    </row>
    <row r="570" spans="2:10" x14ac:dyDescent="0.25">
      <c r="B570" s="1118">
        <v>39600</v>
      </c>
      <c r="C570" s="1104">
        <v>3288</v>
      </c>
      <c r="D570" s="1119">
        <f t="shared" si="36"/>
        <v>40000</v>
      </c>
      <c r="E570" s="1140">
        <f t="shared" si="39"/>
        <v>40000</v>
      </c>
      <c r="F570" s="1119">
        <f t="shared" si="37"/>
        <v>400</v>
      </c>
      <c r="G570" s="1121">
        <f t="shared" si="38"/>
        <v>1.0101010101010102E-2</v>
      </c>
      <c r="J570" s="1122"/>
    </row>
    <row r="571" spans="2:10" x14ac:dyDescent="0.25">
      <c r="B571" s="1118">
        <v>39644</v>
      </c>
      <c r="C571" s="1104">
        <v>3150</v>
      </c>
      <c r="D571" s="1119">
        <f t="shared" si="36"/>
        <v>40000</v>
      </c>
      <c r="E571" s="1140">
        <f t="shared" si="39"/>
        <v>40000</v>
      </c>
      <c r="F571" s="1119">
        <f t="shared" si="37"/>
        <v>356</v>
      </c>
      <c r="G571" s="1121">
        <f t="shared" si="38"/>
        <v>8.9799212995661393E-3</v>
      </c>
      <c r="J571" s="1122"/>
    </row>
    <row r="572" spans="2:10" x14ac:dyDescent="0.25">
      <c r="B572" s="1118">
        <v>39648</v>
      </c>
      <c r="C572" s="1104">
        <v>3150</v>
      </c>
      <c r="D572" s="1119">
        <f t="shared" si="36"/>
        <v>40000</v>
      </c>
      <c r="E572" s="1140">
        <f t="shared" si="39"/>
        <v>40000</v>
      </c>
      <c r="F572" s="1119">
        <f t="shared" si="37"/>
        <v>352</v>
      </c>
      <c r="G572" s="1121">
        <f t="shared" si="38"/>
        <v>8.8781275221953195E-3</v>
      </c>
      <c r="J572" s="1122"/>
    </row>
    <row r="573" spans="2:10" x14ac:dyDescent="0.25">
      <c r="B573" s="1118">
        <v>39653</v>
      </c>
      <c r="C573" s="1104">
        <v>3288</v>
      </c>
      <c r="D573" s="1119">
        <f t="shared" si="36"/>
        <v>40000</v>
      </c>
      <c r="E573" s="1140">
        <f t="shared" si="39"/>
        <v>40000</v>
      </c>
      <c r="F573" s="1119">
        <f t="shared" si="37"/>
        <v>347</v>
      </c>
      <c r="G573" s="1121">
        <f t="shared" si="38"/>
        <v>8.7509141805159757E-3</v>
      </c>
      <c r="J573" s="1122"/>
    </row>
    <row r="574" spans="2:10" x14ac:dyDescent="0.25">
      <c r="B574" s="1118">
        <v>40000</v>
      </c>
      <c r="C574" s="1104">
        <v>3150</v>
      </c>
      <c r="D574" s="1119">
        <f t="shared" si="36"/>
        <v>40000</v>
      </c>
      <c r="E574" s="1140">
        <f t="shared" si="39"/>
        <v>40000</v>
      </c>
      <c r="F574" s="1119">
        <f t="shared" si="37"/>
        <v>0</v>
      </c>
      <c r="G574" s="1121">
        <f t="shared" si="38"/>
        <v>0</v>
      </c>
      <c r="J574" s="1122"/>
    </row>
    <row r="575" spans="2:10" x14ac:dyDescent="0.25">
      <c r="B575" s="1118">
        <v>40000</v>
      </c>
      <c r="C575" s="1104">
        <v>3150</v>
      </c>
      <c r="D575" s="1119">
        <f t="shared" si="36"/>
        <v>40000</v>
      </c>
      <c r="E575" s="1140">
        <f t="shared" si="39"/>
        <v>40000</v>
      </c>
      <c r="F575" s="1119">
        <f t="shared" si="37"/>
        <v>0</v>
      </c>
      <c r="G575" s="1121">
        <f t="shared" si="38"/>
        <v>0</v>
      </c>
      <c r="J575" s="1122"/>
    </row>
    <row r="576" spans="2:10" x14ac:dyDescent="0.25">
      <c r="B576" s="1118">
        <v>40000</v>
      </c>
      <c r="C576" s="1104">
        <v>3150</v>
      </c>
      <c r="D576" s="1119">
        <f t="shared" si="36"/>
        <v>40000</v>
      </c>
      <c r="E576" s="1140">
        <f t="shared" si="39"/>
        <v>40000</v>
      </c>
      <c r="F576" s="1119">
        <f t="shared" si="37"/>
        <v>0</v>
      </c>
      <c r="G576" s="1121">
        <f t="shared" si="38"/>
        <v>0</v>
      </c>
      <c r="J576" s="1122"/>
    </row>
    <row r="577" spans="2:10" x14ac:dyDescent="0.25">
      <c r="B577" s="1118">
        <v>40000</v>
      </c>
      <c r="C577" s="1104">
        <v>3150</v>
      </c>
      <c r="D577" s="1119">
        <f t="shared" si="36"/>
        <v>40000</v>
      </c>
      <c r="E577" s="1140">
        <f t="shared" si="39"/>
        <v>40000</v>
      </c>
      <c r="F577" s="1119">
        <f t="shared" si="37"/>
        <v>0</v>
      </c>
      <c r="G577" s="1121">
        <f t="shared" si="38"/>
        <v>0</v>
      </c>
      <c r="J577" s="1122"/>
    </row>
    <row r="578" spans="2:10" x14ac:dyDescent="0.25">
      <c r="B578" s="1118">
        <v>40000</v>
      </c>
      <c r="C578" s="1104">
        <v>3150</v>
      </c>
      <c r="D578" s="1119">
        <f t="shared" ref="D578:D620" si="40">ROUNDUP(B578,-3)</f>
        <v>40000</v>
      </c>
      <c r="E578" s="1140">
        <f t="shared" si="39"/>
        <v>40000</v>
      </c>
      <c r="F578" s="1119">
        <f t="shared" ref="F578:F620" si="41">E578-B578</f>
        <v>0</v>
      </c>
      <c r="G578" s="1121">
        <f t="shared" ref="G578:G620" si="42">F578/B578</f>
        <v>0</v>
      </c>
      <c r="J578" s="1122"/>
    </row>
    <row r="579" spans="2:10" x14ac:dyDescent="0.25">
      <c r="B579" s="1118">
        <v>40016</v>
      </c>
      <c r="C579" s="1104">
        <v>3288</v>
      </c>
      <c r="D579" s="1119">
        <f t="shared" si="40"/>
        <v>41000</v>
      </c>
      <c r="E579" s="1156">
        <f t="shared" ref="E579:E605" si="43">IF(B579&lt;=45000,45000)</f>
        <v>45000</v>
      </c>
      <c r="F579" s="1119">
        <f t="shared" si="41"/>
        <v>4984</v>
      </c>
      <c r="G579" s="1121">
        <f t="shared" si="42"/>
        <v>0.12455017992802879</v>
      </c>
      <c r="H579" s="1141">
        <v>27</v>
      </c>
      <c r="J579" s="1142">
        <f>AVERAGE(B579:B605)</f>
        <v>42088.912962962961</v>
      </c>
    </row>
    <row r="580" spans="2:10" x14ac:dyDescent="0.25">
      <c r="B580" s="1118">
        <v>40150</v>
      </c>
      <c r="C580" s="1104">
        <v>3150</v>
      </c>
      <c r="D580" s="1119">
        <f t="shared" si="40"/>
        <v>41000</v>
      </c>
      <c r="E580" s="1156">
        <f t="shared" si="43"/>
        <v>45000</v>
      </c>
      <c r="F580" s="1119">
        <f t="shared" si="41"/>
        <v>4850</v>
      </c>
      <c r="G580" s="1121">
        <f t="shared" si="42"/>
        <v>0.12079701120797011</v>
      </c>
      <c r="J580" s="1122"/>
    </row>
    <row r="581" spans="2:10" x14ac:dyDescent="0.25">
      <c r="B581" s="1118">
        <v>40240</v>
      </c>
      <c r="C581" s="1104">
        <v>3150</v>
      </c>
      <c r="D581" s="1119">
        <f t="shared" si="40"/>
        <v>41000</v>
      </c>
      <c r="E581" s="1156">
        <f t="shared" si="43"/>
        <v>45000</v>
      </c>
      <c r="F581" s="1119">
        <f t="shared" si="41"/>
        <v>4760</v>
      </c>
      <c r="G581" s="1121">
        <f t="shared" si="42"/>
        <v>0.11829025844930417</v>
      </c>
      <c r="J581" s="1122"/>
    </row>
    <row r="582" spans="2:10" x14ac:dyDescent="0.25">
      <c r="B582" s="1118">
        <v>40600</v>
      </c>
      <c r="C582" s="1104">
        <v>3150</v>
      </c>
      <c r="D582" s="1119">
        <f t="shared" si="40"/>
        <v>41000</v>
      </c>
      <c r="E582" s="1156">
        <f t="shared" si="43"/>
        <v>45000</v>
      </c>
      <c r="F582" s="1119">
        <f t="shared" si="41"/>
        <v>4400</v>
      </c>
      <c r="G582" s="1121">
        <f t="shared" si="42"/>
        <v>0.10837438423645321</v>
      </c>
      <c r="J582" s="1122"/>
    </row>
    <row r="583" spans="2:10" x14ac:dyDescent="0.25">
      <c r="B583" s="1118">
        <v>40674</v>
      </c>
      <c r="C583" s="1104">
        <v>3150</v>
      </c>
      <c r="D583" s="1119">
        <f t="shared" si="40"/>
        <v>41000</v>
      </c>
      <c r="E583" s="1156">
        <f t="shared" si="43"/>
        <v>45000</v>
      </c>
      <c r="F583" s="1119">
        <f t="shared" si="41"/>
        <v>4326</v>
      </c>
      <c r="G583" s="1121">
        <f t="shared" si="42"/>
        <v>0.10635786989231449</v>
      </c>
      <c r="J583" s="1122"/>
    </row>
    <row r="584" spans="2:10" x14ac:dyDescent="0.25">
      <c r="B584" s="1118">
        <v>40818</v>
      </c>
      <c r="C584" s="1104">
        <v>3150</v>
      </c>
      <c r="D584" s="1119">
        <f t="shared" si="40"/>
        <v>41000</v>
      </c>
      <c r="E584" s="1156">
        <f t="shared" si="43"/>
        <v>45000</v>
      </c>
      <c r="F584" s="1119">
        <f t="shared" si="41"/>
        <v>4182</v>
      </c>
      <c r="G584" s="1121">
        <f t="shared" si="42"/>
        <v>0.10245479935322652</v>
      </c>
      <c r="J584" s="1122"/>
    </row>
    <row r="585" spans="2:10" x14ac:dyDescent="0.25">
      <c r="B585" s="1118">
        <v>40836</v>
      </c>
      <c r="C585" s="1104">
        <v>3150</v>
      </c>
      <c r="D585" s="1119">
        <f t="shared" si="40"/>
        <v>41000</v>
      </c>
      <c r="E585" s="1156">
        <f t="shared" si="43"/>
        <v>45000</v>
      </c>
      <c r="F585" s="1119">
        <f t="shared" si="41"/>
        <v>4164</v>
      </c>
      <c r="G585" s="1121">
        <f t="shared" si="42"/>
        <v>0.10196885101381134</v>
      </c>
      <c r="J585" s="1122"/>
    </row>
    <row r="586" spans="2:10" x14ac:dyDescent="0.25">
      <c r="B586" s="1118">
        <v>41000</v>
      </c>
      <c r="C586" s="1104">
        <v>3150</v>
      </c>
      <c r="D586" s="1119">
        <f t="shared" si="40"/>
        <v>41000</v>
      </c>
      <c r="E586" s="1156">
        <f t="shared" si="43"/>
        <v>45000</v>
      </c>
      <c r="F586" s="1119">
        <f t="shared" si="41"/>
        <v>4000</v>
      </c>
      <c r="G586" s="1121">
        <f t="shared" si="42"/>
        <v>9.7560975609756101E-2</v>
      </c>
      <c r="J586" s="1122"/>
    </row>
    <row r="587" spans="2:10" x14ac:dyDescent="0.25">
      <c r="B587" s="1118">
        <v>41000</v>
      </c>
      <c r="C587" s="1104">
        <v>3150</v>
      </c>
      <c r="D587" s="1119">
        <f t="shared" si="40"/>
        <v>41000</v>
      </c>
      <c r="E587" s="1156">
        <f t="shared" si="43"/>
        <v>45000</v>
      </c>
      <c r="F587" s="1119">
        <f t="shared" si="41"/>
        <v>4000</v>
      </c>
      <c r="G587" s="1121">
        <f t="shared" si="42"/>
        <v>9.7560975609756101E-2</v>
      </c>
      <c r="J587" s="1122"/>
    </row>
    <row r="588" spans="2:10" x14ac:dyDescent="0.25">
      <c r="B588" s="1118">
        <v>41000</v>
      </c>
      <c r="C588" s="1104">
        <v>3150</v>
      </c>
      <c r="D588" s="1119">
        <f t="shared" si="40"/>
        <v>41000</v>
      </c>
      <c r="E588" s="1156">
        <f t="shared" si="43"/>
        <v>45000</v>
      </c>
      <c r="F588" s="1119">
        <f t="shared" si="41"/>
        <v>4000</v>
      </c>
      <c r="G588" s="1121">
        <f t="shared" si="42"/>
        <v>9.7560975609756101E-2</v>
      </c>
      <c r="J588" s="1122"/>
    </row>
    <row r="589" spans="2:10" x14ac:dyDescent="0.25">
      <c r="B589" s="1118">
        <v>41060</v>
      </c>
      <c r="C589" s="1104">
        <v>3150</v>
      </c>
      <c r="D589" s="1119">
        <f t="shared" si="40"/>
        <v>42000</v>
      </c>
      <c r="E589" s="1156">
        <f t="shared" si="43"/>
        <v>45000</v>
      </c>
      <c r="F589" s="1119">
        <f t="shared" si="41"/>
        <v>3940</v>
      </c>
      <c r="G589" s="1121">
        <f t="shared" si="42"/>
        <v>9.5957135898684848E-2</v>
      </c>
      <c r="J589" s="1122"/>
    </row>
    <row r="590" spans="2:10" x14ac:dyDescent="0.25">
      <c r="B590" s="1118">
        <v>41240</v>
      </c>
      <c r="C590" s="1104">
        <v>3150</v>
      </c>
      <c r="D590" s="1119">
        <f t="shared" si="40"/>
        <v>42000</v>
      </c>
      <c r="E590" s="1156">
        <f t="shared" si="43"/>
        <v>45000</v>
      </c>
      <c r="F590" s="1119">
        <f t="shared" si="41"/>
        <v>3760</v>
      </c>
      <c r="G590" s="1121">
        <f t="shared" si="42"/>
        <v>9.1173617846750724E-2</v>
      </c>
      <c r="J590" s="1122"/>
    </row>
    <row r="591" spans="2:10" x14ac:dyDescent="0.25">
      <c r="B591" s="1118">
        <v>41500</v>
      </c>
      <c r="C591" s="1104">
        <v>3150</v>
      </c>
      <c r="D591" s="1119">
        <f t="shared" si="40"/>
        <v>42000</v>
      </c>
      <c r="E591" s="1156">
        <f t="shared" si="43"/>
        <v>45000</v>
      </c>
      <c r="F591" s="1119">
        <f t="shared" si="41"/>
        <v>3500</v>
      </c>
      <c r="G591" s="1121">
        <f t="shared" si="42"/>
        <v>8.4337349397590355E-2</v>
      </c>
      <c r="J591" s="1122"/>
    </row>
    <row r="592" spans="2:10" x14ac:dyDescent="0.25">
      <c r="B592" s="1118">
        <v>41800</v>
      </c>
      <c r="C592" s="1104">
        <v>3150</v>
      </c>
      <c r="D592" s="1119">
        <f t="shared" si="40"/>
        <v>42000</v>
      </c>
      <c r="E592" s="1156">
        <f t="shared" si="43"/>
        <v>45000</v>
      </c>
      <c r="F592" s="1119">
        <f t="shared" si="41"/>
        <v>3200</v>
      </c>
      <c r="G592" s="1121">
        <f t="shared" si="42"/>
        <v>7.6555023923444973E-2</v>
      </c>
      <c r="J592" s="1122"/>
    </row>
    <row r="593" spans="2:10" x14ac:dyDescent="0.25">
      <c r="B593" s="1118">
        <v>42000</v>
      </c>
      <c r="C593" s="1104">
        <v>3150</v>
      </c>
      <c r="D593" s="1119">
        <f t="shared" si="40"/>
        <v>42000</v>
      </c>
      <c r="E593" s="1156">
        <f t="shared" si="43"/>
        <v>45000</v>
      </c>
      <c r="F593" s="1119">
        <f t="shared" si="41"/>
        <v>3000</v>
      </c>
      <c r="G593" s="1121">
        <f t="shared" si="42"/>
        <v>7.1428571428571425E-2</v>
      </c>
      <c r="J593" s="1122"/>
    </row>
    <row r="594" spans="2:10" x14ac:dyDescent="0.25">
      <c r="B594" s="1118">
        <v>42100</v>
      </c>
      <c r="C594" s="1104">
        <v>3150</v>
      </c>
      <c r="D594" s="1119">
        <f t="shared" si="40"/>
        <v>43000</v>
      </c>
      <c r="E594" s="1156">
        <f t="shared" si="43"/>
        <v>45000</v>
      </c>
      <c r="F594" s="1119">
        <f t="shared" si="41"/>
        <v>2900</v>
      </c>
      <c r="G594" s="1121">
        <f t="shared" si="42"/>
        <v>6.8883610451306407E-2</v>
      </c>
      <c r="J594" s="1122"/>
    </row>
    <row r="595" spans="2:10" x14ac:dyDescent="0.25">
      <c r="B595" s="1118">
        <v>42365</v>
      </c>
      <c r="C595" s="1104">
        <v>3150</v>
      </c>
      <c r="D595" s="1119">
        <f t="shared" si="40"/>
        <v>43000</v>
      </c>
      <c r="E595" s="1156">
        <f t="shared" si="43"/>
        <v>45000</v>
      </c>
      <c r="F595" s="1119">
        <f t="shared" si="41"/>
        <v>2635</v>
      </c>
      <c r="G595" s="1121">
        <f t="shared" si="42"/>
        <v>6.2197568747787091E-2</v>
      </c>
      <c r="J595" s="1122"/>
    </row>
    <row r="596" spans="2:10" x14ac:dyDescent="0.25">
      <c r="B596" s="1118">
        <v>42500</v>
      </c>
      <c r="C596" s="1104">
        <v>3150</v>
      </c>
      <c r="D596" s="1119">
        <f t="shared" si="40"/>
        <v>43000</v>
      </c>
      <c r="E596" s="1156">
        <f t="shared" si="43"/>
        <v>45000</v>
      </c>
      <c r="F596" s="1119">
        <f t="shared" si="41"/>
        <v>2500</v>
      </c>
      <c r="G596" s="1121">
        <f t="shared" si="42"/>
        <v>5.8823529411764705E-2</v>
      </c>
      <c r="J596" s="1122"/>
    </row>
    <row r="597" spans="2:10" x14ac:dyDescent="0.25">
      <c r="B597" s="1118">
        <v>42740</v>
      </c>
      <c r="C597" s="1104">
        <v>3150</v>
      </c>
      <c r="D597" s="1119">
        <f t="shared" si="40"/>
        <v>43000</v>
      </c>
      <c r="E597" s="1156">
        <f t="shared" si="43"/>
        <v>45000</v>
      </c>
      <c r="F597" s="1119">
        <f t="shared" si="41"/>
        <v>2260</v>
      </c>
      <c r="G597" s="1121">
        <f t="shared" si="42"/>
        <v>5.2877866167524566E-2</v>
      </c>
      <c r="J597" s="1122"/>
    </row>
    <row r="598" spans="2:10" x14ac:dyDescent="0.25">
      <c r="B598" s="1118">
        <v>43000.65</v>
      </c>
      <c r="C598" s="1104">
        <v>3150</v>
      </c>
      <c r="D598" s="1119">
        <f t="shared" si="40"/>
        <v>44000</v>
      </c>
      <c r="E598" s="1156">
        <f t="shared" si="43"/>
        <v>45000</v>
      </c>
      <c r="F598" s="1119">
        <f t="shared" si="41"/>
        <v>1999.3499999999985</v>
      </c>
      <c r="G598" s="1121">
        <f t="shared" si="42"/>
        <v>4.6495808784285782E-2</v>
      </c>
      <c r="J598" s="1122"/>
    </row>
    <row r="599" spans="2:10" x14ac:dyDescent="0.25">
      <c r="B599" s="1118">
        <v>43200</v>
      </c>
      <c r="C599" s="1104">
        <v>3150</v>
      </c>
      <c r="D599" s="1119">
        <f t="shared" si="40"/>
        <v>44000</v>
      </c>
      <c r="E599" s="1156">
        <f t="shared" si="43"/>
        <v>45000</v>
      </c>
      <c r="F599" s="1119">
        <f t="shared" si="41"/>
        <v>1800</v>
      </c>
      <c r="G599" s="1121">
        <f t="shared" si="42"/>
        <v>4.1666666666666664E-2</v>
      </c>
      <c r="J599" s="1122"/>
    </row>
    <row r="600" spans="2:10" x14ac:dyDescent="0.25">
      <c r="B600" s="1118">
        <v>43491</v>
      </c>
      <c r="C600" s="1104">
        <v>3150</v>
      </c>
      <c r="D600" s="1119">
        <f t="shared" si="40"/>
        <v>44000</v>
      </c>
      <c r="E600" s="1156">
        <f t="shared" si="43"/>
        <v>45000</v>
      </c>
      <c r="F600" s="1119">
        <f t="shared" si="41"/>
        <v>1509</v>
      </c>
      <c r="G600" s="1121">
        <f t="shared" si="42"/>
        <v>3.4696833827688491E-2</v>
      </c>
      <c r="J600" s="1122"/>
    </row>
    <row r="601" spans="2:10" x14ac:dyDescent="0.25">
      <c r="B601" s="1118">
        <v>43810</v>
      </c>
      <c r="C601" s="1104">
        <v>3150</v>
      </c>
      <c r="D601" s="1119">
        <f t="shared" si="40"/>
        <v>44000</v>
      </c>
      <c r="E601" s="1156">
        <f t="shared" si="43"/>
        <v>45000</v>
      </c>
      <c r="F601" s="1119">
        <f t="shared" si="41"/>
        <v>1190</v>
      </c>
      <c r="G601" s="1121">
        <f t="shared" si="42"/>
        <v>2.7162748230997489E-2</v>
      </c>
      <c r="J601" s="1122"/>
    </row>
    <row r="602" spans="2:10" x14ac:dyDescent="0.25">
      <c r="B602" s="1118">
        <v>44460</v>
      </c>
      <c r="C602" s="1104">
        <v>3150</v>
      </c>
      <c r="D602" s="1119">
        <f t="shared" si="40"/>
        <v>45000</v>
      </c>
      <c r="E602" s="1156">
        <f t="shared" si="43"/>
        <v>45000</v>
      </c>
      <c r="F602" s="1119">
        <f t="shared" si="41"/>
        <v>540</v>
      </c>
      <c r="G602" s="1121">
        <f t="shared" si="42"/>
        <v>1.2145748987854251E-2</v>
      </c>
      <c r="J602" s="1122"/>
    </row>
    <row r="603" spans="2:10" x14ac:dyDescent="0.25">
      <c r="B603" s="1118">
        <v>44800</v>
      </c>
      <c r="C603" s="1104">
        <v>3150</v>
      </c>
      <c r="D603" s="1119">
        <f t="shared" si="40"/>
        <v>45000</v>
      </c>
      <c r="E603" s="1156">
        <f t="shared" si="43"/>
        <v>45000</v>
      </c>
      <c r="F603" s="1119">
        <f t="shared" si="41"/>
        <v>200</v>
      </c>
      <c r="G603" s="1121">
        <f t="shared" si="42"/>
        <v>4.464285714285714E-3</v>
      </c>
      <c r="J603" s="1122"/>
    </row>
    <row r="604" spans="2:10" x14ac:dyDescent="0.25">
      <c r="B604" s="1118">
        <v>45000</v>
      </c>
      <c r="C604" s="1104">
        <v>3150</v>
      </c>
      <c r="D604" s="1119">
        <f t="shared" si="40"/>
        <v>45000</v>
      </c>
      <c r="E604" s="1156">
        <f t="shared" si="43"/>
        <v>45000</v>
      </c>
      <c r="F604" s="1119">
        <f t="shared" si="41"/>
        <v>0</v>
      </c>
      <c r="G604" s="1121">
        <f t="shared" si="42"/>
        <v>0</v>
      </c>
      <c r="J604" s="1122"/>
    </row>
    <row r="605" spans="2:10" x14ac:dyDescent="0.25">
      <c r="B605" s="1118">
        <v>45000</v>
      </c>
      <c r="C605" s="1104">
        <v>3150</v>
      </c>
      <c r="D605" s="1119">
        <f t="shared" si="40"/>
        <v>45000</v>
      </c>
      <c r="E605" s="1156">
        <f t="shared" si="43"/>
        <v>45000</v>
      </c>
      <c r="F605" s="1119">
        <f t="shared" si="41"/>
        <v>0</v>
      </c>
      <c r="G605" s="1121">
        <f t="shared" si="42"/>
        <v>0</v>
      </c>
      <c r="J605" s="1122"/>
    </row>
    <row r="606" spans="2:10" x14ac:dyDescent="0.25">
      <c r="B606" s="1118">
        <v>45100</v>
      </c>
      <c r="C606" s="1104">
        <v>3150</v>
      </c>
      <c r="D606" s="1119">
        <f t="shared" si="40"/>
        <v>46000</v>
      </c>
      <c r="E606" s="1157">
        <f t="shared" ref="E606:E614" si="44">IF(B606&lt;=50000,50000)</f>
        <v>50000</v>
      </c>
      <c r="F606" s="1119">
        <f t="shared" si="41"/>
        <v>4900</v>
      </c>
      <c r="G606" s="1121">
        <f t="shared" si="42"/>
        <v>0.10864745011086474</v>
      </c>
      <c r="H606" s="1158">
        <v>9</v>
      </c>
      <c r="J606" s="1142">
        <f>AVERAGE(B606:B614)</f>
        <v>47190.222222222219</v>
      </c>
    </row>
    <row r="607" spans="2:10" x14ac:dyDescent="0.25">
      <c r="B607" s="1118">
        <v>45852</v>
      </c>
      <c r="C607" s="1104">
        <v>3150</v>
      </c>
      <c r="D607" s="1119">
        <f t="shared" si="40"/>
        <v>46000</v>
      </c>
      <c r="E607" s="1157">
        <f t="shared" si="44"/>
        <v>50000</v>
      </c>
      <c r="F607" s="1119">
        <f t="shared" si="41"/>
        <v>4148</v>
      </c>
      <c r="G607" s="1121">
        <f t="shared" si="42"/>
        <v>9.0464974265026601E-2</v>
      </c>
      <c r="H607" s="1159"/>
      <c r="J607" s="1122"/>
    </row>
    <row r="608" spans="2:10" x14ac:dyDescent="0.25">
      <c r="B608" s="1118">
        <v>46166</v>
      </c>
      <c r="C608" s="1104">
        <v>3150</v>
      </c>
      <c r="D608" s="1119">
        <f t="shared" si="40"/>
        <v>47000</v>
      </c>
      <c r="E608" s="1157">
        <f t="shared" si="44"/>
        <v>50000</v>
      </c>
      <c r="F608" s="1119">
        <f t="shared" si="41"/>
        <v>3834</v>
      </c>
      <c r="G608" s="1121">
        <f t="shared" si="42"/>
        <v>8.3048130658926481E-2</v>
      </c>
      <c r="H608" s="1159"/>
      <c r="J608" s="1122"/>
    </row>
    <row r="609" spans="1:10" x14ac:dyDescent="0.25">
      <c r="B609" s="1118">
        <v>46740</v>
      </c>
      <c r="C609" s="1104">
        <v>3150</v>
      </c>
      <c r="D609" s="1119">
        <f t="shared" si="40"/>
        <v>47000</v>
      </c>
      <c r="E609" s="1157">
        <f t="shared" si="44"/>
        <v>50000</v>
      </c>
      <c r="F609" s="1119">
        <f t="shared" si="41"/>
        <v>3260</v>
      </c>
      <c r="G609" s="1121">
        <f t="shared" si="42"/>
        <v>6.9747539580658963E-2</v>
      </c>
      <c r="H609" s="1159"/>
      <c r="J609" s="1122"/>
    </row>
    <row r="610" spans="1:10" x14ac:dyDescent="0.25">
      <c r="B610" s="1118">
        <v>47450</v>
      </c>
      <c r="C610" s="1104">
        <v>3150</v>
      </c>
      <c r="D610" s="1119">
        <f t="shared" si="40"/>
        <v>48000</v>
      </c>
      <c r="E610" s="1157">
        <f t="shared" si="44"/>
        <v>50000</v>
      </c>
      <c r="F610" s="1119">
        <f t="shared" si="41"/>
        <v>2550</v>
      </c>
      <c r="G610" s="1121">
        <f t="shared" si="42"/>
        <v>5.3740779768177031E-2</v>
      </c>
      <c r="H610" s="1159"/>
      <c r="J610" s="1122"/>
    </row>
    <row r="611" spans="1:10" x14ac:dyDescent="0.25">
      <c r="B611" s="1118">
        <v>47988</v>
      </c>
      <c r="C611" s="1104">
        <v>3150</v>
      </c>
      <c r="D611" s="1119">
        <f t="shared" si="40"/>
        <v>48000</v>
      </c>
      <c r="E611" s="1157">
        <f t="shared" si="44"/>
        <v>50000</v>
      </c>
      <c r="F611" s="1119">
        <f t="shared" si="41"/>
        <v>2012</v>
      </c>
      <c r="G611" s="1121">
        <f t="shared" si="42"/>
        <v>4.1927148453780115E-2</v>
      </c>
      <c r="H611" s="1159"/>
      <c r="J611" s="1122"/>
    </row>
    <row r="612" spans="1:10" x14ac:dyDescent="0.25">
      <c r="B612" s="1118">
        <v>48000</v>
      </c>
      <c r="C612" s="1104">
        <v>3288</v>
      </c>
      <c r="D612" s="1119">
        <f t="shared" si="40"/>
        <v>48000</v>
      </c>
      <c r="E612" s="1157">
        <f t="shared" si="44"/>
        <v>50000</v>
      </c>
      <c r="F612" s="1119">
        <f t="shared" si="41"/>
        <v>2000</v>
      </c>
      <c r="G612" s="1121">
        <f t="shared" si="42"/>
        <v>4.1666666666666664E-2</v>
      </c>
      <c r="H612" s="1159"/>
      <c r="J612" s="1122"/>
    </row>
    <row r="613" spans="1:10" x14ac:dyDescent="0.25">
      <c r="B613" s="1118">
        <v>48060</v>
      </c>
      <c r="C613" s="1104">
        <v>3150</v>
      </c>
      <c r="D613" s="1119">
        <f t="shared" si="40"/>
        <v>49000</v>
      </c>
      <c r="E613" s="1157">
        <f t="shared" si="44"/>
        <v>50000</v>
      </c>
      <c r="F613" s="1119">
        <f t="shared" si="41"/>
        <v>1940</v>
      </c>
      <c r="G613" s="1121">
        <f t="shared" si="42"/>
        <v>4.0366208905534745E-2</v>
      </c>
      <c r="H613" s="1159"/>
      <c r="J613" s="1122"/>
    </row>
    <row r="614" spans="1:10" x14ac:dyDescent="0.25">
      <c r="B614" s="1118">
        <v>49356</v>
      </c>
      <c r="C614" s="1104">
        <v>3150</v>
      </c>
      <c r="D614" s="1119">
        <f t="shared" si="40"/>
        <v>50000</v>
      </c>
      <c r="E614" s="1157">
        <f t="shared" si="44"/>
        <v>50000</v>
      </c>
      <c r="F614" s="1119">
        <f t="shared" si="41"/>
        <v>644</v>
      </c>
      <c r="G614" s="1121">
        <f t="shared" si="42"/>
        <v>1.3048058999918956E-2</v>
      </c>
      <c r="H614" s="1159"/>
      <c r="J614" s="1122"/>
    </row>
    <row r="615" spans="1:10" x14ac:dyDescent="0.25">
      <c r="B615" s="1118">
        <v>50899.25</v>
      </c>
      <c r="C615" s="1104">
        <v>3150</v>
      </c>
      <c r="D615" s="1119">
        <f t="shared" si="40"/>
        <v>51000</v>
      </c>
      <c r="E615" s="1120">
        <f>IF(B615&lt;=55000,55000)</f>
        <v>55000</v>
      </c>
      <c r="F615" s="1119">
        <f t="shared" si="41"/>
        <v>4100.75</v>
      </c>
      <c r="G615" s="1121">
        <f t="shared" si="42"/>
        <v>8.0566020127997962E-2</v>
      </c>
      <c r="H615" s="1158">
        <v>1</v>
      </c>
      <c r="J615" s="1142">
        <f>AVERAGE(B615)</f>
        <v>50899.25</v>
      </c>
    </row>
    <row r="616" spans="1:10" x14ac:dyDescent="0.25">
      <c r="B616" s="1118">
        <v>65517.5</v>
      </c>
      <c r="C616" s="816">
        <v>3150</v>
      </c>
      <c r="D616" s="1160">
        <f t="shared" si="40"/>
        <v>66000</v>
      </c>
      <c r="E616" s="1140">
        <v>60000</v>
      </c>
      <c r="F616" s="1160">
        <f t="shared" si="41"/>
        <v>-5517.5</v>
      </c>
      <c r="G616" s="1161">
        <f t="shared" si="42"/>
        <v>-8.4214141259968706E-2</v>
      </c>
      <c r="H616" s="1158">
        <v>5</v>
      </c>
      <c r="J616" s="1142">
        <f>AVERAGE(B616:B620)</f>
        <v>74212.160000000003</v>
      </c>
    </row>
    <row r="617" spans="1:10" x14ac:dyDescent="0.25">
      <c r="B617" s="1118">
        <v>65999.3</v>
      </c>
      <c r="C617" s="816">
        <v>3150</v>
      </c>
      <c r="D617" s="1160">
        <f t="shared" si="40"/>
        <v>66000</v>
      </c>
      <c r="E617" s="1140">
        <v>60000</v>
      </c>
      <c r="F617" s="1160">
        <f t="shared" si="41"/>
        <v>-5999.3000000000029</v>
      </c>
      <c r="G617" s="1161">
        <f t="shared" si="42"/>
        <v>-9.0899448933549329E-2</v>
      </c>
      <c r="H617" s="816"/>
      <c r="J617" s="1122"/>
    </row>
    <row r="618" spans="1:10" x14ac:dyDescent="0.25">
      <c r="B618" s="1118">
        <v>75000</v>
      </c>
      <c r="C618" s="816">
        <v>3150</v>
      </c>
      <c r="D618" s="1160">
        <f t="shared" si="40"/>
        <v>75000</v>
      </c>
      <c r="E618" s="1140">
        <v>60000</v>
      </c>
      <c r="F618" s="1160">
        <f t="shared" si="41"/>
        <v>-15000</v>
      </c>
      <c r="G618" s="1161">
        <f t="shared" si="42"/>
        <v>-0.2</v>
      </c>
      <c r="H618" s="816"/>
      <c r="J618" s="1122"/>
    </row>
    <row r="619" spans="1:10" x14ac:dyDescent="0.25">
      <c r="B619" s="1118">
        <v>75000</v>
      </c>
      <c r="C619" s="816">
        <v>3150</v>
      </c>
      <c r="D619" s="1160">
        <f t="shared" si="40"/>
        <v>75000</v>
      </c>
      <c r="E619" s="1140">
        <v>60000</v>
      </c>
      <c r="F619" s="1160">
        <f t="shared" si="41"/>
        <v>-15000</v>
      </c>
      <c r="G619" s="1161">
        <f t="shared" si="42"/>
        <v>-0.2</v>
      </c>
      <c r="H619" s="816"/>
      <c r="J619" s="1122"/>
    </row>
    <row r="620" spans="1:10" ht="15.75" thickBot="1" x14ac:dyDescent="0.3">
      <c r="B620" s="1162">
        <v>89544</v>
      </c>
      <c r="C620" s="1163">
        <v>3150</v>
      </c>
      <c r="D620" s="1164">
        <f t="shared" si="40"/>
        <v>90000</v>
      </c>
      <c r="E620" s="1165">
        <v>60000</v>
      </c>
      <c r="F620" s="1164">
        <f t="shared" si="41"/>
        <v>-29544</v>
      </c>
      <c r="G620" s="1166">
        <f t="shared" si="42"/>
        <v>-0.32993835432859825</v>
      </c>
      <c r="H620" s="816"/>
      <c r="J620" s="1167"/>
    </row>
    <row r="621" spans="1:10" ht="16.5" thickTop="1" thickBot="1" x14ac:dyDescent="0.3">
      <c r="A621" s="1168" t="s">
        <v>625</v>
      </c>
      <c r="B621" s="1169">
        <f>SUM(B2:B620)</f>
        <v>14855466.490000002</v>
      </c>
      <c r="C621" s="1170"/>
      <c r="D621" s="1170">
        <f>SUM(D2:D620)</f>
        <v>15121000</v>
      </c>
      <c r="E621" s="1171">
        <f>SUM(E2:E620)</f>
        <v>15773750</v>
      </c>
      <c r="F621" s="1172">
        <f>SUM(F2:F620)</f>
        <v>918283.51000000047</v>
      </c>
      <c r="G621" s="1173"/>
      <c r="H621" s="1174">
        <v>619</v>
      </c>
    </row>
    <row r="622" spans="1:10" ht="31.5" thickTop="1" thickBot="1" x14ac:dyDescent="0.3">
      <c r="A622" s="1175" t="s">
        <v>626</v>
      </c>
      <c r="E622" s="1169">
        <f>E621-B621</f>
        <v>918283.50999999791</v>
      </c>
    </row>
    <row r="623" spans="1:10" ht="15.75" thickTop="1" x14ac:dyDescent="0.25"/>
    <row r="624" spans="1:10" x14ac:dyDescent="0.25">
      <c r="E624" s="816"/>
    </row>
  </sheetData>
  <mergeCells count="3">
    <mergeCell ref="T4:T15"/>
    <mergeCell ref="U5:U19"/>
    <mergeCell ref="V6:V24"/>
  </mergeCells>
  <pageMargins left="0.7" right="0.7" top="0.75" bottom="0.75" header="0.3" footer="0.3"/>
  <pageSetup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P29"/>
  <sheetViews>
    <sheetView workbookViewId="0">
      <selection activeCell="D7" sqref="D7:P17"/>
    </sheetView>
  </sheetViews>
  <sheetFormatPr defaultColWidth="8.85546875" defaultRowHeight="15" x14ac:dyDescent="0.25"/>
  <cols>
    <col min="1" max="3" width="8.85546875" style="816"/>
    <col min="4" max="4" width="23.7109375" style="816" customWidth="1"/>
    <col min="5" max="5" width="11.5703125" style="816" bestFit="1" customWidth="1"/>
    <col min="6" max="7" width="1.7109375" style="816" customWidth="1"/>
    <col min="8" max="8" width="26.140625" style="816" customWidth="1"/>
    <col min="9" max="9" width="11.28515625" style="816" customWidth="1"/>
    <col min="10" max="10" width="1.7109375" style="1176" customWidth="1"/>
    <col min="11" max="11" width="1.7109375" style="816" customWidth="1"/>
    <col min="12" max="12" width="22.85546875" style="816" customWidth="1"/>
    <col min="13" max="13" width="10.7109375" style="816" customWidth="1"/>
    <col min="14" max="14" width="2.7109375" style="816" customWidth="1"/>
    <col min="15" max="15" width="21.28515625" style="816" customWidth="1"/>
    <col min="16" max="16" width="13" style="816" customWidth="1"/>
    <col min="17" max="16384" width="8.85546875" style="816"/>
  </cols>
  <sheetData>
    <row r="2" spans="4:16" ht="14.45" x14ac:dyDescent="0.3">
      <c r="O2" s="510"/>
      <c r="P2" s="510"/>
    </row>
    <row r="3" spans="4:16" ht="14.45" x14ac:dyDescent="0.3">
      <c r="O3" s="1177"/>
      <c r="P3" s="510"/>
    </row>
    <row r="4" spans="4:16" ht="14.45" x14ac:dyDescent="0.3">
      <c r="O4" s="1177"/>
      <c r="P4" s="510"/>
    </row>
    <row r="5" spans="4:16" ht="14.45" x14ac:dyDescent="0.3">
      <c r="O5" s="733"/>
      <c r="P5" s="510"/>
    </row>
    <row r="6" spans="4:16" thickBot="1" x14ac:dyDescent="0.35">
      <c r="O6" s="510"/>
      <c r="P6" s="510"/>
    </row>
    <row r="7" spans="4:16" ht="14.45" x14ac:dyDescent="0.3">
      <c r="D7" s="1641" t="s">
        <v>627</v>
      </c>
      <c r="E7" s="1642"/>
      <c r="F7" s="1177"/>
      <c r="G7" s="1177"/>
      <c r="H7" s="1641" t="s">
        <v>627</v>
      </c>
      <c r="I7" s="1642"/>
      <c r="L7" s="1641" t="s">
        <v>627</v>
      </c>
      <c r="M7" s="1642"/>
      <c r="O7" s="1641" t="s">
        <v>627</v>
      </c>
      <c r="P7" s="1642"/>
    </row>
    <row r="8" spans="4:16" ht="14.45" x14ac:dyDescent="0.3">
      <c r="D8" s="1178" t="s">
        <v>628</v>
      </c>
      <c r="E8" s="1179" t="s">
        <v>21</v>
      </c>
      <c r="F8" s="1177"/>
      <c r="G8" s="1177"/>
      <c r="H8" s="1178" t="s">
        <v>628</v>
      </c>
      <c r="I8" s="1179" t="s">
        <v>21</v>
      </c>
      <c r="L8" s="1178" t="s">
        <v>628</v>
      </c>
      <c r="M8" s="1179" t="s">
        <v>21</v>
      </c>
      <c r="O8" s="1178" t="s">
        <v>628</v>
      </c>
      <c r="P8" s="1179" t="s">
        <v>21</v>
      </c>
    </row>
    <row r="9" spans="4:16" ht="14.45" x14ac:dyDescent="0.3">
      <c r="D9" s="1180" t="s">
        <v>629</v>
      </c>
      <c r="E9" s="1211">
        <v>29324</v>
      </c>
      <c r="F9" s="733"/>
      <c r="G9" s="733"/>
      <c r="H9" s="1180" t="s">
        <v>639</v>
      </c>
      <c r="I9" s="1211">
        <v>64300</v>
      </c>
      <c r="J9" s="1181"/>
      <c r="L9" s="1180" t="s">
        <v>640</v>
      </c>
      <c r="M9" s="1211">
        <v>78000</v>
      </c>
      <c r="O9" s="1180" t="s">
        <v>635</v>
      </c>
      <c r="P9" s="1211">
        <v>86230</v>
      </c>
    </row>
    <row r="10" spans="4:16" ht="14.45" x14ac:dyDescent="0.3">
      <c r="D10" s="1183"/>
      <c r="E10" s="1184"/>
      <c r="F10" s="510"/>
      <c r="G10" s="510"/>
      <c r="H10" s="1183"/>
      <c r="I10" s="1184"/>
      <c r="L10" s="1183"/>
      <c r="M10" s="1184"/>
      <c r="O10" s="1183"/>
      <c r="P10" s="1184"/>
    </row>
    <row r="11" spans="4:16" ht="14.45" x14ac:dyDescent="0.3">
      <c r="D11" s="1186" t="s">
        <v>65</v>
      </c>
      <c r="E11" s="1187">
        <f>'[8]SL Base + $750 + $9 + CAF 2.05%'!I31</f>
        <v>0.24847479945378861</v>
      </c>
      <c r="F11" s="742"/>
      <c r="G11" s="742"/>
      <c r="H11" s="1186" t="s">
        <v>65</v>
      </c>
      <c r="I11" s="1187">
        <f>E11</f>
        <v>0.24847479945378861</v>
      </c>
      <c r="L11" s="1186" t="s">
        <v>65</v>
      </c>
      <c r="M11" s="1187">
        <f>E11</f>
        <v>0.24847479945378861</v>
      </c>
      <c r="O11" s="1186" t="s">
        <v>65</v>
      </c>
      <c r="P11" s="1187">
        <f>E11</f>
        <v>0.24847479945378861</v>
      </c>
    </row>
    <row r="12" spans="4:16" ht="14.45" x14ac:dyDescent="0.3">
      <c r="D12" s="1183"/>
      <c r="E12" s="1184"/>
      <c r="F12" s="510"/>
      <c r="G12" s="510"/>
      <c r="H12" s="1183"/>
      <c r="I12" s="1184"/>
      <c r="L12" s="1183"/>
      <c r="M12" s="1184"/>
      <c r="O12" s="1183"/>
      <c r="P12" s="1184"/>
    </row>
    <row r="13" spans="4:16" ht="14.45" x14ac:dyDescent="0.3">
      <c r="D13" s="1186" t="s">
        <v>110</v>
      </c>
      <c r="E13" s="1212">
        <f>E9*0.2485+E9</f>
        <v>36611.014000000003</v>
      </c>
      <c r="F13" s="1182"/>
      <c r="G13" s="1182"/>
      <c r="H13" s="1186" t="s">
        <v>110</v>
      </c>
      <c r="I13" s="1212">
        <f>I9*0.2485+I9</f>
        <v>80278.55</v>
      </c>
      <c r="L13" s="1186" t="s">
        <v>110</v>
      </c>
      <c r="M13" s="1212">
        <f>M9*0.2485+M9</f>
        <v>97383</v>
      </c>
      <c r="O13" s="1186" t="s">
        <v>110</v>
      </c>
      <c r="P13" s="1212">
        <f>P9*0.2485+P9</f>
        <v>107658.155</v>
      </c>
    </row>
    <row r="14" spans="4:16" ht="14.45" x14ac:dyDescent="0.3">
      <c r="D14" s="1188" t="s">
        <v>630</v>
      </c>
      <c r="E14" s="1209">
        <f>E13/2080</f>
        <v>17.601449038461539</v>
      </c>
      <c r="F14" s="1185"/>
      <c r="G14" s="1185"/>
      <c r="H14" s="1188" t="s">
        <v>630</v>
      </c>
      <c r="I14" s="1209">
        <f>I13/2080</f>
        <v>38.595456730769229</v>
      </c>
      <c r="L14" s="1188" t="s">
        <v>630</v>
      </c>
      <c r="M14" s="1209">
        <f>M13/2080</f>
        <v>46.818750000000001</v>
      </c>
      <c r="O14" s="1188" t="s">
        <v>630</v>
      </c>
      <c r="P14" s="1209">
        <f>P13/2080</f>
        <v>51.758728365384613</v>
      </c>
    </row>
    <row r="15" spans="4:16" thickBot="1" x14ac:dyDescent="0.35">
      <c r="D15" s="1186" t="s">
        <v>631</v>
      </c>
      <c r="E15" s="1187">
        <f>'[10]CAF - Fall 2017'!BP27</f>
        <v>1.8700072621641205E-2</v>
      </c>
      <c r="F15" s="742"/>
      <c r="G15" s="742"/>
      <c r="H15" s="1186" t="s">
        <v>631</v>
      </c>
      <c r="I15" s="1187">
        <f>E15</f>
        <v>1.8700072621641205E-2</v>
      </c>
      <c r="L15" s="1186" t="s">
        <v>631</v>
      </c>
      <c r="M15" s="1187">
        <f>E15</f>
        <v>1.8700072621641205E-2</v>
      </c>
      <c r="O15" s="1186" t="s">
        <v>631</v>
      </c>
      <c r="P15" s="1187">
        <f>E15</f>
        <v>1.8700072621641205E-2</v>
      </c>
    </row>
    <row r="16" spans="4:16" thickBot="1" x14ac:dyDescent="0.35">
      <c r="D16" s="1189" t="s">
        <v>630</v>
      </c>
      <c r="E16" s="1210">
        <f>E14*(E15+1)</f>
        <v>17.930597413726886</v>
      </c>
      <c r="F16" s="1185"/>
      <c r="G16" s="1190"/>
      <c r="H16" s="1189" t="s">
        <v>630</v>
      </c>
      <c r="I16" s="1210">
        <f>I14*(I15+1)</f>
        <v>39.317194574500029</v>
      </c>
      <c r="L16" s="1189" t="s">
        <v>630</v>
      </c>
      <c r="M16" s="1210">
        <f>M14*(M15+1)-0.01</f>
        <v>47.684264025054475</v>
      </c>
      <c r="O16" s="1189" t="s">
        <v>630</v>
      </c>
      <c r="P16" s="1210">
        <f>P14*(P15+1)-0.01</f>
        <v>52.716620344621113</v>
      </c>
    </row>
    <row r="17" spans="2:16" thickBot="1" x14ac:dyDescent="0.35">
      <c r="D17" s="1206" t="s">
        <v>638</v>
      </c>
      <c r="E17" s="1208">
        <f>E16*0.25</f>
        <v>4.4826493534317216</v>
      </c>
      <c r="H17" s="1206" t="s">
        <v>638</v>
      </c>
      <c r="I17" s="1207">
        <f>I16*0.25</f>
        <v>9.8292986436250072</v>
      </c>
      <c r="L17" s="1206" t="s">
        <v>638</v>
      </c>
      <c r="M17" s="1208">
        <f>M16*0.25</f>
        <v>11.921066006263619</v>
      </c>
      <c r="O17" s="1206" t="s">
        <v>638</v>
      </c>
      <c r="P17" s="1208">
        <f>P16*0.25</f>
        <v>13.179155086155278</v>
      </c>
    </row>
    <row r="19" spans="2:16" ht="14.45" x14ac:dyDescent="0.3">
      <c r="J19" s="1191"/>
    </row>
    <row r="20" spans="2:16" ht="14.45" x14ac:dyDescent="0.3">
      <c r="B20" s="273"/>
      <c r="C20" s="32"/>
      <c r="D20" s="32"/>
      <c r="E20" s="32"/>
      <c r="F20" s="32"/>
      <c r="G20" s="32"/>
      <c r="H20" s="32"/>
      <c r="I20" s="32"/>
      <c r="J20" s="1192"/>
    </row>
    <row r="21" spans="2:16" ht="14.45" x14ac:dyDescent="0.3">
      <c r="B21" s="32"/>
      <c r="C21" s="32"/>
      <c r="D21" s="32"/>
      <c r="E21" s="32"/>
      <c r="F21" s="32"/>
      <c r="G21" s="32"/>
      <c r="H21" s="32"/>
      <c r="I21" s="32"/>
      <c r="J21" s="1193"/>
    </row>
    <row r="22" spans="2:16" ht="15.75" hidden="1" customHeight="1" thickBot="1" x14ac:dyDescent="0.35">
      <c r="B22" s="32"/>
      <c r="C22" s="32"/>
      <c r="D22" s="32"/>
      <c r="E22" s="32"/>
      <c r="F22" s="32" t="s">
        <v>632</v>
      </c>
      <c r="G22" s="32" t="s">
        <v>633</v>
      </c>
      <c r="H22" s="1203"/>
      <c r="I22" s="32"/>
      <c r="J22" s="1193"/>
    </row>
    <row r="23" spans="2:16" ht="14.45" hidden="1" x14ac:dyDescent="0.3">
      <c r="B23" s="32"/>
      <c r="C23" s="32"/>
      <c r="D23" s="1643" t="s">
        <v>634</v>
      </c>
      <c r="E23" s="1644"/>
      <c r="F23" s="1194">
        <v>47.68</v>
      </c>
      <c r="G23" s="1204">
        <v>11.92</v>
      </c>
      <c r="H23" s="1647"/>
      <c r="I23" s="32"/>
      <c r="J23" s="1193"/>
    </row>
    <row r="24" spans="2:16" hidden="1" thickBot="1" x14ac:dyDescent="0.35">
      <c r="B24" s="32"/>
      <c r="C24" s="32"/>
      <c r="D24" s="1645"/>
      <c r="E24" s="1646"/>
      <c r="F24" s="1195">
        <v>39.32</v>
      </c>
      <c r="G24" s="1205">
        <v>9.83</v>
      </c>
      <c r="H24" s="1647"/>
      <c r="I24" s="1196"/>
      <c r="J24" s="1197"/>
    </row>
    <row r="25" spans="2:16" ht="14.45" hidden="1" x14ac:dyDescent="0.3">
      <c r="B25" s="32"/>
      <c r="C25" s="32"/>
      <c r="D25" s="1648" t="s">
        <v>635</v>
      </c>
      <c r="E25" s="1649"/>
      <c r="F25" s="1652">
        <v>52.72</v>
      </c>
      <c r="G25" s="1654">
        <v>13.18</v>
      </c>
      <c r="H25" s="1558"/>
      <c r="I25" s="1196"/>
      <c r="J25" s="1197"/>
    </row>
    <row r="26" spans="2:16" hidden="1" thickBot="1" x14ac:dyDescent="0.35">
      <c r="B26" s="32"/>
      <c r="C26" s="32"/>
      <c r="D26" s="1650"/>
      <c r="E26" s="1651"/>
      <c r="F26" s="1653"/>
      <c r="G26" s="1655"/>
      <c r="H26" s="1558"/>
      <c r="I26" s="1196"/>
      <c r="J26" s="1197"/>
    </row>
    <row r="27" spans="2:16" ht="14.45" hidden="1" customHeight="1" x14ac:dyDescent="0.3">
      <c r="B27" s="32"/>
      <c r="C27" s="32"/>
      <c r="D27" s="32"/>
      <c r="E27" s="32"/>
      <c r="F27" s="32"/>
      <c r="G27" s="32"/>
      <c r="H27" s="1196"/>
      <c r="I27" s="1196"/>
      <c r="J27" s="1193"/>
    </row>
    <row r="28" spans="2:16" ht="14.45" hidden="1" x14ac:dyDescent="0.3">
      <c r="H28" s="596"/>
      <c r="I28" s="596"/>
    </row>
    <row r="29" spans="2:16" ht="14.45" customHeight="1" x14ac:dyDescent="0.3">
      <c r="H29" s="596"/>
      <c r="I29" s="596"/>
    </row>
  </sheetData>
  <mergeCells count="10">
    <mergeCell ref="D25:E26"/>
    <mergeCell ref="F25:F26"/>
    <mergeCell ref="G25:G26"/>
    <mergeCell ref="H25:H26"/>
    <mergeCell ref="H7:I7"/>
    <mergeCell ref="L7:M7"/>
    <mergeCell ref="O7:P7"/>
    <mergeCell ref="D7:E7"/>
    <mergeCell ref="D23:E24"/>
    <mergeCell ref="H23:H24"/>
  </mergeCells>
  <pageMargins left="0.25" right="0.25" top="0.75" bottom="0.75" header="0.3" footer="0.3"/>
  <pageSetup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6"/>
  <sheetViews>
    <sheetView topLeftCell="A2" workbookViewId="0">
      <selection activeCell="I78" sqref="I78"/>
    </sheetView>
  </sheetViews>
  <sheetFormatPr defaultRowHeight="22.9" customHeight="1" x14ac:dyDescent="0.25"/>
  <cols>
    <col min="1" max="1" width="54.28515625" customWidth="1"/>
    <col min="2" max="3" width="19.28515625" customWidth="1"/>
    <col min="4" max="4" width="25.5703125" customWidth="1"/>
    <col min="5" max="5" width="19.28515625" customWidth="1"/>
  </cols>
  <sheetData>
    <row r="1" spans="1:5" ht="22.9" customHeight="1" x14ac:dyDescent="0.3">
      <c r="A1" s="1664" t="s">
        <v>412</v>
      </c>
      <c r="B1" s="1664"/>
      <c r="C1" s="1664"/>
      <c r="D1" s="1664"/>
      <c r="E1" s="1664"/>
    </row>
    <row r="2" spans="1:5" ht="22.9" customHeight="1" x14ac:dyDescent="0.3">
      <c r="A2" s="1664" t="s">
        <v>413</v>
      </c>
      <c r="B2" s="1664"/>
      <c r="C2" s="1664"/>
      <c r="D2" s="1664"/>
      <c r="E2" s="1664"/>
    </row>
    <row r="3" spans="1:5" ht="22.9" customHeight="1" x14ac:dyDescent="0.3">
      <c r="A3" s="1664" t="s">
        <v>414</v>
      </c>
      <c r="B3" s="1664"/>
      <c r="C3" s="1664"/>
      <c r="D3" s="1664"/>
      <c r="E3" s="1664"/>
    </row>
    <row r="4" spans="1:5" ht="22.9" customHeight="1" x14ac:dyDescent="0.3">
      <c r="A4" s="788"/>
      <c r="B4" s="751"/>
      <c r="C4" s="751"/>
      <c r="D4" s="751"/>
      <c r="E4" s="751"/>
    </row>
    <row r="5" spans="1:5" ht="22.9" customHeight="1" x14ac:dyDescent="0.3">
      <c r="A5" s="1664" t="s">
        <v>415</v>
      </c>
      <c r="B5" s="1664"/>
      <c r="C5" s="1664"/>
      <c r="D5" s="1664"/>
      <c r="E5" s="1664"/>
    </row>
    <row r="6" spans="1:5" ht="22.9" customHeight="1" thickBot="1" x14ac:dyDescent="0.35">
      <c r="A6" s="1665">
        <v>43010</v>
      </c>
      <c r="B6" s="1665"/>
      <c r="C6" s="1665"/>
      <c r="D6" s="1665"/>
      <c r="E6" s="1665"/>
    </row>
    <row r="7" spans="1:5" ht="22.9" customHeight="1" thickBot="1" x14ac:dyDescent="0.35">
      <c r="A7" s="789" t="s">
        <v>416</v>
      </c>
      <c r="B7" s="790" t="s">
        <v>311</v>
      </c>
      <c r="C7" s="790" t="s">
        <v>246</v>
      </c>
      <c r="D7" s="790" t="s">
        <v>417</v>
      </c>
      <c r="E7" s="790" t="s">
        <v>418</v>
      </c>
    </row>
    <row r="8" spans="1:5" ht="22.9" customHeight="1" thickBot="1" x14ac:dyDescent="0.35">
      <c r="A8" s="791" t="s">
        <v>419</v>
      </c>
      <c r="B8" s="792" t="s">
        <v>312</v>
      </c>
      <c r="C8" s="792" t="s">
        <v>420</v>
      </c>
      <c r="D8" s="792" t="s">
        <v>421</v>
      </c>
      <c r="E8" s="793">
        <v>67739490.379999995</v>
      </c>
    </row>
    <row r="9" spans="1:5" ht="22.9" customHeight="1" thickBot="1" x14ac:dyDescent="0.35">
      <c r="A9" s="791" t="s">
        <v>236</v>
      </c>
      <c r="B9" s="792" t="s">
        <v>312</v>
      </c>
      <c r="C9" s="792" t="s">
        <v>422</v>
      </c>
      <c r="D9" s="792" t="s">
        <v>421</v>
      </c>
      <c r="E9" s="793">
        <v>114130.27</v>
      </c>
    </row>
    <row r="10" spans="1:5" ht="22.9" customHeight="1" thickBot="1" x14ac:dyDescent="0.35">
      <c r="A10" s="791" t="s">
        <v>237</v>
      </c>
      <c r="B10" s="792" t="s">
        <v>312</v>
      </c>
      <c r="C10" s="792" t="s">
        <v>423</v>
      </c>
      <c r="D10" s="792" t="s">
        <v>421</v>
      </c>
      <c r="E10" s="793">
        <v>564758.17000000004</v>
      </c>
    </row>
    <row r="11" spans="1:5" ht="22.9" customHeight="1" thickBot="1" x14ac:dyDescent="0.35">
      <c r="A11" s="791" t="s">
        <v>239</v>
      </c>
      <c r="B11" s="792" t="s">
        <v>312</v>
      </c>
      <c r="C11" s="792" t="s">
        <v>424</v>
      </c>
      <c r="D11" s="792" t="s">
        <v>421</v>
      </c>
      <c r="E11" s="793">
        <v>1035879.22</v>
      </c>
    </row>
    <row r="12" spans="1:5" ht="22.9" customHeight="1" thickBot="1" x14ac:dyDescent="0.35">
      <c r="A12" s="791" t="s">
        <v>238</v>
      </c>
      <c r="B12" s="792" t="s">
        <v>312</v>
      </c>
      <c r="C12" s="792" t="s">
        <v>425</v>
      </c>
      <c r="D12" s="792" t="s">
        <v>421</v>
      </c>
      <c r="E12" s="793">
        <v>316001.06</v>
      </c>
    </row>
    <row r="13" spans="1:5" ht="22.9" customHeight="1" thickBot="1" x14ac:dyDescent="0.35">
      <c r="A13" s="791" t="s">
        <v>8</v>
      </c>
      <c r="B13" s="792" t="s">
        <v>312</v>
      </c>
      <c r="C13" s="792" t="s">
        <v>426</v>
      </c>
      <c r="D13" s="792" t="s">
        <v>427</v>
      </c>
      <c r="E13" s="793">
        <v>2025715.29</v>
      </c>
    </row>
    <row r="14" spans="1:5" ht="22.9" customHeight="1" thickBot="1" x14ac:dyDescent="0.35">
      <c r="A14" s="791" t="s">
        <v>9</v>
      </c>
      <c r="B14" s="792" t="s">
        <v>312</v>
      </c>
      <c r="C14" s="792" t="s">
        <v>428</v>
      </c>
      <c r="D14" s="792" t="s">
        <v>429</v>
      </c>
      <c r="E14" s="793">
        <v>1405135.81</v>
      </c>
    </row>
    <row r="15" spans="1:5" ht="22.9" customHeight="1" thickBot="1" x14ac:dyDescent="0.35">
      <c r="A15" s="791" t="s">
        <v>430</v>
      </c>
      <c r="B15" s="792" t="s">
        <v>312</v>
      </c>
      <c r="C15" s="792" t="s">
        <v>431</v>
      </c>
      <c r="D15" s="792" t="s">
        <v>421</v>
      </c>
      <c r="E15" s="793">
        <v>552951.01</v>
      </c>
    </row>
    <row r="16" spans="1:5" ht="22.9" customHeight="1" thickBot="1" x14ac:dyDescent="0.3">
      <c r="A16" s="791" t="s">
        <v>315</v>
      </c>
      <c r="B16" s="792" t="s">
        <v>314</v>
      </c>
      <c r="C16" s="792" t="s">
        <v>432</v>
      </c>
      <c r="D16" s="792" t="s">
        <v>210</v>
      </c>
      <c r="E16" s="793">
        <v>1044993.6</v>
      </c>
    </row>
    <row r="17" spans="1:5" ht="22.9" customHeight="1" thickBot="1" x14ac:dyDescent="0.3">
      <c r="A17" s="794" t="s">
        <v>433</v>
      </c>
      <c r="B17" s="795"/>
      <c r="C17" s="796" t="s">
        <v>434</v>
      </c>
      <c r="D17" s="796" t="s">
        <v>435</v>
      </c>
      <c r="E17" s="797">
        <v>0</v>
      </c>
    </row>
    <row r="18" spans="1:5" ht="22.9" customHeight="1" thickBot="1" x14ac:dyDescent="0.3">
      <c r="A18" s="791" t="s">
        <v>436</v>
      </c>
      <c r="B18" s="792" t="s">
        <v>312</v>
      </c>
      <c r="C18" s="793">
        <v>194.68</v>
      </c>
      <c r="D18" s="792" t="s">
        <v>421</v>
      </c>
      <c r="E18" s="798">
        <v>106250</v>
      </c>
    </row>
    <row r="19" spans="1:5" ht="22.9" customHeight="1" thickBot="1" x14ac:dyDescent="0.3">
      <c r="A19" s="791" t="s">
        <v>437</v>
      </c>
      <c r="B19" s="792" t="s">
        <v>313</v>
      </c>
      <c r="C19" s="792" t="s">
        <v>438</v>
      </c>
      <c r="D19" s="792" t="s">
        <v>439</v>
      </c>
      <c r="E19" s="793">
        <v>70655.600000000006</v>
      </c>
    </row>
    <row r="20" spans="1:5" ht="22.9" customHeight="1" thickBot="1" x14ac:dyDescent="0.3">
      <c r="A20" s="791" t="s">
        <v>440</v>
      </c>
      <c r="B20" s="792" t="s">
        <v>313</v>
      </c>
      <c r="C20" s="792" t="s">
        <v>441</v>
      </c>
      <c r="D20" s="792" t="s">
        <v>421</v>
      </c>
      <c r="E20" s="793">
        <v>864774.82</v>
      </c>
    </row>
    <row r="21" spans="1:5" ht="22.9" customHeight="1" thickBot="1" x14ac:dyDescent="0.3">
      <c r="A21" s="791" t="s">
        <v>279</v>
      </c>
      <c r="B21" s="792" t="s">
        <v>314</v>
      </c>
      <c r="C21" s="793">
        <v>4648.99</v>
      </c>
      <c r="D21" s="792" t="s">
        <v>210</v>
      </c>
      <c r="E21" s="792"/>
    </row>
    <row r="22" spans="1:5" ht="22.9" customHeight="1" thickBot="1" x14ac:dyDescent="0.3">
      <c r="A22" s="800"/>
    </row>
    <row r="23" spans="1:5" ht="22.9" customHeight="1" thickBot="1" x14ac:dyDescent="0.3">
      <c r="A23" s="789" t="s">
        <v>442</v>
      </c>
      <c r="B23" s="790"/>
      <c r="C23" s="790" t="s">
        <v>246</v>
      </c>
      <c r="D23" s="790" t="s">
        <v>417</v>
      </c>
      <c r="E23" s="790"/>
    </row>
    <row r="24" spans="1:5" ht="22.9" customHeight="1" thickBot="1" x14ac:dyDescent="0.3">
      <c r="A24" s="801" t="s">
        <v>443</v>
      </c>
      <c r="B24" s="802"/>
      <c r="C24" s="802"/>
      <c r="D24" s="802"/>
      <c r="E24" s="802"/>
    </row>
    <row r="25" spans="1:5" ht="22.9" customHeight="1" thickBot="1" x14ac:dyDescent="0.3">
      <c r="A25" s="791" t="s">
        <v>444</v>
      </c>
      <c r="B25" s="792" t="s">
        <v>240</v>
      </c>
      <c r="C25" s="793">
        <v>1848.11</v>
      </c>
      <c r="D25" s="792" t="s">
        <v>210</v>
      </c>
      <c r="E25" s="792"/>
    </row>
    <row r="26" spans="1:5" ht="22.9" customHeight="1" thickBot="1" x14ac:dyDescent="0.3">
      <c r="A26" s="791" t="s">
        <v>445</v>
      </c>
      <c r="B26" s="792" t="s">
        <v>240</v>
      </c>
      <c r="C26" s="793">
        <v>1848.11</v>
      </c>
      <c r="D26" s="792" t="s">
        <v>210</v>
      </c>
      <c r="E26" s="792"/>
    </row>
    <row r="27" spans="1:5" ht="22.9" customHeight="1" thickBot="1" x14ac:dyDescent="0.3">
      <c r="A27" s="791" t="s">
        <v>446</v>
      </c>
      <c r="B27" s="792" t="s">
        <v>240</v>
      </c>
      <c r="C27" s="793">
        <v>2324.4899999999998</v>
      </c>
      <c r="D27" s="792" t="s">
        <v>210</v>
      </c>
      <c r="E27" s="792"/>
    </row>
    <row r="28" spans="1:5" ht="22.9" customHeight="1" thickBot="1" x14ac:dyDescent="0.3">
      <c r="A28" s="791" t="s">
        <v>447</v>
      </c>
      <c r="B28" s="792" t="s">
        <v>240</v>
      </c>
      <c r="C28" s="793">
        <v>2324.4899999999998</v>
      </c>
      <c r="D28" s="792" t="s">
        <v>210</v>
      </c>
      <c r="E28" s="792"/>
    </row>
    <row r="29" spans="1:5" ht="22.9" customHeight="1" thickBot="1" x14ac:dyDescent="0.3">
      <c r="A29" s="791" t="s">
        <v>448</v>
      </c>
      <c r="B29" s="792" t="s">
        <v>240</v>
      </c>
      <c r="C29" s="793">
        <v>279.3</v>
      </c>
      <c r="D29" s="792" t="s">
        <v>210</v>
      </c>
      <c r="E29" s="792"/>
    </row>
    <row r="30" spans="1:5" ht="22.9" customHeight="1" thickBot="1" x14ac:dyDescent="0.3">
      <c r="A30" s="791" t="s">
        <v>449</v>
      </c>
      <c r="B30" s="792" t="s">
        <v>240</v>
      </c>
      <c r="C30" s="793">
        <v>484.02</v>
      </c>
      <c r="D30" s="792" t="s">
        <v>210</v>
      </c>
      <c r="E30" s="792"/>
    </row>
    <row r="31" spans="1:5" ht="22.9" customHeight="1" thickBot="1" x14ac:dyDescent="0.3">
      <c r="A31" s="801" t="s">
        <v>450</v>
      </c>
      <c r="B31" s="802"/>
      <c r="C31" s="802"/>
      <c r="D31" s="802"/>
      <c r="E31" s="802"/>
    </row>
    <row r="32" spans="1:5" ht="22.9" customHeight="1" thickBot="1" x14ac:dyDescent="0.3">
      <c r="A32" s="803" t="s">
        <v>451</v>
      </c>
      <c r="B32" s="799" t="s">
        <v>240</v>
      </c>
      <c r="C32" s="793">
        <v>484.02</v>
      </c>
      <c r="D32" s="792" t="s">
        <v>210</v>
      </c>
      <c r="E32" s="792"/>
    </row>
    <row r="33" spans="1:5" ht="22.9" customHeight="1" thickBot="1" x14ac:dyDescent="0.3">
      <c r="A33" s="803" t="s">
        <v>248</v>
      </c>
      <c r="B33" s="799"/>
      <c r="C33" s="793">
        <v>1848.11</v>
      </c>
      <c r="D33" s="792" t="s">
        <v>210</v>
      </c>
      <c r="E33" s="792"/>
    </row>
    <row r="34" spans="1:5" ht="22.9" customHeight="1" thickBot="1" x14ac:dyDescent="0.3">
      <c r="A34" s="803" t="s">
        <v>452</v>
      </c>
      <c r="B34" s="799"/>
      <c r="C34" s="793">
        <v>1848.11</v>
      </c>
      <c r="D34" s="792" t="s">
        <v>210</v>
      </c>
      <c r="E34" s="792"/>
    </row>
    <row r="35" spans="1:5" ht="22.9" customHeight="1" thickBot="1" x14ac:dyDescent="0.3">
      <c r="A35" s="804" t="s">
        <v>259</v>
      </c>
      <c r="B35" s="802"/>
      <c r="C35" s="802"/>
      <c r="D35" s="802"/>
      <c r="E35" s="802"/>
    </row>
    <row r="36" spans="1:5" ht="22.9" customHeight="1" thickBot="1" x14ac:dyDescent="0.3">
      <c r="A36" s="803" t="s">
        <v>260</v>
      </c>
      <c r="B36" s="805"/>
      <c r="C36" s="793">
        <v>3835.87</v>
      </c>
      <c r="D36" s="792" t="s">
        <v>210</v>
      </c>
      <c r="E36" s="792"/>
    </row>
    <row r="37" spans="1:5" ht="22.9" customHeight="1" thickBot="1" x14ac:dyDescent="0.3">
      <c r="A37" s="803" t="s">
        <v>261</v>
      </c>
      <c r="B37" s="805"/>
      <c r="C37" s="793">
        <v>6171.62</v>
      </c>
      <c r="D37" s="792" t="s">
        <v>210</v>
      </c>
      <c r="E37" s="792"/>
    </row>
    <row r="38" spans="1:5" ht="22.9" customHeight="1" thickBot="1" x14ac:dyDescent="0.3">
      <c r="A38" s="803" t="s">
        <v>262</v>
      </c>
      <c r="B38" s="805"/>
      <c r="C38" s="793">
        <v>9327.26</v>
      </c>
      <c r="D38" s="792" t="s">
        <v>210</v>
      </c>
      <c r="E38" s="792"/>
    </row>
    <row r="39" spans="1:5" ht="22.9" customHeight="1" thickBot="1" x14ac:dyDescent="0.3">
      <c r="A39" s="804" t="s">
        <v>263</v>
      </c>
      <c r="B39" s="802"/>
      <c r="C39" s="802"/>
      <c r="D39" s="802"/>
      <c r="E39" s="802"/>
    </row>
    <row r="40" spans="1:5" ht="22.9" customHeight="1" thickBot="1" x14ac:dyDescent="0.3">
      <c r="A40" s="803" t="s">
        <v>260</v>
      </c>
      <c r="B40" s="805"/>
      <c r="C40" s="793">
        <v>3080.18</v>
      </c>
      <c r="D40" s="792" t="s">
        <v>210</v>
      </c>
      <c r="E40" s="792"/>
    </row>
    <row r="41" spans="1:5" ht="22.9" customHeight="1" thickBot="1" x14ac:dyDescent="0.3">
      <c r="A41" s="803" t="s">
        <v>261</v>
      </c>
      <c r="B41" s="805"/>
      <c r="C41" s="793">
        <v>4939.55</v>
      </c>
      <c r="D41" s="792" t="s">
        <v>210</v>
      </c>
      <c r="E41" s="792"/>
    </row>
    <row r="42" spans="1:5" ht="22.9" customHeight="1" thickBot="1" x14ac:dyDescent="0.3">
      <c r="A42" s="803" t="s">
        <v>262</v>
      </c>
      <c r="B42" s="805"/>
      <c r="C42" s="793">
        <v>7409.33</v>
      </c>
      <c r="D42" s="792" t="s">
        <v>210</v>
      </c>
      <c r="E42" s="792"/>
    </row>
    <row r="43" spans="1:5" ht="22.9" customHeight="1" thickBot="1" x14ac:dyDescent="0.3">
      <c r="A43" s="804" t="s">
        <v>264</v>
      </c>
      <c r="B43" s="802"/>
      <c r="C43" s="802"/>
      <c r="D43" s="802"/>
      <c r="E43" s="802"/>
    </row>
    <row r="44" spans="1:5" ht="22.9" customHeight="1" thickBot="1" x14ac:dyDescent="0.3">
      <c r="A44" s="803" t="s">
        <v>260</v>
      </c>
      <c r="B44" s="805"/>
      <c r="C44" s="793">
        <v>755.69</v>
      </c>
      <c r="D44" s="792" t="s">
        <v>210</v>
      </c>
      <c r="E44" s="792"/>
    </row>
    <row r="45" spans="1:5" ht="22.9" customHeight="1" thickBot="1" x14ac:dyDescent="0.3">
      <c r="A45" s="803" t="s">
        <v>261</v>
      </c>
      <c r="B45" s="805"/>
      <c r="C45" s="793">
        <v>1232.07</v>
      </c>
      <c r="D45" s="792" t="s">
        <v>210</v>
      </c>
      <c r="E45" s="792"/>
    </row>
    <row r="46" spans="1:5" ht="22.9" customHeight="1" thickBot="1" x14ac:dyDescent="0.3">
      <c r="A46" s="803" t="s">
        <v>262</v>
      </c>
      <c r="B46" s="805"/>
      <c r="C46" s="793">
        <v>1848.11</v>
      </c>
      <c r="D46" s="792" t="s">
        <v>210</v>
      </c>
      <c r="E46" s="792"/>
    </row>
    <row r="47" spans="1:5" ht="22.9" customHeight="1" thickBot="1" x14ac:dyDescent="0.3">
      <c r="A47" s="804" t="s">
        <v>453</v>
      </c>
      <c r="B47" s="802"/>
      <c r="C47" s="802"/>
      <c r="D47" s="802"/>
      <c r="E47" s="802"/>
    </row>
    <row r="48" spans="1:5" ht="22.9" customHeight="1" thickBot="1" x14ac:dyDescent="0.3">
      <c r="A48" s="803" t="s">
        <v>260</v>
      </c>
      <c r="B48" s="805"/>
      <c r="C48" s="793">
        <v>3835.87</v>
      </c>
      <c r="D48" s="792" t="s">
        <v>210</v>
      </c>
      <c r="E48" s="792"/>
    </row>
    <row r="49" spans="1:5" ht="22.9" customHeight="1" thickBot="1" x14ac:dyDescent="0.3">
      <c r="A49" s="803" t="s">
        <v>261</v>
      </c>
      <c r="B49" s="805"/>
      <c r="C49" s="793">
        <v>6171.62</v>
      </c>
      <c r="D49" s="792" t="s">
        <v>210</v>
      </c>
      <c r="E49" s="792"/>
    </row>
    <row r="50" spans="1:5" ht="22.9" customHeight="1" thickBot="1" x14ac:dyDescent="0.3">
      <c r="A50" s="803" t="s">
        <v>262</v>
      </c>
      <c r="B50" s="805"/>
      <c r="C50" s="793">
        <v>9327.26</v>
      </c>
      <c r="D50" s="792" t="s">
        <v>210</v>
      </c>
      <c r="E50" s="792"/>
    </row>
    <row r="51" spans="1:5" ht="22.9" customHeight="1" thickBot="1" x14ac:dyDescent="0.3">
      <c r="A51" s="803" t="s">
        <v>454</v>
      </c>
      <c r="B51" s="805"/>
      <c r="C51" s="793">
        <v>581.12</v>
      </c>
      <c r="D51" s="792" t="s">
        <v>210</v>
      </c>
      <c r="E51" s="792"/>
    </row>
    <row r="52" spans="1:5" ht="22.9" customHeight="1" thickBot="1" x14ac:dyDescent="0.3">
      <c r="A52" s="804" t="s">
        <v>267</v>
      </c>
      <c r="B52" s="802"/>
      <c r="C52" s="802"/>
      <c r="D52" s="802"/>
      <c r="E52" s="802"/>
    </row>
    <row r="53" spans="1:5" ht="22.9" customHeight="1" thickBot="1" x14ac:dyDescent="0.3">
      <c r="A53" s="803" t="s">
        <v>268</v>
      </c>
      <c r="B53" s="805"/>
      <c r="C53" s="793">
        <v>1092.42</v>
      </c>
      <c r="D53" s="792" t="s">
        <v>210</v>
      </c>
      <c r="E53" s="792"/>
    </row>
    <row r="54" spans="1:5" ht="22.9" customHeight="1" thickBot="1" x14ac:dyDescent="0.3">
      <c r="A54" s="803" t="s">
        <v>269</v>
      </c>
      <c r="B54" s="805"/>
      <c r="C54" s="793">
        <v>2324.4899999999998</v>
      </c>
      <c r="D54" s="792" t="s">
        <v>210</v>
      </c>
      <c r="E54" s="792"/>
    </row>
    <row r="55" spans="1:5" ht="22.9" customHeight="1" thickBot="1" x14ac:dyDescent="0.3">
      <c r="A55" s="803" t="s">
        <v>270</v>
      </c>
      <c r="B55" s="805"/>
      <c r="C55" s="793">
        <v>4299.8599999999997</v>
      </c>
      <c r="D55" s="792" t="s">
        <v>210</v>
      </c>
      <c r="E55" s="792"/>
    </row>
    <row r="56" spans="1:5" ht="22.9" customHeight="1" thickBot="1" x14ac:dyDescent="0.3">
      <c r="A56" s="803" t="s">
        <v>271</v>
      </c>
      <c r="B56" s="805"/>
      <c r="C56" s="793">
        <v>1371.72</v>
      </c>
      <c r="D56" s="792" t="s">
        <v>210</v>
      </c>
      <c r="E56" s="792"/>
    </row>
    <row r="57" spans="1:5" ht="22.9" customHeight="1" thickBot="1" x14ac:dyDescent="0.3">
      <c r="A57" s="803" t="s">
        <v>455</v>
      </c>
      <c r="B57" s="805"/>
      <c r="C57" s="793">
        <v>482.02</v>
      </c>
      <c r="D57" s="792" t="s">
        <v>210</v>
      </c>
      <c r="E57" s="792"/>
    </row>
    <row r="58" spans="1:5" ht="22.9" customHeight="1" thickBot="1" x14ac:dyDescent="0.3">
      <c r="A58" s="803" t="s">
        <v>273</v>
      </c>
      <c r="B58" s="805"/>
      <c r="C58" s="793">
        <v>1232.07</v>
      </c>
      <c r="D58" s="792" t="s">
        <v>210</v>
      </c>
      <c r="E58" s="792"/>
    </row>
    <row r="59" spans="1:5" ht="22.9" customHeight="1" thickBot="1" x14ac:dyDescent="0.3">
      <c r="A59" s="806" t="s">
        <v>274</v>
      </c>
      <c r="B59" s="796"/>
      <c r="C59" s="807">
        <v>337.85</v>
      </c>
      <c r="D59" s="796" t="s">
        <v>210</v>
      </c>
      <c r="E59" s="808" t="s">
        <v>456</v>
      </c>
    </row>
    <row r="60" spans="1:5" ht="22.9" customHeight="1" thickBot="1" x14ac:dyDescent="0.3">
      <c r="A60" s="803" t="s">
        <v>457</v>
      </c>
      <c r="B60" s="805"/>
      <c r="C60" s="793">
        <v>418.95</v>
      </c>
      <c r="D60" s="792" t="s">
        <v>210</v>
      </c>
      <c r="E60" s="792"/>
    </row>
    <row r="61" spans="1:5" ht="22.9" customHeight="1" thickBot="1" x14ac:dyDescent="0.3">
      <c r="A61" s="803" t="s">
        <v>276</v>
      </c>
      <c r="B61" s="805"/>
      <c r="C61" s="793">
        <v>231.99</v>
      </c>
      <c r="D61" s="792" t="s">
        <v>210</v>
      </c>
      <c r="E61" s="792"/>
    </row>
    <row r="62" spans="1:5" ht="22.9" customHeight="1" thickBot="1" x14ac:dyDescent="0.3">
      <c r="A62" s="803" t="s">
        <v>458</v>
      </c>
      <c r="B62" s="805"/>
      <c r="C62" s="793">
        <v>1092.42</v>
      </c>
      <c r="D62" s="792" t="s">
        <v>210</v>
      </c>
      <c r="E62" s="792"/>
    </row>
    <row r="63" spans="1:5" ht="22.9" customHeight="1" thickBot="1" x14ac:dyDescent="0.3">
      <c r="A63" s="804" t="s">
        <v>459</v>
      </c>
      <c r="B63" s="802"/>
      <c r="C63" s="802"/>
      <c r="D63" s="802"/>
      <c r="E63" s="802"/>
    </row>
    <row r="64" spans="1:5" ht="22.9" customHeight="1" thickBot="1" x14ac:dyDescent="0.3">
      <c r="A64" s="803" t="s">
        <v>279</v>
      </c>
      <c r="B64" s="805"/>
      <c r="C64" s="793">
        <v>4648.99</v>
      </c>
      <c r="D64" s="792" t="s">
        <v>210</v>
      </c>
      <c r="E64" s="792"/>
    </row>
    <row r="65" spans="1:5" ht="22.9" customHeight="1" thickBot="1" x14ac:dyDescent="0.3">
      <c r="A65" s="803" t="s">
        <v>460</v>
      </c>
      <c r="B65" s="805"/>
      <c r="C65" s="793">
        <v>1644.26</v>
      </c>
      <c r="D65" s="792" t="s">
        <v>210</v>
      </c>
      <c r="E65" s="792"/>
    </row>
    <row r="66" spans="1:5" ht="22.9" customHeight="1" thickBot="1" x14ac:dyDescent="0.3">
      <c r="A66" s="804" t="s">
        <v>461</v>
      </c>
      <c r="B66" s="802"/>
      <c r="C66" s="802"/>
      <c r="D66" s="802"/>
      <c r="E66" s="802"/>
    </row>
    <row r="67" spans="1:5" ht="22.9" customHeight="1" thickBot="1" x14ac:dyDescent="0.3">
      <c r="A67" s="803" t="s">
        <v>462</v>
      </c>
      <c r="B67" s="805"/>
      <c r="C67" s="793">
        <v>1644.26</v>
      </c>
      <c r="D67" s="792" t="s">
        <v>210</v>
      </c>
      <c r="E67" s="792"/>
    </row>
    <row r="68" spans="1:5" ht="22.9" customHeight="1" thickBot="1" x14ac:dyDescent="0.3">
      <c r="A68" s="803" t="s">
        <v>463</v>
      </c>
      <c r="B68" s="805"/>
      <c r="C68" s="793">
        <v>1644.26</v>
      </c>
      <c r="D68" s="792" t="s">
        <v>210</v>
      </c>
      <c r="E68" s="792"/>
    </row>
    <row r="69" spans="1:5" ht="22.9" customHeight="1" thickBot="1" x14ac:dyDescent="0.3">
      <c r="A69" s="804" t="s">
        <v>464</v>
      </c>
      <c r="B69" s="802"/>
      <c r="C69" s="802"/>
      <c r="D69" s="802"/>
      <c r="E69" s="802"/>
    </row>
    <row r="70" spans="1:5" ht="22.9" customHeight="1" thickBot="1" x14ac:dyDescent="0.3">
      <c r="A70" s="803" t="s">
        <v>464</v>
      </c>
      <c r="B70" s="792"/>
      <c r="C70" s="792" t="s">
        <v>465</v>
      </c>
      <c r="D70" s="792" t="s">
        <v>210</v>
      </c>
      <c r="E70" s="792"/>
    </row>
    <row r="71" spans="1:5" ht="22.9" customHeight="1" thickBot="1" x14ac:dyDescent="0.3">
      <c r="A71" s="804" t="s">
        <v>466</v>
      </c>
      <c r="B71" s="802"/>
      <c r="C71" s="802"/>
      <c r="D71" s="802"/>
      <c r="E71" s="802"/>
    </row>
    <row r="72" spans="1:5" ht="22.9" customHeight="1" thickBot="1" x14ac:dyDescent="0.3">
      <c r="A72" s="803" t="s">
        <v>467</v>
      </c>
      <c r="B72" s="805"/>
      <c r="C72" s="793">
        <v>2182.21</v>
      </c>
      <c r="D72" s="792" t="s">
        <v>210</v>
      </c>
      <c r="E72" s="792"/>
    </row>
    <row r="73" spans="1:5" ht="22.9" customHeight="1" thickBot="1" x14ac:dyDescent="0.3">
      <c r="A73" s="803" t="s">
        <v>291</v>
      </c>
      <c r="B73" s="805"/>
      <c r="C73" s="793">
        <v>482.02</v>
      </c>
      <c r="D73" s="792" t="s">
        <v>210</v>
      </c>
      <c r="E73" s="792"/>
    </row>
    <row r="74" spans="1:5" ht="22.9" customHeight="1" thickBot="1" x14ac:dyDescent="0.3">
      <c r="A74" s="803" t="s">
        <v>292</v>
      </c>
      <c r="B74" s="805"/>
      <c r="C74" s="793">
        <v>3835.87</v>
      </c>
      <c r="D74" s="792" t="s">
        <v>210</v>
      </c>
      <c r="E74" s="792"/>
    </row>
    <row r="75" spans="1:5" ht="22.9" customHeight="1" thickBot="1" x14ac:dyDescent="0.3">
      <c r="A75" s="804" t="s">
        <v>468</v>
      </c>
      <c r="B75" s="802"/>
      <c r="C75" s="802"/>
      <c r="D75" s="802"/>
      <c r="E75" s="802"/>
    </row>
    <row r="76" spans="1:5" ht="22.9" customHeight="1" x14ac:dyDescent="0.25">
      <c r="A76" s="1656" t="s">
        <v>294</v>
      </c>
      <c r="B76" s="1658"/>
      <c r="C76" s="1660">
        <v>1514</v>
      </c>
      <c r="D76" s="1662" t="s">
        <v>469</v>
      </c>
      <c r="E76" s="809" t="s">
        <v>470</v>
      </c>
    </row>
    <row r="77" spans="1:5" ht="22.9" customHeight="1" thickBot="1" x14ac:dyDescent="0.3">
      <c r="A77" s="1657"/>
      <c r="B77" s="1659"/>
      <c r="C77" s="1661"/>
      <c r="D77" s="1663"/>
      <c r="E77" s="796" t="s">
        <v>471</v>
      </c>
    </row>
    <row r="78" spans="1:5" ht="22.9" customHeight="1" thickBot="1" x14ac:dyDescent="0.3">
      <c r="A78" s="803" t="s">
        <v>472</v>
      </c>
      <c r="B78" s="805"/>
      <c r="C78" s="793">
        <v>23.23</v>
      </c>
      <c r="D78" s="796" t="s">
        <v>473</v>
      </c>
      <c r="E78" s="796" t="s">
        <v>474</v>
      </c>
    </row>
    <row r="79" spans="1:5" ht="22.9" customHeight="1" thickBot="1" x14ac:dyDescent="0.3">
      <c r="A79" s="804" t="s">
        <v>475</v>
      </c>
      <c r="B79" s="802"/>
      <c r="C79" s="802"/>
      <c r="D79" s="802"/>
      <c r="E79" s="802"/>
    </row>
    <row r="80" spans="1:5" ht="22.9" customHeight="1" thickBot="1" x14ac:dyDescent="0.3">
      <c r="A80" s="803" t="s">
        <v>476</v>
      </c>
      <c r="B80" s="792"/>
      <c r="C80" s="792" t="s">
        <v>477</v>
      </c>
      <c r="D80" s="792" t="s">
        <v>210</v>
      </c>
      <c r="E80" s="792"/>
    </row>
    <row r="81" spans="1:5" ht="22.9" customHeight="1" thickBot="1" x14ac:dyDescent="0.3">
      <c r="A81" s="804" t="s">
        <v>478</v>
      </c>
      <c r="B81" s="802"/>
      <c r="C81" s="802"/>
      <c r="D81" s="802"/>
      <c r="E81" s="802"/>
    </row>
    <row r="82" spans="1:5" ht="22.9" customHeight="1" thickBot="1" x14ac:dyDescent="0.3">
      <c r="A82" s="803" t="s">
        <v>479</v>
      </c>
      <c r="B82" s="792"/>
      <c r="C82" s="792" t="s">
        <v>480</v>
      </c>
      <c r="D82" s="792" t="s">
        <v>210</v>
      </c>
      <c r="E82" s="792"/>
    </row>
    <row r="83" spans="1:5" ht="22.9" customHeight="1" thickBot="1" x14ac:dyDescent="0.3">
      <c r="A83" s="803" t="s">
        <v>149</v>
      </c>
      <c r="B83" s="792"/>
      <c r="C83" s="792" t="s">
        <v>481</v>
      </c>
      <c r="D83" s="792" t="s">
        <v>210</v>
      </c>
      <c r="E83" s="792"/>
    </row>
    <row r="84" spans="1:5" ht="22.9" customHeight="1" thickBot="1" x14ac:dyDescent="0.3">
      <c r="A84" s="803" t="s">
        <v>482</v>
      </c>
      <c r="B84" s="792"/>
      <c r="C84" s="792" t="s">
        <v>483</v>
      </c>
      <c r="D84" s="792" t="s">
        <v>210</v>
      </c>
      <c r="E84" s="792"/>
    </row>
    <row r="85" spans="1:5" ht="22.9" customHeight="1" thickBot="1" x14ac:dyDescent="0.3">
      <c r="A85" s="803" t="s">
        <v>484</v>
      </c>
      <c r="B85" s="792"/>
      <c r="C85" s="792" t="s">
        <v>485</v>
      </c>
      <c r="D85" s="792" t="s">
        <v>210</v>
      </c>
      <c r="E85" s="792"/>
    </row>
    <row r="86" spans="1:5" ht="22.9" customHeight="1" thickBot="1" x14ac:dyDescent="0.3">
      <c r="A86" s="803" t="s">
        <v>486</v>
      </c>
      <c r="B86" s="792"/>
      <c r="C86" s="792" t="s">
        <v>487</v>
      </c>
      <c r="D86" s="796" t="s">
        <v>421</v>
      </c>
      <c r="E86" s="796"/>
    </row>
  </sheetData>
  <mergeCells count="9">
    <mergeCell ref="A76:A77"/>
    <mergeCell ref="B76:B77"/>
    <mergeCell ref="C76:C77"/>
    <mergeCell ref="D76:D77"/>
    <mergeCell ref="A1:E1"/>
    <mergeCell ref="A2:E2"/>
    <mergeCell ref="A3:E3"/>
    <mergeCell ref="A5:E5"/>
    <mergeCell ref="A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CAF - Fall 2017</vt:lpstr>
      <vt:lpstr>Chart  AMSS &amp; Support Services</vt:lpstr>
      <vt:lpstr>Sub Proc PA&amp;S Youth Models</vt:lpstr>
      <vt:lpstr>AMSS &amp; Support Model Budgets</vt:lpstr>
      <vt:lpstr>S.Living Model - Models</vt:lpstr>
      <vt:lpstr>Stipends</vt:lpstr>
      <vt:lpstr>Add On Rates</vt:lpstr>
      <vt:lpstr>Sheet1</vt:lpstr>
      <vt:lpstr>'Add On Rates'!Print_Area</vt:lpstr>
      <vt:lpstr>'AMSS &amp; Support Model Budgets'!Print_Area</vt:lpstr>
      <vt:lpstr>'CAF - Fall 2017'!Print_Area</vt:lpstr>
      <vt:lpstr>'Chart  AMSS &amp; Support Services'!Print_Area</vt:lpstr>
      <vt:lpstr>'S.Living Model - Models'!Print_Area</vt:lpstr>
      <vt:lpstr>Stipends!Print_Area</vt:lpstr>
      <vt:lpstr>'Sub Proc PA&amp;S Youth Models'!Print_Area</vt:lpstr>
      <vt:lpstr>'CAF - Fall 2017'!Print_Titles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</dc:creator>
  <cp:lastModifiedBy> </cp:lastModifiedBy>
  <cp:lastPrinted>2018-02-26T15:28:43Z</cp:lastPrinted>
  <dcterms:created xsi:type="dcterms:W3CDTF">2017-09-21T12:44:41Z</dcterms:created>
  <dcterms:modified xsi:type="dcterms:W3CDTF">2018-02-26T16:02:14Z</dcterms:modified>
</cp:coreProperties>
</file>