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22980" windowHeight="8550" tabRatio="739"/>
  </bookViews>
  <sheets>
    <sheet name="Spring 2019 CAF" sheetId="9" r:id="rId1"/>
    <sheet name="Master Lookup" sheetId="10" state="hidden" r:id="rId2"/>
    <sheet name="DCFClinicalComp" sheetId="1" r:id="rId3"/>
    <sheet name="Ed Coordination" sheetId="3" r:id="rId4"/>
    <sheet name="Specialty Family Skills Group" sheetId="4" r:id="rId5"/>
    <sheet name="Family Skills Dev Group" sheetId="6" r:id="rId6"/>
    <sheet name="Parent Skill Dev Group" sheetId="5" r:id="rId7"/>
    <sheet name="Unbundled IFC Support" sheetId="7" r:id="rId8"/>
    <sheet name="Fall 2018" sheetId="8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utsupp2">#REF!</definedName>
    <definedName name="Cap">[1]RawDataCalcs!$L$17:$DB$17</definedName>
    <definedName name="Floor">[1]RawDataCalcs!$L$16:$DB$16</definedName>
    <definedName name="gk" localSheetId="3">#REF!</definedName>
    <definedName name="gk" localSheetId="5">#REF!</definedName>
    <definedName name="gk" localSheetId="6">#REF!</definedName>
    <definedName name="gk" localSheetId="4">#REF!</definedName>
    <definedName name="gk" localSheetId="0">#REF!</definedName>
    <definedName name="gk">#REF!</definedName>
    <definedName name="ListProviders">'[2]List of Programs'!$A$24:$A$29</definedName>
    <definedName name="MT" localSheetId="3">#REF!</definedName>
    <definedName name="MT" localSheetId="5">#REF!</definedName>
    <definedName name="MT" localSheetId="6">#REF!</definedName>
    <definedName name="MT" localSheetId="4">#REF!</definedName>
    <definedName name="MT" localSheetId="0">#REF!</definedName>
    <definedName name="MT">#REF!</definedName>
    <definedName name="_xlnm.Print_Area" localSheetId="2">DCFClinicalComp!$A$1:$V$64</definedName>
    <definedName name="_xlnm.Print_Area" localSheetId="3">'Ed Coordination'!$P$3:$AB$26</definedName>
    <definedName name="_xlnm.Print_Area" localSheetId="5">'Family Skills Dev Group'!$H$1:$U$34</definedName>
    <definedName name="_xlnm.Print_Area" localSheetId="6">'Parent Skill Dev Group'!$H$2:$T$34</definedName>
    <definedName name="_xlnm.Print_Area" localSheetId="4">'Specialty Family Skills Group'!$H$2:$AC$34</definedName>
    <definedName name="_xlnm.Print_Area" localSheetId="0">'Spring 2019 CAF'!$BI$6:$BV$26</definedName>
    <definedName name="_xlnm.Print_Area" localSheetId="7">'Unbundled IFC Support'!$L$22:$U$44</definedName>
    <definedName name="_xlnm.Print_Titles" localSheetId="8">'Fall 2018'!$A:$A</definedName>
    <definedName name="_xlnm.Print_Titles" localSheetId="0">'Spring 2019 CAF'!$A:$A</definedName>
    <definedName name="Programs">'[2]List of Programs'!$B$3:$B$19</definedName>
    <definedName name="Source" localSheetId="3">#REF!</definedName>
    <definedName name="Source" localSheetId="5">#REF!</definedName>
    <definedName name="Source" localSheetId="6">#REF!</definedName>
    <definedName name="Source" localSheetId="4">#REF!</definedName>
    <definedName name="Source" localSheetId="0">#REF!</definedName>
    <definedName name="Source">#REF!</definedName>
    <definedName name="Source_2" localSheetId="3">#REF!</definedName>
    <definedName name="Source_2" localSheetId="5">#REF!</definedName>
    <definedName name="Source_2" localSheetId="6">#REF!</definedName>
    <definedName name="Source_2" localSheetId="4">#REF!</definedName>
    <definedName name="Source_2" localSheetId="0">#REF!</definedName>
    <definedName name="Source_2">#REF!</definedName>
    <definedName name="Total_UFR" localSheetId="3">#REF!</definedName>
    <definedName name="Total_UFR" localSheetId="5">#REF!</definedName>
    <definedName name="Total_UFR" localSheetId="6">#REF!</definedName>
    <definedName name="Total_UFR" localSheetId="4">#REF!</definedName>
    <definedName name="Total_UFR" localSheetId="0">#REF!</definedName>
    <definedName name="Total_UFR">#REF!</definedName>
    <definedName name="UFR" localSheetId="3">'[3]Complete UFR List'!#REF!</definedName>
    <definedName name="UFR" localSheetId="5">'[3]Complete UFR List'!#REF!</definedName>
    <definedName name="UFR" localSheetId="6">'[3]Complete UFR List'!#REF!</definedName>
    <definedName name="UFR" localSheetId="4">'[3]Complete UFR List'!#REF!</definedName>
    <definedName name="UFR" localSheetId="0">'[3]Complete UFR List'!#REF!</definedName>
    <definedName name="UFR">'[3]Complete UFR List'!#REF!</definedName>
    <definedName name="UFRS" localSheetId="3">'[3]Complete UFR List'!#REF!</definedName>
    <definedName name="UFRS" localSheetId="5">'[3]Complete UFR List'!#REF!</definedName>
    <definedName name="UFRS" localSheetId="6">'[3]Complete UFR List'!#REF!</definedName>
    <definedName name="UFRS" localSheetId="4">'[3]Complete UFR List'!#REF!</definedName>
    <definedName name="UFRS">'[3]Complete UFR List'!#REF!</definedName>
  </definedNames>
  <calcPr calcId="145621"/>
</workbook>
</file>

<file path=xl/calcChain.xml><?xml version="1.0" encoding="utf-8"?>
<calcChain xmlns="http://schemas.openxmlformats.org/spreadsheetml/2006/main">
  <c r="J26" i="4" l="1"/>
  <c r="K31" i="5" l="1"/>
  <c r="K32" i="5"/>
  <c r="K33" i="5"/>
  <c r="K34" i="5"/>
  <c r="K30" i="5"/>
  <c r="J25" i="4" l="1"/>
  <c r="L25" i="7"/>
  <c r="Y16" i="3" l="1"/>
  <c r="Q11" i="3"/>
  <c r="AA12" i="3"/>
  <c r="AB16" i="3" l="1"/>
  <c r="M41" i="7" l="1"/>
  <c r="M39" i="7"/>
  <c r="M33" i="7"/>
  <c r="M32" i="7"/>
  <c r="M25" i="7"/>
  <c r="O25" i="7" s="1"/>
  <c r="M24" i="7"/>
  <c r="O24" i="7" s="1"/>
  <c r="T35" i="7"/>
  <c r="T33" i="7"/>
  <c r="M38" i="7" s="1"/>
  <c r="T32" i="7"/>
  <c r="M29" i="7" s="1"/>
  <c r="T29" i="7"/>
  <c r="T28" i="7"/>
  <c r="T26" i="7"/>
  <c r="T25" i="7"/>
  <c r="N26" i="7"/>
  <c r="O10" i="5"/>
  <c r="O9" i="5"/>
  <c r="P10" i="6"/>
  <c r="P9" i="6"/>
  <c r="X16" i="4"/>
  <c r="X15" i="4"/>
  <c r="Y20" i="3"/>
  <c r="AB20" i="3" s="1"/>
  <c r="Q14" i="3"/>
  <c r="Y19" i="3" s="1"/>
  <c r="Q13" i="3"/>
  <c r="Y13" i="3" s="1"/>
  <c r="N12" i="1"/>
  <c r="I16" i="1" s="1"/>
  <c r="N11" i="1"/>
  <c r="F7" i="7"/>
  <c r="F6" i="7"/>
  <c r="O7" i="5"/>
  <c r="O6" i="5"/>
  <c r="P7" i="6"/>
  <c r="P6" i="6"/>
  <c r="X6" i="4"/>
  <c r="X5" i="4"/>
  <c r="Q9" i="3"/>
  <c r="Z11" i="3" s="1"/>
  <c r="AB11" i="3" s="1"/>
  <c r="Q8" i="3"/>
  <c r="Z10" i="3" s="1"/>
  <c r="AB10" i="3" s="1"/>
  <c r="Q7" i="3"/>
  <c r="Z9" i="3" s="1"/>
  <c r="AB9" i="3" s="1"/>
  <c r="Q6" i="3"/>
  <c r="Z8" i="3" s="1"/>
  <c r="AB8" i="3" s="1"/>
  <c r="N9" i="1"/>
  <c r="N8" i="1"/>
  <c r="N7" i="1"/>
  <c r="N6" i="1"/>
  <c r="D26" i="10"/>
  <c r="K5" i="10" s="1"/>
  <c r="BS23" i="9"/>
  <c r="BR23" i="9"/>
  <c r="BQ23" i="9"/>
  <c r="BP23" i="9"/>
  <c r="BO23" i="9"/>
  <c r="BN23" i="9"/>
  <c r="BM23" i="9"/>
  <c r="BL23" i="9"/>
  <c r="BU23" i="9" s="1"/>
  <c r="BS22" i="9"/>
  <c r="BR22" i="9"/>
  <c r="BQ22" i="9"/>
  <c r="BP22" i="9"/>
  <c r="BO22" i="9"/>
  <c r="BN22" i="9"/>
  <c r="BM22" i="9"/>
  <c r="BL19" i="9"/>
  <c r="BU19" i="9" s="1"/>
  <c r="AB12" i="3" l="1"/>
  <c r="AB13" i="3" s="1"/>
  <c r="AB14" i="3" s="1"/>
  <c r="AB18" i="3" s="1"/>
  <c r="O33" i="7"/>
  <c r="O32" i="7"/>
  <c r="N15" i="1"/>
  <c r="K8" i="10"/>
  <c r="K6" i="10"/>
  <c r="Q16" i="3"/>
  <c r="Y25" i="3" s="1"/>
  <c r="X18" i="4"/>
  <c r="P14" i="6"/>
  <c r="O15" i="5"/>
  <c r="K4" i="10"/>
  <c r="K7" i="10"/>
  <c r="O26" i="7"/>
  <c r="BU25" i="9"/>
  <c r="AB19" i="3" l="1"/>
  <c r="AB22" i="3" s="1"/>
  <c r="AB23" i="3" s="1"/>
  <c r="AB25" i="3" s="1"/>
  <c r="O29" i="7"/>
  <c r="O30" i="7" s="1"/>
  <c r="O37" i="7" s="1"/>
  <c r="O39" i="7" l="1"/>
  <c r="O38" i="7"/>
  <c r="E20" i="7"/>
  <c r="BO37" i="8"/>
  <c r="BN37" i="8"/>
  <c r="BM37" i="8"/>
  <c r="BL37" i="8"/>
  <c r="BK37" i="8"/>
  <c r="BJ37" i="8"/>
  <c r="BI37" i="8"/>
  <c r="BH37" i="8"/>
  <c r="BQ37" i="8" s="1"/>
  <c r="BQ39" i="8" s="1"/>
  <c r="BO36" i="8"/>
  <c r="BN36" i="8"/>
  <c r="BM36" i="8"/>
  <c r="BL36" i="8"/>
  <c r="BK36" i="8"/>
  <c r="BJ36" i="8"/>
  <c r="BI36" i="8"/>
  <c r="BH36" i="8"/>
  <c r="BH33" i="8"/>
  <c r="BQ33" i="8" s="1"/>
  <c r="BO21" i="8"/>
  <c r="BN21" i="8"/>
  <c r="BM21" i="8"/>
  <c r="BL21" i="8"/>
  <c r="BK21" i="8"/>
  <c r="BJ21" i="8"/>
  <c r="BI21" i="8"/>
  <c r="BH21" i="8"/>
  <c r="BQ21" i="8" s="1"/>
  <c r="BQ23" i="8" s="1"/>
  <c r="BO20" i="8"/>
  <c r="BN20" i="8"/>
  <c r="BM20" i="8"/>
  <c r="BL20" i="8"/>
  <c r="BK20" i="8"/>
  <c r="BJ20" i="8"/>
  <c r="BI20" i="8"/>
  <c r="BH20" i="8"/>
  <c r="BH17" i="8"/>
  <c r="BQ17" i="8" s="1"/>
  <c r="O40" i="7" l="1"/>
  <c r="O41" i="7" s="1"/>
  <c r="O42" i="7" s="1"/>
  <c r="O43" i="7" s="1"/>
  <c r="I19" i="7" l="1"/>
  <c r="F9" i="7"/>
  <c r="G9" i="7" s="1"/>
  <c r="H9" i="7" s="1"/>
  <c r="I9" i="7" s="1"/>
  <c r="G6" i="7"/>
  <c r="H6" i="7" s="1"/>
  <c r="I6" i="7" s="1"/>
  <c r="F10" i="7" l="1"/>
  <c r="F12" i="7" s="1"/>
  <c r="G7" i="7"/>
  <c r="H7" i="7" s="1"/>
  <c r="I7" i="7" s="1"/>
  <c r="G8" i="7" l="1"/>
  <c r="H8" i="7"/>
  <c r="G10" i="7"/>
  <c r="H10" i="7" s="1"/>
  <c r="I10" i="7" s="1"/>
  <c r="I8" i="7"/>
  <c r="H8" i="6"/>
  <c r="H7" i="6"/>
  <c r="H12" i="7" l="1"/>
  <c r="G12" i="7"/>
  <c r="I12" i="7"/>
  <c r="I11" i="7"/>
  <c r="I16" i="7" s="1"/>
  <c r="I20" i="6"/>
  <c r="O12" i="6"/>
  <c r="Q7" i="6"/>
  <c r="Q6" i="6"/>
  <c r="E27" i="6"/>
  <c r="E26" i="6"/>
  <c r="F25" i="6"/>
  <c r="F24" i="6"/>
  <c r="E24" i="6"/>
  <c r="F23" i="6"/>
  <c r="F22" i="6"/>
  <c r="D22" i="6"/>
  <c r="I19" i="6" s="1"/>
  <c r="F21" i="6"/>
  <c r="H20" i="6"/>
  <c r="F17" i="6"/>
  <c r="D16" i="6"/>
  <c r="F15" i="6"/>
  <c r="D15" i="6"/>
  <c r="I23" i="6"/>
  <c r="F13" i="6"/>
  <c r="F12" i="6"/>
  <c r="D12" i="6"/>
  <c r="F9" i="6"/>
  <c r="E9" i="6"/>
  <c r="F8" i="6"/>
  <c r="E8" i="6"/>
  <c r="D8" i="6"/>
  <c r="F7" i="6"/>
  <c r="E7" i="6"/>
  <c r="D7" i="6"/>
  <c r="I22" i="5"/>
  <c r="N13" i="5"/>
  <c r="N12" i="5"/>
  <c r="N11" i="5"/>
  <c r="H7" i="4"/>
  <c r="W6" i="4"/>
  <c r="H8" i="4" s="1"/>
  <c r="N7" i="5"/>
  <c r="H8" i="5" s="1"/>
  <c r="N6" i="5"/>
  <c r="H7" i="5" s="1"/>
  <c r="E27" i="5"/>
  <c r="F24" i="5"/>
  <c r="D25" i="5" s="1"/>
  <c r="E24" i="5"/>
  <c r="F23" i="5"/>
  <c r="F22" i="5"/>
  <c r="D22" i="5"/>
  <c r="I21" i="5" s="1"/>
  <c r="F21" i="5"/>
  <c r="F18" i="5"/>
  <c r="F17" i="5"/>
  <c r="D16" i="5"/>
  <c r="F15" i="5"/>
  <c r="D15" i="5"/>
  <c r="I25" i="5"/>
  <c r="F13" i="5"/>
  <c r="F12" i="5"/>
  <c r="D12" i="5"/>
  <c r="I12" i="5" s="1"/>
  <c r="J9" i="5"/>
  <c r="F9" i="5"/>
  <c r="E9" i="5"/>
  <c r="F8" i="5"/>
  <c r="E8" i="5"/>
  <c r="D8" i="5"/>
  <c r="F7" i="5"/>
  <c r="E7" i="5"/>
  <c r="D7" i="5"/>
  <c r="X68" i="4"/>
  <c r="X60" i="4"/>
  <c r="X61" i="4" s="1"/>
  <c r="X57" i="4"/>
  <c r="X53" i="4"/>
  <c r="X54" i="4" s="1"/>
  <c r="S32" i="4"/>
  <c r="T52" i="4" s="1"/>
  <c r="E30" i="4"/>
  <c r="E29" i="4"/>
  <c r="F28" i="4"/>
  <c r="F27" i="4"/>
  <c r="F26" i="4"/>
  <c r="F25" i="4"/>
  <c r="F24" i="4"/>
  <c r="F22" i="4"/>
  <c r="F21" i="4"/>
  <c r="D21" i="4"/>
  <c r="F20" i="4"/>
  <c r="J28" i="4"/>
  <c r="D18" i="4"/>
  <c r="F17" i="4"/>
  <c r="D17" i="4"/>
  <c r="P16" i="4"/>
  <c r="R15" i="4"/>
  <c r="T15" i="4" s="1"/>
  <c r="F15" i="4"/>
  <c r="E15" i="4"/>
  <c r="D15" i="4"/>
  <c r="F13" i="4"/>
  <c r="R12" i="4"/>
  <c r="F12" i="4"/>
  <c r="D12" i="4"/>
  <c r="F9" i="4"/>
  <c r="E9" i="4"/>
  <c r="F8" i="4"/>
  <c r="E8" i="4"/>
  <c r="D8" i="4"/>
  <c r="F7" i="4"/>
  <c r="E7" i="4"/>
  <c r="K7" i="4" s="1"/>
  <c r="D7" i="4"/>
  <c r="U4" i="4"/>
  <c r="U23" i="4" s="1"/>
  <c r="I20" i="3"/>
  <c r="I22" i="3"/>
  <c r="P7" i="3"/>
  <c r="I19" i="3"/>
  <c r="I12" i="3"/>
  <c r="E25" i="3"/>
  <c r="H20" i="3"/>
  <c r="J24" i="3"/>
  <c r="K10" i="3"/>
  <c r="M3" i="3"/>
  <c r="M4" i="3" s="1"/>
  <c r="P11" i="6" l="1"/>
  <c r="I15" i="6" s="1"/>
  <c r="K15" i="6" s="1"/>
  <c r="P12" i="6"/>
  <c r="K16" i="6"/>
  <c r="I7" i="6"/>
  <c r="K7" i="6" s="1"/>
  <c r="I13" i="7"/>
  <c r="I8" i="6"/>
  <c r="K8" i="6" s="1"/>
  <c r="F26" i="6"/>
  <c r="F27" i="6" s="1"/>
  <c r="D25" i="6"/>
  <c r="K34" i="4"/>
  <c r="D25" i="4"/>
  <c r="F29" i="4"/>
  <c r="F30" i="4" s="1"/>
  <c r="O23" i="4"/>
  <c r="J8" i="4"/>
  <c r="I15" i="7" l="1"/>
  <c r="I18" i="7" s="1"/>
  <c r="K9" i="6"/>
  <c r="K12" i="6" s="1"/>
  <c r="K13" i="6" s="1"/>
  <c r="K18" i="6" s="1"/>
  <c r="K19" i="6" s="1"/>
  <c r="R25" i="4"/>
  <c r="X12" i="4"/>
  <c r="X10" i="4"/>
  <c r="X11" i="4"/>
  <c r="R8" i="4"/>
  <c r="T8" i="4" s="1"/>
  <c r="X13" i="4"/>
  <c r="J7" i="4"/>
  <c r="X9" i="4"/>
  <c r="X8" i="4"/>
  <c r="J15" i="4" s="1"/>
  <c r="L15" i="4" s="1"/>
  <c r="L8" i="4"/>
  <c r="I20" i="7" l="1"/>
  <c r="I21" i="7" s="1"/>
  <c r="K20" i="6"/>
  <c r="K21" i="6" s="1"/>
  <c r="K22" i="6" s="1"/>
  <c r="K23" i="6" s="1"/>
  <c r="R7" i="4"/>
  <c r="T7" i="4" s="1"/>
  <c r="T9" i="4" s="1"/>
  <c r="O26" i="4" s="1"/>
  <c r="L7" i="4"/>
  <c r="L9" i="4" s="1"/>
  <c r="L26" i="4" s="1"/>
  <c r="L21" i="4"/>
  <c r="R20" i="4"/>
  <c r="T20" i="4" s="1"/>
  <c r="T18" i="4"/>
  <c r="L19" i="4"/>
  <c r="R19" i="4"/>
  <c r="T19" i="4" s="1"/>
  <c r="U22" i="4" s="1"/>
  <c r="J20" i="4"/>
  <c r="L20" i="4" s="1"/>
  <c r="J17" i="4"/>
  <c r="L17" i="4" s="1"/>
  <c r="R16" i="4"/>
  <c r="T16" i="4" s="1"/>
  <c r="L18" i="4"/>
  <c r="R17" i="4"/>
  <c r="T17" i="4" s="1"/>
  <c r="T12" i="4" l="1"/>
  <c r="T13" i="4" s="1"/>
  <c r="T24" i="4" s="1"/>
  <c r="O9" i="4"/>
  <c r="T26" i="4"/>
  <c r="L23" i="4"/>
  <c r="L12" i="4"/>
  <c r="L13" i="4" s="1"/>
  <c r="O12" i="4" l="1"/>
  <c r="O13" i="4" s="1"/>
  <c r="O24" i="4" s="1"/>
  <c r="O25" i="4" s="1"/>
  <c r="O27" i="4" s="1"/>
  <c r="O28" i="4" s="1"/>
  <c r="O29" i="4" s="1"/>
  <c r="L24" i="4"/>
  <c r="T25" i="4"/>
  <c r="T27" i="4" s="1"/>
  <c r="T28" i="4" s="1"/>
  <c r="T29" i="4" s="1"/>
  <c r="T32" i="4" s="1"/>
  <c r="L25" i="4" l="1"/>
  <c r="L27" i="4" l="1"/>
  <c r="L28" i="4" s="1"/>
  <c r="L29" i="4" s="1"/>
  <c r="E26" i="5"/>
  <c r="O12" i="5" l="1"/>
  <c r="K17" i="5" s="1"/>
  <c r="O11" i="5"/>
  <c r="I7" i="5"/>
  <c r="K7" i="5" s="1"/>
  <c r="I8" i="5"/>
  <c r="K8" i="5" s="1"/>
  <c r="O13" i="5"/>
  <c r="K18" i="5" s="1"/>
  <c r="F26" i="5"/>
  <c r="F27" i="5" s="1"/>
  <c r="E24" i="3"/>
  <c r="I15" i="5" l="1"/>
  <c r="K15" i="5" s="1"/>
  <c r="K9" i="5"/>
  <c r="K22" i="5" s="1"/>
  <c r="F24" i="3"/>
  <c r="F25" i="3" s="1"/>
  <c r="D25" i="3" s="1"/>
  <c r="J9" i="3"/>
  <c r="L9" i="3" s="1"/>
  <c r="J8" i="3"/>
  <c r="L8" i="3" s="1"/>
  <c r="J7" i="3"/>
  <c r="L7" i="3" s="1"/>
  <c r="J6" i="3"/>
  <c r="L6" i="3" s="1"/>
  <c r="K12" i="5"/>
  <c r="K13" i="5" s="1"/>
  <c r="K20" i="5" l="1"/>
  <c r="K21" i="5" s="1"/>
  <c r="K23" i="5" s="1"/>
  <c r="K24" i="5" s="1"/>
  <c r="K25" i="5" s="1"/>
  <c r="L10" i="3"/>
  <c r="L20" i="3" s="1"/>
  <c r="L12" i="3" l="1"/>
  <c r="L13" i="3" s="1"/>
  <c r="L15" i="3" s="1"/>
  <c r="L18" i="3" s="1"/>
  <c r="L19" i="3" s="1"/>
  <c r="L21" i="3" s="1"/>
  <c r="L22" i="3" s="1"/>
  <c r="L24" i="3" s="1"/>
  <c r="O59" i="1" l="1"/>
  <c r="I58" i="1"/>
  <c r="C58" i="1"/>
  <c r="O57" i="1"/>
  <c r="M57" i="1"/>
  <c r="I56" i="1"/>
  <c r="G56" i="1"/>
  <c r="A56" i="1"/>
  <c r="O54" i="1"/>
  <c r="I53" i="1"/>
  <c r="C53" i="1"/>
  <c r="P50" i="1"/>
  <c r="N50" i="1"/>
  <c r="J49" i="1"/>
  <c r="H49" i="1"/>
  <c r="D49" i="1"/>
  <c r="B49" i="1"/>
  <c r="P49" i="1"/>
  <c r="N49" i="1"/>
  <c r="J48" i="1"/>
  <c r="H48" i="1"/>
  <c r="D48" i="1"/>
  <c r="B48" i="1"/>
  <c r="P48" i="1"/>
  <c r="N48" i="1"/>
  <c r="J47" i="1"/>
  <c r="H47" i="1"/>
  <c r="D47" i="1"/>
  <c r="B47" i="1"/>
  <c r="P47" i="1"/>
  <c r="P51" i="1" s="1"/>
  <c r="N47" i="1"/>
  <c r="J46" i="1"/>
  <c r="J50" i="1" s="1"/>
  <c r="H46" i="1"/>
  <c r="D46" i="1"/>
  <c r="D50" i="1" s="1"/>
  <c r="B46" i="1"/>
  <c r="O38" i="1"/>
  <c r="I37" i="1"/>
  <c r="C37" i="1"/>
  <c r="O36" i="1"/>
  <c r="M36" i="1"/>
  <c r="I35" i="1"/>
  <c r="G35" i="1"/>
  <c r="C35" i="1"/>
  <c r="A35" i="1"/>
  <c r="O33" i="1"/>
  <c r="I32" i="1"/>
  <c r="C32" i="1"/>
  <c r="P29" i="1"/>
  <c r="N29" i="1"/>
  <c r="J28" i="1"/>
  <c r="H28" i="1"/>
  <c r="D28" i="1"/>
  <c r="J27" i="1"/>
  <c r="H27" i="1"/>
  <c r="D27" i="1"/>
  <c r="P27" i="1"/>
  <c r="N27" i="1"/>
  <c r="J26" i="1"/>
  <c r="H26" i="1"/>
  <c r="D26" i="1"/>
  <c r="B26" i="1"/>
  <c r="P26" i="1"/>
  <c r="P30" i="1" s="1"/>
  <c r="N26" i="1"/>
  <c r="J25" i="1"/>
  <c r="H25" i="1"/>
  <c r="D25" i="1"/>
  <c r="I21" i="1"/>
  <c r="I42" i="1" s="1"/>
  <c r="I63" i="1" s="1"/>
  <c r="G21" i="1"/>
  <c r="M43" i="1" s="1"/>
  <c r="M64" i="1" s="1"/>
  <c r="C21" i="1"/>
  <c r="C42" i="1" s="1"/>
  <c r="C63" i="1" s="1"/>
  <c r="A21" i="1"/>
  <c r="A42" i="1" s="1"/>
  <c r="A63" i="1" s="1"/>
  <c r="I17" i="1"/>
  <c r="O39" i="1" s="1"/>
  <c r="O60" i="1" s="1"/>
  <c r="G17" i="1"/>
  <c r="G38" i="1" s="1"/>
  <c r="G59" i="1" s="1"/>
  <c r="C17" i="1"/>
  <c r="C38" i="1" s="1"/>
  <c r="C59" i="1" s="1"/>
  <c r="A17" i="1"/>
  <c r="A38" i="1" s="1"/>
  <c r="A59" i="1" s="1"/>
  <c r="C16" i="1"/>
  <c r="I14" i="1"/>
  <c r="G14" i="1"/>
  <c r="C14" i="1"/>
  <c r="A14" i="1"/>
  <c r="N14" i="1"/>
  <c r="I11" i="1"/>
  <c r="C11" i="1"/>
  <c r="I7" i="1"/>
  <c r="J7" i="1"/>
  <c r="H7" i="1"/>
  <c r="D7" i="1"/>
  <c r="C7" i="1"/>
  <c r="E7" i="1" s="1"/>
  <c r="B7" i="1"/>
  <c r="J6" i="1"/>
  <c r="I6" i="1"/>
  <c r="H6" i="1"/>
  <c r="D6" i="1"/>
  <c r="C6" i="1"/>
  <c r="E6" i="1" s="1"/>
  <c r="B6" i="1"/>
  <c r="J5" i="1"/>
  <c r="J8" i="1" s="1"/>
  <c r="I5" i="1"/>
  <c r="H5" i="1"/>
  <c r="D5" i="1"/>
  <c r="D8" i="1" s="1"/>
  <c r="C5" i="1"/>
  <c r="E5" i="1" s="1"/>
  <c r="B5" i="1"/>
  <c r="K5" i="1" l="1"/>
  <c r="K6" i="1"/>
  <c r="D29" i="1"/>
  <c r="J29" i="1"/>
  <c r="K7" i="1"/>
  <c r="E8" i="1"/>
  <c r="O48" i="1"/>
  <c r="Q48" i="1" s="1"/>
  <c r="I47" i="1"/>
  <c r="K47" i="1" s="1"/>
  <c r="C47" i="1"/>
  <c r="E47" i="1" s="1"/>
  <c r="O27" i="1"/>
  <c r="Q27" i="1" s="1"/>
  <c r="I26" i="1"/>
  <c r="K26" i="1" s="1"/>
  <c r="C26" i="1"/>
  <c r="E26" i="1" s="1"/>
  <c r="O50" i="1"/>
  <c r="Q50" i="1" s="1"/>
  <c r="I49" i="1"/>
  <c r="K49" i="1" s="1"/>
  <c r="C49" i="1"/>
  <c r="E49" i="1" s="1"/>
  <c r="O29" i="1"/>
  <c r="Q29" i="1" s="1"/>
  <c r="I28" i="1"/>
  <c r="K28" i="1" s="1"/>
  <c r="C28" i="1"/>
  <c r="E28" i="1" s="1"/>
  <c r="O47" i="1"/>
  <c r="Q47" i="1" s="1"/>
  <c r="I46" i="1"/>
  <c r="K46" i="1" s="1"/>
  <c r="C46" i="1"/>
  <c r="E46" i="1" s="1"/>
  <c r="O26" i="1"/>
  <c r="Q26" i="1" s="1"/>
  <c r="Q30" i="1" s="1"/>
  <c r="I25" i="1"/>
  <c r="K25" i="1" s="1"/>
  <c r="C25" i="1"/>
  <c r="E25" i="1" s="1"/>
  <c r="O49" i="1"/>
  <c r="Q49" i="1" s="1"/>
  <c r="I48" i="1"/>
  <c r="K48" i="1" s="1"/>
  <c r="C48" i="1"/>
  <c r="E48" i="1" s="1"/>
  <c r="I27" i="1"/>
  <c r="K27" i="1" s="1"/>
  <c r="C27" i="1"/>
  <c r="E27" i="1" s="1"/>
  <c r="I38" i="1"/>
  <c r="I59" i="1" s="1"/>
  <c r="M39" i="1"/>
  <c r="M60" i="1" s="1"/>
  <c r="G42" i="1"/>
  <c r="G63" i="1" s="1"/>
  <c r="O43" i="1"/>
  <c r="O64" i="1" s="1"/>
  <c r="K8" i="1" l="1"/>
  <c r="K17" i="1" s="1"/>
  <c r="K29" i="1"/>
  <c r="E50" i="1"/>
  <c r="Q51" i="1"/>
  <c r="E17" i="1"/>
  <c r="E29" i="1"/>
  <c r="E38" i="1" s="1"/>
  <c r="Q39" i="1"/>
  <c r="Q33" i="1"/>
  <c r="Q34" i="1" s="1"/>
  <c r="K50" i="1"/>
  <c r="E11" i="1"/>
  <c r="E12" i="1" s="1"/>
  <c r="K11" i="1" l="1"/>
  <c r="K12" i="1" s="1"/>
  <c r="K14" i="1" s="1"/>
  <c r="K15" i="1" s="1"/>
  <c r="K16" i="1" s="1"/>
  <c r="K18" i="1" s="1"/>
  <c r="K20" i="1" s="1"/>
  <c r="K21" i="1" s="1"/>
  <c r="E53" i="1"/>
  <c r="E54" i="1" s="1"/>
  <c r="E56" i="1" s="1"/>
  <c r="E57" i="1" s="1"/>
  <c r="E58" i="1" s="1"/>
  <c r="E59" i="1"/>
  <c r="E14" i="1"/>
  <c r="E15" i="1" s="1"/>
  <c r="Q36" i="1"/>
  <c r="Q37" i="1" s="1"/>
  <c r="K59" i="1"/>
  <c r="K53" i="1"/>
  <c r="K54" i="1" s="1"/>
  <c r="E32" i="1"/>
  <c r="E33" i="1" s="1"/>
  <c r="Q54" i="1"/>
  <c r="Q55" i="1" s="1"/>
  <c r="Q60" i="1"/>
  <c r="K38" i="1"/>
  <c r="K32" i="1"/>
  <c r="K33" i="1" s="1"/>
  <c r="E60" i="1" l="1"/>
  <c r="E62" i="1" s="1"/>
  <c r="E63" i="1" s="1"/>
  <c r="E16" i="1"/>
  <c r="E18" i="1" s="1"/>
  <c r="E20" i="1" s="1"/>
  <c r="E21" i="1" s="1"/>
  <c r="E35" i="1"/>
  <c r="E36" i="1" s="1"/>
  <c r="K35" i="1"/>
  <c r="K36" i="1" s="1"/>
  <c r="Q57" i="1"/>
  <c r="Q58" i="1" s="1"/>
  <c r="K56" i="1"/>
  <c r="K57" i="1" s="1"/>
  <c r="Q38" i="1"/>
  <c r="Q40" i="1" s="1"/>
  <c r="Q42" i="1" s="1"/>
  <c r="Q43" i="1" s="1"/>
  <c r="K37" i="1" l="1"/>
  <c r="K39" i="1" s="1"/>
  <c r="K41" i="1" s="1"/>
  <c r="K42" i="1" s="1"/>
  <c r="K58" i="1"/>
  <c r="K60" i="1" s="1"/>
  <c r="K62" i="1" s="1"/>
  <c r="K63" i="1" s="1"/>
  <c r="Q59" i="1"/>
  <c r="Q61" i="1" s="1"/>
  <c r="Q63" i="1" s="1"/>
  <c r="Q64" i="1" s="1"/>
  <c r="E37" i="1"/>
  <c r="E39" i="1" s="1"/>
  <c r="E41" i="1" s="1"/>
  <c r="E42" i="1" s="1"/>
</calcChain>
</file>

<file path=xl/comments1.xml><?xml version="1.0" encoding="utf-8"?>
<comments xmlns="http://schemas.openxmlformats.org/spreadsheetml/2006/main">
  <authors>
    <author>EHS</author>
  </authors>
  <commentList>
    <comment ref="D23" authorId="0">
      <text>
        <r>
          <rPr>
            <b/>
            <sz val="8"/>
            <color indexed="81"/>
            <rFont val="Tahoma"/>
            <family val="2"/>
          </rPr>
          <t>EHS:</t>
        </r>
        <r>
          <rPr>
            <sz val="8"/>
            <color indexed="81"/>
            <rFont val="Tahoma"/>
            <family val="2"/>
          </rPr>
          <t xml:space="preserve">
Models varied between 11% and 12%. 12% chosen due to closer to FY18 UFR data</t>
        </r>
      </text>
    </comment>
    <comment ref="D24" authorId="0">
      <text>
        <r>
          <rPr>
            <sz val="8"/>
            <color indexed="81"/>
            <rFont val="Tahoma"/>
            <family val="2"/>
          </rPr>
          <t xml:space="preserve">Models varied between 22% and 24%. 24% chosen due to higher usage throughout all models </t>
        </r>
      </text>
    </comment>
  </commentList>
</comments>
</file>

<file path=xl/comments2.xml><?xml version="1.0" encoding="utf-8"?>
<comments xmlns="http://schemas.openxmlformats.org/spreadsheetml/2006/main">
  <authors>
    <author>EHS</author>
  </authors>
  <commentList>
    <comment ref="I22" authorId="0">
      <text>
        <r>
          <rPr>
            <b/>
            <sz val="8"/>
            <color indexed="81"/>
            <rFont val="Tahoma"/>
            <family val="2"/>
          </rPr>
          <t>EHS:</t>
        </r>
        <r>
          <rPr>
            <sz val="8"/>
            <color indexed="81"/>
            <rFont val="Tahoma"/>
            <family val="2"/>
          </rPr>
          <t xml:space="preserve">
365 days * 33 clients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EHS:</t>
        </r>
        <r>
          <rPr>
            <sz val="8"/>
            <color indexed="81"/>
            <rFont val="Tahoma"/>
            <family val="2"/>
          </rPr>
          <t xml:space="preserve">
CURRRENT RATE for Jan 2018 - Dec 2019</t>
        </r>
      </text>
    </comment>
  </commentList>
</comments>
</file>

<file path=xl/comments3.xml><?xml version="1.0" encoding="utf-8"?>
<comments xmlns="http://schemas.openxmlformats.org/spreadsheetml/2006/main">
  <authors>
    <author>EHS</author>
  </authors>
  <commentList>
    <comment ref="F30" authorId="0">
      <text>
        <r>
          <rPr>
            <sz val="8"/>
            <color indexed="81"/>
            <rFont val="Tahoma"/>
            <family val="2"/>
          </rPr>
          <t xml:space="preserve">CURRENT RATE Jan 2018 - Dec 2019
</t>
        </r>
      </text>
    </comment>
  </commentList>
</comments>
</file>

<file path=xl/comments4.xml><?xml version="1.0" encoding="utf-8"?>
<comments xmlns="http://schemas.openxmlformats.org/spreadsheetml/2006/main">
  <authors>
    <author>EHS</author>
  </authors>
  <commentList>
    <comment ref="F27" authorId="0">
      <text>
        <r>
          <rPr>
            <b/>
            <sz val="8"/>
            <color indexed="81"/>
            <rFont val="Tahoma"/>
            <family val="2"/>
          </rPr>
          <t>EHS:</t>
        </r>
        <r>
          <rPr>
            <sz val="8"/>
            <color indexed="81"/>
            <rFont val="Tahoma"/>
            <family val="2"/>
          </rPr>
          <t xml:space="preserve">
CURRENT RATE</t>
        </r>
      </text>
    </comment>
  </commentList>
</comments>
</file>

<file path=xl/sharedStrings.xml><?xml version="1.0" encoding="utf-8"?>
<sst xmlns="http://schemas.openxmlformats.org/spreadsheetml/2006/main" count="898" uniqueCount="309">
  <si>
    <t>Model A-1 Direct Care Non Clinical Less Intensive</t>
  </si>
  <si>
    <t>Model A-2 Direct Care Non Clinical More Intensive</t>
  </si>
  <si>
    <t>MASTER DATA LOOK-UP TABLE</t>
  </si>
  <si>
    <t>Ratio</t>
  </si>
  <si>
    <t>Sal</t>
  </si>
  <si>
    <t>FTE</t>
  </si>
  <si>
    <t>Exp</t>
  </si>
  <si>
    <t>Benchmark Salaries - Prior salaries rebased with Compounded CAFs</t>
  </si>
  <si>
    <t>Benchmark FTEs</t>
  </si>
  <si>
    <t>Program Director</t>
  </si>
  <si>
    <t>A-1</t>
  </si>
  <si>
    <t>A-2</t>
  </si>
  <si>
    <t>B</t>
  </si>
  <si>
    <t>C</t>
  </si>
  <si>
    <t>D</t>
  </si>
  <si>
    <t>E</t>
  </si>
  <si>
    <t>F</t>
  </si>
  <si>
    <t>G</t>
  </si>
  <si>
    <t>Clinical</t>
  </si>
  <si>
    <t>Direct Care Staffing</t>
  </si>
  <si>
    <t>Program Support-Clerical</t>
  </si>
  <si>
    <t>Total Dir Care Staff</t>
  </si>
  <si>
    <t>Benchmark Expenses</t>
  </si>
  <si>
    <t>Expenses</t>
  </si>
  <si>
    <t>Tax &amp; Fringe</t>
  </si>
  <si>
    <t>Taxes &amp; Fringe</t>
  </si>
  <si>
    <t>Admin Allocation</t>
  </si>
  <si>
    <t>Total Compensation</t>
  </si>
  <si>
    <t>Non Staff Direct Expense (% of total Comp)</t>
  </si>
  <si>
    <t>CAF (Jan 2018)</t>
  </si>
  <si>
    <t>Base FY18 Q3 - Prospective 1/1/18 - 12/31/19</t>
  </si>
  <si>
    <t>CAF (Jan 2020)</t>
  </si>
  <si>
    <t>Total Direct Expenses</t>
  </si>
  <si>
    <t>PFLMA Trust Contribution</t>
  </si>
  <si>
    <t>Admin M&amp;G</t>
  </si>
  <si>
    <t>TOTAL</t>
  </si>
  <si>
    <t xml:space="preserve">Capacity </t>
  </si>
  <si>
    <t>Rate Per Enrolled Day</t>
  </si>
  <si>
    <t>Model B Direct Care and Clinical Less Intensive</t>
  </si>
  <si>
    <t>Model C Direct Care and Clinical More Intensive</t>
  </si>
  <si>
    <t>Model D Clinical</t>
  </si>
  <si>
    <t>Model E Direct Care and Clinical High Intensive</t>
  </si>
  <si>
    <t>Model F Direct Care and Clinical Highest Intensive</t>
  </si>
  <si>
    <t>Model G Direct Care and Clinical Higher Intensive</t>
  </si>
  <si>
    <t>Session</t>
  </si>
  <si>
    <t>Average</t>
  </si>
  <si>
    <t>Educational Coordinator ("Treehouse")</t>
  </si>
  <si>
    <t xml:space="preserve">Model Budget </t>
  </si>
  <si>
    <t>Staff Salary</t>
  </si>
  <si>
    <t>FTEs</t>
  </si>
  <si>
    <t>Education Coordinator</t>
  </si>
  <si>
    <t>Non-Specialized Direct Care</t>
  </si>
  <si>
    <t>Program Support</t>
  </si>
  <si>
    <t>% of salary</t>
  </si>
  <si>
    <t>PFMLA Trust Contribution</t>
  </si>
  <si>
    <t>FY20 Rate Review CAF</t>
  </si>
  <si>
    <t>Base 2020 Q1 -Prospective FY20 &amp; FY21</t>
  </si>
  <si>
    <t>Other Costs</t>
  </si>
  <si>
    <t>TOTAL excl m &amp; g</t>
  </si>
  <si>
    <t>Total with admin allocation</t>
  </si>
  <si>
    <t>Total  with CAF</t>
  </si>
  <si>
    <t>Total</t>
  </si>
  <si>
    <t>RATE: (per enrolled day)</t>
  </si>
  <si>
    <t>Total with Cost adjustment factor (2015)</t>
  </si>
  <si>
    <t>Total with Cost adjustment factor (2018)</t>
  </si>
  <si>
    <t>Total with Cost adjustment factor (2020)</t>
  </si>
  <si>
    <t>If using add-ons</t>
  </si>
  <si>
    <t>Facilitator/Coordinators</t>
  </si>
  <si>
    <t>Meals</t>
  </si>
  <si>
    <t>Child Care</t>
  </si>
  <si>
    <t>Transportation (beyond incidentals)</t>
  </si>
  <si>
    <t>Benchmark Salaries</t>
  </si>
  <si>
    <t xml:space="preserve">Salary rebased with prior compounding CAFs </t>
  </si>
  <si>
    <t>Specialty Family Skills Development Group</t>
  </si>
  <si>
    <t xml:space="preserve">Proposed Model Budget </t>
  </si>
  <si>
    <t>Per 15 session group</t>
  </si>
  <si>
    <t>Total Sessions Group</t>
  </si>
  <si>
    <t>Particpants per Session:</t>
  </si>
  <si>
    <t>Management</t>
  </si>
  <si>
    <t>Direct Management Staffing</t>
  </si>
  <si>
    <t>Non specialized direct care</t>
  </si>
  <si>
    <t>Coordinator Stipends</t>
  </si>
  <si>
    <t>Total Direct Care Staff</t>
  </si>
  <si>
    <t>Occupancy</t>
  </si>
  <si>
    <t>Supplies / Cirriculum</t>
  </si>
  <si>
    <t>Tax and fringe</t>
  </si>
  <si>
    <t>Transportation</t>
  </si>
  <si>
    <t>avg cost</t>
  </si>
  <si>
    <t>#</t>
  </si>
  <si>
    <t>Facilitator/Coordinator Stipends</t>
  </si>
  <si>
    <t>Occupancy (fixed)</t>
  </si>
  <si>
    <t>Occupancy (fixed -Standard/session)</t>
  </si>
  <si>
    <t>Curriculum</t>
  </si>
  <si>
    <t xml:space="preserve">Total </t>
  </si>
  <si>
    <t>Total reimb exp excl m&amp;g</t>
  </si>
  <si>
    <t>Admin allocation</t>
  </si>
  <si>
    <t>Total (independent of sessions)</t>
  </si>
  <si>
    <t>Total with Cost adjustment factor (CAF)</t>
  </si>
  <si>
    <t>Rate per session</t>
  </si>
  <si>
    <t>Facilitators / Session</t>
  </si>
  <si>
    <t>Per 101 CMR 414.02 Program Description</t>
  </si>
  <si>
    <t>Participants</t>
  </si>
  <si>
    <t xml:space="preserve">Stipends based off FY18UFR Data st avg per FTE </t>
  </si>
  <si>
    <t>Stipends per Session</t>
  </si>
  <si>
    <t>9 Stipends per Session Group</t>
  </si>
  <si>
    <t>Occupancy based off FY18 Data Wt avg per FTE</t>
  </si>
  <si>
    <t>Occupancy Cost per FTE's Per session</t>
  </si>
  <si>
    <t>Meals based off FY18 Data St avg per FTE</t>
  </si>
  <si>
    <t>Meals Per Session</t>
  </si>
  <si>
    <t>Meals per FTE</t>
  </si>
  <si>
    <t>per session</t>
  </si>
  <si>
    <t>Occupancy purchase of space</t>
  </si>
  <si>
    <t>Program Supplies/ Cirriculum 30E &amp; 33E</t>
  </si>
  <si>
    <t>Source of $125: provider specific contractual total of $1,875, divided by 15 sessions); used also as basis for other family groups</t>
  </si>
  <si>
    <t>Rate from Prior models</t>
  </si>
  <si>
    <t>Transportation based off FY18 Data Wt avg per FTE</t>
  </si>
  <si>
    <t xml:space="preserve">Rebased with prior compounding CAFs </t>
  </si>
  <si>
    <t xml:space="preserve">Benchmark Salaries </t>
  </si>
  <si>
    <t>Add-ons</t>
  </si>
  <si>
    <t>Occupancy (purchase of space)</t>
  </si>
  <si>
    <t>Current</t>
  </si>
  <si>
    <t>Proposed Jan 2020</t>
  </si>
  <si>
    <t>Parent Skill Development Group</t>
  </si>
  <si>
    <t>Per 13 session group</t>
  </si>
  <si>
    <t>Transportation (incidental cost)</t>
  </si>
  <si>
    <t>Direct care</t>
  </si>
  <si>
    <t xml:space="preserve">Management </t>
  </si>
  <si>
    <t>Rate w/ Cost adjustment factor (2020)</t>
  </si>
  <si>
    <t>Family Skills Development Group</t>
  </si>
  <si>
    <t>Per 12 session group</t>
  </si>
  <si>
    <t xml:space="preserve">Total Rate </t>
  </si>
  <si>
    <t xml:space="preserve">Direct Care  </t>
  </si>
  <si>
    <t>Direct Care</t>
  </si>
  <si>
    <t xml:space="preserve">Occupancy </t>
  </si>
  <si>
    <t># children</t>
  </si>
  <si>
    <t>Annual cost</t>
  </si>
  <si>
    <t xml:space="preserve"> Cost per child</t>
  </si>
  <si>
    <t xml:space="preserve"> Cost per child week</t>
  </si>
  <si>
    <t>Cost per child day</t>
  </si>
  <si>
    <t>Child Care Worker: Ratio 1:8</t>
  </si>
  <si>
    <t>Supervisor: Ratio 1:6 workers</t>
  </si>
  <si>
    <t>Sub Total Dir Care</t>
  </si>
  <si>
    <t>Program director @ 10% salaries</t>
  </si>
  <si>
    <t>Sub Total Salary &amp; Wage</t>
  </si>
  <si>
    <t>Tax/Fringe @ 25% personnel</t>
  </si>
  <si>
    <t>Total Empl Comp &amp; Exp</t>
  </si>
  <si>
    <t>Other @ 20% total cost</t>
  </si>
  <si>
    <t>Sub Total excl Flex</t>
  </si>
  <si>
    <t>Flex pool ( provider to maintain pool, amt is not child-specific)</t>
  </si>
  <si>
    <t>TOTAL SUPPORT RATE</t>
  </si>
  <si>
    <t>Additional Support @ 19.50/hr x 5 hrs/wk</t>
  </si>
  <si>
    <t>Unbundled IFC Support Services</t>
  </si>
  <si>
    <t>Unbundled IFC Special Supports</t>
  </si>
  <si>
    <t>Cost Adjustment Factor</t>
  </si>
  <si>
    <t>Massachusetts Economic Indicators</t>
  </si>
  <si>
    <t>IHS Markit, Fall 2018 Forecast</t>
  </si>
  <si>
    <t>Prepared by Michael Lynch, 781-301-9129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</si>
  <si>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</si>
  <si>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</si>
  <si>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</si>
  <si>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</si>
  <si>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</si>
  <si>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</si>
  <si>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</si>
  <si>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</si>
  <si>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</si>
  <si>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</si>
  <si>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</si>
  <si>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</si>
  <si>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</si>
  <si>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</si>
  <si>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</si>
  <si>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</si>
  <si>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</si>
  <si>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</si>
  <si>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</si>
  <si>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</si>
  <si>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</si>
  <si>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</si>
  <si>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</si>
  <si>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</si>
  <si>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</si>
  <si>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</si>
  <si>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</si>
  <si>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</si>
  <si>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</si>
  <si>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</si>
  <si>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</si>
  <si>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</si>
  <si>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</si>
  <si>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</si>
  <si>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</si>
  <si>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</si>
  <si>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</si>
  <si>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</si>
  <si>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</si>
  <si>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</si>
  <si>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</si>
  <si>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</si>
  <si>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</si>
  <si>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</si>
  <si>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</si>
  <si>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</si>
  <si>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</si>
  <si>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</si>
  <si>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</si>
  <si>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</si>
  <si>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</si>
  <si>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</si>
  <si>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</si>
  <si>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</si>
  <si>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</si>
  <si>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</si>
  <si>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</si>
  <si>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</si>
  <si>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</si>
  <si>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</si>
  <si>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</si>
  <si>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</si>
  <si>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</si>
  <si>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</si>
  <si>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</si>
  <si>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</si>
  <si>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</si>
  <si>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</si>
  <si>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</si>
  <si>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</si>
  <si>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</si>
  <si>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</si>
  <si>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</si>
  <si>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</si>
  <si>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</si>
  <si>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</si>
  <si>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</si>
  <si>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</si>
  <si>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</si>
  <si>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</si>
  <si>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</si>
  <si>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</si>
  <si>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</si>
  <si>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</si>
  <si>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</si>
  <si>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</si>
  <si>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</si>
  <si>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</si>
  <si>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</si>
  <si>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</si>
  <si>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</si>
  <si>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</si>
  <si>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</si>
  <si>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</si>
  <si>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2019</t>
  </si>
  <si>
    <t xml:space="preserve">Base period: </t>
  </si>
  <si>
    <t>FY19Q4</t>
  </si>
  <si>
    <t xml:space="preserve">Prospective rate period: </t>
  </si>
  <si>
    <t>FY20 &amp; FY21</t>
  </si>
  <si>
    <t>CAF:</t>
  </si>
  <si>
    <t>Assumption for Rate Reviews that are to be promulgated January 1, 2020</t>
  </si>
  <si>
    <t>FY20Q2</t>
  </si>
  <si>
    <t>January 1, 2020 - December 31, 2021</t>
  </si>
  <si>
    <t>IHS Markit, Spring 2019 Forecast</t>
  </si>
  <si>
    <t>FY17</t>
  </si>
  <si>
    <t>FY18</t>
  </si>
  <si>
    <t>FSTAB Rate Reviews that are to be promulgated 1/1/2020</t>
  </si>
  <si>
    <t>Prospective rate period: 1/1/20 - 12/31/2021</t>
  </si>
  <si>
    <t>Clinical Comp</t>
  </si>
  <si>
    <t>Ed Coordin</t>
  </si>
  <si>
    <t>Spec. Family Skills</t>
  </si>
  <si>
    <t>Family Skills Dev</t>
  </si>
  <si>
    <t>Parent Skills Dev</t>
  </si>
  <si>
    <t>Unbudled IFC</t>
  </si>
  <si>
    <t>Child Care Worker</t>
  </si>
  <si>
    <t xml:space="preserve">Title </t>
  </si>
  <si>
    <t>Salary</t>
  </si>
  <si>
    <t>Salaries</t>
  </si>
  <si>
    <t>PFMLA</t>
  </si>
  <si>
    <t>CAF</t>
  </si>
  <si>
    <t>Rate</t>
  </si>
  <si>
    <t>Administravie</t>
  </si>
  <si>
    <t>Benchmark</t>
  </si>
  <si>
    <t>Previous Benchmark (FY18 UFR Wt Avg 19.63%)</t>
  </si>
  <si>
    <t>Previous Benchmark (FY18 UFR Wt Avg 12.03%)</t>
  </si>
  <si>
    <t>Prior salary with compounded CAF</t>
  </si>
  <si>
    <t>Effective 9/1/19</t>
  </si>
  <si>
    <t>Total with CAF (2020)</t>
  </si>
  <si>
    <t>Rate w/ CAF (2020)</t>
  </si>
  <si>
    <t xml:space="preserve">Case Worker </t>
  </si>
  <si>
    <t>Training</t>
  </si>
  <si>
    <t>Allowances</t>
  </si>
  <si>
    <t>Below the Line</t>
  </si>
  <si>
    <t>FY18 UFR Wt Avg (17E)</t>
  </si>
  <si>
    <t>FY18 UFR Wt Avg (23E, 25E, 26E, 27E)</t>
  </si>
  <si>
    <t xml:space="preserve">FY18 UFR Wt Avg (25E) transportation only </t>
  </si>
  <si>
    <t>FY18 UFR Wt Avg (22E)</t>
  </si>
  <si>
    <t>Supplies &amp; Allowances (less materials)</t>
  </si>
  <si>
    <t>FY18 UFR Wt Avg (24E 29E 33E)</t>
  </si>
  <si>
    <t>FY18 UFR Wt Avg (24E)  -Meals Only</t>
  </si>
  <si>
    <t>Supplies &amp; Allowances</t>
  </si>
  <si>
    <t>FY18 UFR Wt Avg (24E 28E 29E 33E)</t>
  </si>
  <si>
    <t>Stipend Level 1</t>
  </si>
  <si>
    <t>EHS Recommendation</t>
  </si>
  <si>
    <t>Stipend Level 2</t>
  </si>
  <si>
    <t>Stipend Level 3</t>
  </si>
  <si>
    <t>Add ons</t>
  </si>
  <si>
    <t>Proposed Model 6/13/19</t>
  </si>
  <si>
    <t>TOTAL COSTS</t>
  </si>
  <si>
    <t>Proposed 6/13/19</t>
  </si>
  <si>
    <t>Prior Rate with compounded CAFs</t>
  </si>
  <si>
    <t>IFC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</si>
</sst>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"/>
    <numFmt numFmtId="166" formatCode="0.0%"/>
    <numFmt numFmtId="167" formatCode="\$#,##0.00"/>
    <numFmt numFmtId="168" formatCode="&quot;$&quot;#,##0.00"/>
    <numFmt numFmtId="169" formatCode="_(* #,##0.0_);_(* \(#,##0.0\);_(* &quot;-&quot;??_);_(@_)"/>
    <numFmt numFmtId="170" formatCode="_(&quot;$&quot;* #,##0_);_(&quot;$&quot;* \(#,##0\);_(&quot;$&quot;* &quot;-&quot;??_);_(@_)"/>
    <numFmt numFmtId="171" formatCode="&quot;$&quot;#,##0"/>
    <numFmt numFmtId="172" formatCode="_(* #,##0_);_(* \(#,##0\);_(* &quot;-&quot;??_);_(@_)"/>
    <numFmt numFmtId="173" formatCode="[$-409]mmmm\ d\,\ yyyy;@"/>
    <numFmt numFmtId="174" formatCode="0.00000000000"/>
    <numFmt numFmtId="175" formatCode="&quot;$&quot;#,##0.000000000"/>
    <numFmt numFmtId="176" formatCode="0.0000"/>
    <numFmt numFmtId="177" formatCode="0.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Symbol"/>
      <family val="1"/>
      <charset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Calibri"/>
      <family val="2"/>
      <scheme val="minor"/>
    </font>
    <font>
      <sz val="9"/>
      <color indexed="12"/>
      <name val="Arial"/>
      <family val="2"/>
    </font>
    <font>
      <sz val="10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0"/>
      <color rgb="FF0070C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0"/>
      <color theme="5" tint="-0.249977111117893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4FC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58"/>
      </bottom>
      <diagonal/>
    </border>
    <border>
      <left/>
      <right/>
      <top/>
      <bottom style="double">
        <color indexed="58"/>
      </bottom>
      <diagonal/>
    </border>
    <border>
      <left/>
      <right style="medium">
        <color indexed="64"/>
      </right>
      <top style="thin">
        <color indexed="64"/>
      </top>
      <bottom style="double">
        <color indexed="58"/>
      </bottom>
      <diagonal/>
    </border>
    <border>
      <left style="medium">
        <color indexed="64"/>
      </left>
      <right/>
      <top style="double">
        <color indexed="58"/>
      </top>
      <bottom style="thin">
        <color indexed="64"/>
      </bottom>
      <diagonal/>
    </border>
    <border>
      <left/>
      <right/>
      <top style="double">
        <color indexed="58"/>
      </top>
      <bottom style="thin">
        <color indexed="64"/>
      </bottom>
      <diagonal/>
    </border>
    <border>
      <left/>
      <right style="medium">
        <color indexed="64"/>
      </right>
      <top style="double">
        <color indexed="5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6" fillId="8" borderId="0" applyNumberFormat="0" applyBorder="0" applyAlignment="0" applyProtection="0"/>
    <xf numFmtId="0" fontId="17" fillId="25" borderId="33" applyNumberFormat="0" applyAlignment="0" applyProtection="0"/>
    <xf numFmtId="0" fontId="18" fillId="26" borderId="34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23" fillId="0" borderId="35" applyNumberFormat="0" applyFill="0" applyAlignment="0" applyProtection="0"/>
    <xf numFmtId="0" fontId="24" fillId="0" borderId="36" applyNumberFormat="0" applyFill="0" applyAlignment="0" applyProtection="0"/>
    <xf numFmtId="0" fontId="25" fillId="0" borderId="37" applyNumberFormat="0" applyFill="0" applyAlignment="0" applyProtection="0"/>
    <xf numFmtId="0" fontId="25" fillId="0" borderId="0" applyNumberFormat="0" applyFill="0" applyBorder="0" applyAlignment="0" applyProtection="0"/>
    <xf numFmtId="0" fontId="26" fillId="12" borderId="33" applyNumberFormat="0" applyAlignment="0" applyProtection="0"/>
    <xf numFmtId="0" fontId="27" fillId="0" borderId="38" applyNumberFormat="0" applyFill="0" applyAlignment="0" applyProtection="0"/>
    <xf numFmtId="0" fontId="28" fillId="27" borderId="0" applyNumberFormat="0" applyBorder="0" applyAlignment="0" applyProtection="0"/>
    <xf numFmtId="0" fontId="6" fillId="0" borderId="0"/>
    <xf numFmtId="0" fontId="9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9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2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28" borderId="39" applyNumberFormat="0" applyFont="0" applyAlignment="0" applyProtection="0"/>
    <xf numFmtId="0" fontId="30" fillId="25" borderId="40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2" fillId="0" borderId="41" applyNumberFormat="0" applyFill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38" fillId="0" borderId="0"/>
    <xf numFmtId="9" fontId="6" fillId="0" borderId="0" applyFont="0" applyFill="0" applyBorder="0" applyAlignment="0" applyProtection="0"/>
    <xf numFmtId="8" fontId="39" fillId="31" borderId="42" applyFont="0" applyFill="0" applyAlignment="0">
      <alignment horizontal="left" vertical="center" wrapText="1"/>
    </xf>
    <xf numFmtId="8" fontId="39" fillId="31" borderId="42" applyFont="0" applyFill="0" applyAlignment="0">
      <alignment horizontal="left" vertical="center" wrapText="1"/>
    </xf>
    <xf numFmtId="0" fontId="62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901">
    <xf numFmtId="0" fontId="0" fillId="0" borderId="0" xfId="0"/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16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64" fontId="0" fillId="0" borderId="5" xfId="0" applyNumberFormat="1" applyFont="1" applyBorder="1"/>
    <xf numFmtId="1" fontId="6" fillId="0" borderId="0" xfId="0" applyNumberFormat="1" applyFont="1" applyAlignment="1">
      <alignment horizontal="center"/>
    </xf>
    <xf numFmtId="6" fontId="0" fillId="0" borderId="0" xfId="0" applyNumberFormat="1" applyBorder="1"/>
    <xf numFmtId="2" fontId="6" fillId="0" borderId="0" xfId="0" applyNumberFormat="1" applyFont="1" applyFill="1" applyBorder="1" applyAlignment="1">
      <alignment horizontal="center"/>
    </xf>
    <xf numFmtId="164" fontId="0" fillId="0" borderId="4" xfId="0" applyNumberFormat="1" applyFont="1" applyBorder="1"/>
    <xf numFmtId="1" fontId="6" fillId="0" borderId="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Font="1" applyBorder="1"/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65" fontId="0" fillId="0" borderId="5" xfId="0" applyNumberFormat="1" applyFont="1" applyBorder="1"/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5" fontId="0" fillId="0" borderId="5" xfId="0" applyNumberFormat="1" applyBorder="1"/>
    <xf numFmtId="1" fontId="0" fillId="0" borderId="0" xfId="0" applyNumberFormat="1" applyFont="1" applyBorder="1" applyAlignment="1">
      <alignment horizontal="center"/>
    </xf>
    <xf numFmtId="0" fontId="4" fillId="0" borderId="17" xfId="0" applyFont="1" applyBorder="1"/>
    <xf numFmtId="164" fontId="4" fillId="0" borderId="18" xfId="0" applyNumberFormat="1" applyFont="1" applyBorder="1" applyAlignment="1">
      <alignment horizontal="center"/>
    </xf>
    <xf numFmtId="164" fontId="4" fillId="0" borderId="18" xfId="0" applyNumberFormat="1" applyFont="1" applyBorder="1"/>
    <xf numFmtId="2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/>
    <xf numFmtId="164" fontId="4" fillId="0" borderId="4" xfId="0" applyNumberFormat="1" applyFont="1" applyBorder="1"/>
    <xf numFmtId="165" fontId="0" fillId="0" borderId="8" xfId="0" applyNumberFormat="1" applyBorder="1"/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7" fillId="0" borderId="5" xfId="0" applyFont="1" applyBorder="1"/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2" fontId="4" fillId="0" borderId="0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5" fillId="0" borderId="0" xfId="0" applyNumberFormat="1" applyFont="1" applyBorder="1"/>
    <xf numFmtId="0" fontId="0" fillId="0" borderId="6" xfId="0" applyBorder="1"/>
    <xf numFmtId="10" fontId="0" fillId="0" borderId="24" xfId="0" applyNumberFormat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0" fillId="0" borderId="13" xfId="0" applyBorder="1"/>
    <xf numFmtId="0" fontId="6" fillId="0" borderId="5" xfId="0" applyFont="1" applyFill="1" applyBorder="1"/>
    <xf numFmtId="10" fontId="6" fillId="0" borderId="0" xfId="3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horizontal="center"/>
    </xf>
    <xf numFmtId="164" fontId="6" fillId="0" borderId="4" xfId="0" applyNumberFormat="1" applyFont="1" applyBorder="1"/>
    <xf numFmtId="0" fontId="0" fillId="0" borderId="0" xfId="0" applyBorder="1"/>
    <xf numFmtId="0" fontId="0" fillId="0" borderId="5" xfId="0" applyBorder="1"/>
    <xf numFmtId="10" fontId="0" fillId="0" borderId="0" xfId="0" applyNumberForma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Font="1" applyBorder="1"/>
    <xf numFmtId="164" fontId="0" fillId="0" borderId="18" xfId="0" applyNumberFormat="1" applyBorder="1"/>
    <xf numFmtId="2" fontId="0" fillId="0" borderId="18" xfId="0" applyNumberFormat="1" applyFill="1" applyBorder="1" applyAlignment="1">
      <alignment horizontal="center"/>
    </xf>
    <xf numFmtId="164" fontId="5" fillId="0" borderId="19" xfId="0" applyNumberFormat="1" applyFont="1" applyBorder="1"/>
    <xf numFmtId="166" fontId="5" fillId="0" borderId="4" xfId="3" applyNumberFormat="1" applyFont="1" applyBorder="1"/>
    <xf numFmtId="0" fontId="0" fillId="0" borderId="8" xfId="0" applyBorder="1"/>
    <xf numFmtId="0" fontId="0" fillId="0" borderId="25" xfId="0" applyBorder="1" applyAlignment="1">
      <alignment horizontal="center"/>
    </xf>
    <xf numFmtId="10" fontId="0" fillId="0" borderId="20" xfId="0" applyNumberFormat="1" applyBorder="1"/>
    <xf numFmtId="10" fontId="0" fillId="0" borderId="21" xfId="3" applyNumberFormat="1" applyFont="1" applyBorder="1"/>
    <xf numFmtId="10" fontId="0" fillId="0" borderId="22" xfId="3" applyNumberFormat="1" applyFont="1" applyBorder="1"/>
    <xf numFmtId="0" fontId="0" fillId="0" borderId="5" xfId="0" applyFont="1" applyBorder="1"/>
    <xf numFmtId="164" fontId="0" fillId="0" borderId="0" xfId="0" applyNumberFormat="1" applyBorder="1"/>
    <xf numFmtId="2" fontId="0" fillId="0" borderId="0" xfId="0" applyNumberForma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10" fontId="0" fillId="0" borderId="0" xfId="3" applyNumberFormat="1" applyFont="1" applyBorder="1"/>
    <xf numFmtId="164" fontId="9" fillId="0" borderId="4" xfId="0" applyNumberFormat="1" applyFont="1" applyBorder="1"/>
    <xf numFmtId="10" fontId="2" fillId="0" borderId="1" xfId="0" applyNumberFormat="1" applyFont="1" applyBorder="1"/>
    <xf numFmtId="10" fontId="6" fillId="0" borderId="0" xfId="3" applyNumberFormat="1" applyFont="1" applyBorder="1"/>
    <xf numFmtId="10" fontId="10" fillId="0" borderId="27" xfId="0" applyNumberFormat="1" applyFont="1" applyBorder="1"/>
    <xf numFmtId="164" fontId="5" fillId="0" borderId="28" xfId="0" applyNumberFormat="1" applyFont="1" applyBorder="1"/>
    <xf numFmtId="10" fontId="5" fillId="0" borderId="28" xfId="3" applyNumberFormat="1" applyFont="1" applyBorder="1"/>
    <xf numFmtId="2" fontId="5" fillId="0" borderId="28" xfId="0" applyNumberFormat="1" applyFont="1" applyBorder="1" applyAlignment="1">
      <alignment horizontal="center"/>
    </xf>
    <xf numFmtId="164" fontId="6" fillId="0" borderId="29" xfId="0" applyNumberFormat="1" applyFont="1" applyBorder="1"/>
    <xf numFmtId="0" fontId="5" fillId="0" borderId="30" xfId="0" applyFont="1" applyBorder="1"/>
    <xf numFmtId="164" fontId="5" fillId="0" borderId="31" xfId="0" applyNumberFormat="1" applyFont="1" applyBorder="1"/>
    <xf numFmtId="2" fontId="5" fillId="0" borderId="31" xfId="0" applyNumberFormat="1" applyFont="1" applyBorder="1" applyAlignment="1">
      <alignment horizontal="center"/>
    </xf>
    <xf numFmtId="164" fontId="4" fillId="0" borderId="32" xfId="0" applyNumberFormat="1" applyFont="1" applyBorder="1"/>
    <xf numFmtId="0" fontId="0" fillId="0" borderId="5" xfId="0" applyFill="1" applyBorder="1"/>
    <xf numFmtId="0" fontId="0" fillId="0" borderId="0" xfId="0" applyFill="1" applyBorder="1" applyAlignment="1">
      <alignment horizontal="center"/>
    </xf>
    <xf numFmtId="0" fontId="0" fillId="0" borderId="4" xfId="0" applyBorder="1"/>
    <xf numFmtId="2" fontId="11" fillId="0" borderId="0" xfId="0" applyNumberFormat="1" applyFont="1" applyFill="1" applyBorder="1" applyAlignment="1">
      <alignment horizontal="center"/>
    </xf>
    <xf numFmtId="167" fontId="6" fillId="0" borderId="4" xfId="0" applyNumberFormat="1" applyFont="1" applyBorder="1"/>
    <xf numFmtId="0" fontId="5" fillId="0" borderId="8" xfId="0" applyFont="1" applyBorder="1"/>
    <xf numFmtId="164" fontId="5" fillId="0" borderId="25" xfId="0" applyNumberFormat="1" applyFont="1" applyBorder="1"/>
    <xf numFmtId="10" fontId="5" fillId="0" borderId="25" xfId="3" applyNumberFormat="1" applyFont="1" applyBorder="1"/>
    <xf numFmtId="2" fontId="5" fillId="0" borderId="25" xfId="0" applyNumberFormat="1" applyFont="1" applyFill="1" applyBorder="1" applyAlignment="1">
      <alignment horizontal="center"/>
    </xf>
    <xf numFmtId="168" fontId="4" fillId="3" borderId="9" xfId="0" applyNumberFormat="1" applyFont="1" applyFill="1" applyBorder="1"/>
    <xf numFmtId="0" fontId="5" fillId="0" borderId="0" xfId="0" applyFont="1" applyBorder="1"/>
    <xf numFmtId="168" fontId="4" fillId="0" borderId="0" xfId="0" applyNumberFormat="1" applyFont="1" applyBorder="1"/>
    <xf numFmtId="10" fontId="5" fillId="0" borderId="0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2" fontId="4" fillId="0" borderId="0" xfId="0" applyNumberFormat="1" applyFont="1" applyBorder="1"/>
    <xf numFmtId="1" fontId="5" fillId="0" borderId="0" xfId="0" applyNumberFormat="1" applyFont="1" applyBorder="1"/>
    <xf numFmtId="0" fontId="0" fillId="0" borderId="0" xfId="0" applyBorder="1" applyAlignment="1">
      <alignment horizontal="center"/>
    </xf>
    <xf numFmtId="10" fontId="6" fillId="0" borderId="0" xfId="0" applyNumberFormat="1" applyFont="1" applyFill="1" applyBorder="1" applyAlignment="1">
      <alignment vertical="center"/>
    </xf>
    <xf numFmtId="1" fontId="8" fillId="0" borderId="0" xfId="0" applyNumberFormat="1" applyFont="1" applyBorder="1"/>
    <xf numFmtId="0" fontId="0" fillId="0" borderId="0" xfId="0" applyAlignment="1">
      <alignment horizontal="center"/>
    </xf>
    <xf numFmtId="164" fontId="0" fillId="0" borderId="18" xfId="0" applyNumberFormat="1" applyBorder="1" applyAlignment="1">
      <alignment horizontal="center"/>
    </xf>
    <xf numFmtId="2" fontId="0" fillId="0" borderId="18" xfId="0" applyNumberFormat="1" applyFill="1" applyBorder="1"/>
    <xf numFmtId="164" fontId="0" fillId="0" borderId="0" xfId="0" applyNumberFormat="1" applyBorder="1" applyAlignment="1">
      <alignment horizontal="center"/>
    </xf>
    <xf numFmtId="2" fontId="0" fillId="0" borderId="0" xfId="0" applyNumberFormat="1" applyFill="1" applyBorder="1"/>
    <xf numFmtId="164" fontId="5" fillId="0" borderId="28" xfId="0" applyNumberFormat="1" applyFont="1" applyBorder="1" applyAlignment="1">
      <alignment horizontal="center"/>
    </xf>
    <xf numFmtId="2" fontId="5" fillId="0" borderId="28" xfId="0" applyNumberFormat="1" applyFont="1" applyBorder="1"/>
    <xf numFmtId="164" fontId="5" fillId="0" borderId="31" xfId="0" applyNumberFormat="1" applyFont="1" applyBorder="1" applyAlignment="1">
      <alignment horizontal="center"/>
    </xf>
    <xf numFmtId="2" fontId="5" fillId="0" borderId="31" xfId="0" applyNumberFormat="1" applyFont="1" applyBorder="1"/>
    <xf numFmtId="0" fontId="0" fillId="0" borderId="0" xfId="0" applyFill="1" applyBorder="1"/>
    <xf numFmtId="2" fontId="11" fillId="0" borderId="0" xfId="0" applyNumberFormat="1" applyFont="1" applyFill="1" applyBorder="1"/>
    <xf numFmtId="2" fontId="0" fillId="0" borderId="0" xfId="0" applyNumberFormat="1"/>
    <xf numFmtId="164" fontId="5" fillId="0" borderId="25" xfId="0" applyNumberFormat="1" applyFont="1" applyBorder="1" applyAlignment="1">
      <alignment horizontal="center"/>
    </xf>
    <xf numFmtId="10" fontId="5" fillId="0" borderId="25" xfId="0" applyNumberFormat="1" applyFont="1" applyBorder="1"/>
    <xf numFmtId="2" fontId="5" fillId="0" borderId="25" xfId="0" applyNumberFormat="1" applyFont="1" applyFill="1" applyBorder="1"/>
    <xf numFmtId="167" fontId="4" fillId="3" borderId="9" xfId="0" applyNumberFormat="1" applyFont="1" applyFill="1" applyBorder="1"/>
    <xf numFmtId="1" fontId="0" fillId="0" borderId="0" xfId="0" applyNumberForma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6" fillId="0" borderId="18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0" fontId="0" fillId="0" borderId="18" xfId="0" applyBorder="1"/>
    <xf numFmtId="10" fontId="10" fillId="0" borderId="5" xfId="0" applyNumberFormat="1" applyFont="1" applyBorder="1"/>
    <xf numFmtId="164" fontId="0" fillId="0" borderId="31" xfId="0" applyNumberFormat="1" applyBorder="1"/>
    <xf numFmtId="10" fontId="6" fillId="0" borderId="25" xfId="3" applyNumberFormat="1" applyFont="1" applyFill="1" applyBorder="1" applyAlignment="1">
      <alignment vertical="center"/>
    </xf>
    <xf numFmtId="164" fontId="0" fillId="0" borderId="0" xfId="0" applyNumberFormat="1"/>
    <xf numFmtId="9" fontId="8" fillId="0" borderId="0" xfId="3" applyNumberFormat="1" applyFont="1" applyBorder="1"/>
    <xf numFmtId="10" fontId="8" fillId="0" borderId="0" xfId="0" applyNumberFormat="1" applyFont="1" applyBorder="1" applyAlignment="1"/>
    <xf numFmtId="166" fontId="0" fillId="0" borderId="0" xfId="0" applyNumberFormat="1" applyBorder="1"/>
    <xf numFmtId="164" fontId="9" fillId="0" borderId="0" xfId="0" applyNumberFormat="1" applyFont="1" applyBorder="1"/>
    <xf numFmtId="9" fontId="4" fillId="0" borderId="0" xfId="3" applyFont="1" applyBorder="1"/>
    <xf numFmtId="164" fontId="6" fillId="0" borderId="0" xfId="0" applyNumberFormat="1" applyFont="1" applyBorder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9" fontId="5" fillId="0" borderId="0" xfId="0" applyNumberFormat="1" applyFont="1" applyBorder="1"/>
    <xf numFmtId="164" fontId="0" fillId="0" borderId="0" xfId="0" applyNumberFormat="1" applyFont="1" applyBorder="1"/>
    <xf numFmtId="10" fontId="1" fillId="0" borderId="0" xfId="3" applyNumberFormat="1" applyFont="1" applyBorder="1"/>
    <xf numFmtId="41" fontId="0" fillId="0" borderId="0" xfId="0" applyNumberFormat="1" applyBorder="1"/>
    <xf numFmtId="165" fontId="0" fillId="0" borderId="0" xfId="0" applyNumberFormat="1" applyFont="1" applyBorder="1"/>
    <xf numFmtId="165" fontId="0" fillId="0" borderId="0" xfId="0" applyNumberFormat="1" applyBorder="1"/>
    <xf numFmtId="0" fontId="7" fillId="0" borderId="0" xfId="0" applyFont="1" applyBorder="1"/>
    <xf numFmtId="0" fontId="6" fillId="0" borderId="0" xfId="0" applyFont="1" applyFill="1" applyBorder="1"/>
    <xf numFmtId="9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Border="1" applyAlignment="1">
      <alignment wrapText="1"/>
    </xf>
    <xf numFmtId="0" fontId="0" fillId="0" borderId="0" xfId="0" applyFont="1" applyBorder="1"/>
    <xf numFmtId="166" fontId="1" fillId="0" borderId="0" xfId="3" applyNumberFormat="1" applyFont="1" applyBorder="1"/>
    <xf numFmtId="9" fontId="0" fillId="0" borderId="0" xfId="0" applyNumberFormat="1" applyBorder="1"/>
    <xf numFmtId="166" fontId="0" fillId="0" borderId="0" xfId="0" applyNumberFormat="1" applyFont="1" applyBorder="1"/>
    <xf numFmtId="9" fontId="0" fillId="0" borderId="0" xfId="0" applyNumberFormat="1" applyFont="1" applyBorder="1"/>
    <xf numFmtId="2" fontId="5" fillId="0" borderId="0" xfId="0" applyNumberFormat="1" applyFont="1" applyBorder="1"/>
    <xf numFmtId="2" fontId="0" fillId="0" borderId="0" xfId="0" applyNumberFormat="1" applyBorder="1"/>
    <xf numFmtId="0" fontId="4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right"/>
    </xf>
    <xf numFmtId="41" fontId="0" fillId="5" borderId="0" xfId="0" applyNumberFormat="1" applyFill="1" applyBorder="1"/>
    <xf numFmtId="41" fontId="0" fillId="6" borderId="0" xfId="0" applyNumberFormat="1" applyFill="1" applyBorder="1"/>
    <xf numFmtId="0" fontId="34" fillId="0" borderId="0" xfId="0" applyFont="1"/>
    <xf numFmtId="0" fontId="0" fillId="0" borderId="24" xfId="0" applyBorder="1"/>
    <xf numFmtId="168" fontId="34" fillId="0" borderId="0" xfId="0" applyNumberFormat="1" applyFont="1" applyBorder="1"/>
    <xf numFmtId="0" fontId="34" fillId="0" borderId="0" xfId="0" applyFont="1" applyBorder="1"/>
    <xf numFmtId="44" fontId="34" fillId="0" borderId="0" xfId="2" applyFont="1" applyBorder="1"/>
    <xf numFmtId="10" fontId="34" fillId="0" borderId="0" xfId="3" applyNumberFormat="1" applyFont="1"/>
    <xf numFmtId="0" fontId="34" fillId="0" borderId="1" xfId="0" applyFont="1" applyBorder="1"/>
    <xf numFmtId="0" fontId="0" fillId="32" borderId="0" xfId="0" applyFill="1"/>
    <xf numFmtId="0" fontId="4" fillId="32" borderId="0" xfId="121" applyFont="1" applyFill="1"/>
    <xf numFmtId="0" fontId="6" fillId="32" borderId="0" xfId="121" applyFill="1"/>
    <xf numFmtId="0" fontId="4" fillId="0" borderId="0" xfId="121" applyFont="1"/>
    <xf numFmtId="0" fontId="34" fillId="0" borderId="24" xfId="0" applyFont="1" applyBorder="1"/>
    <xf numFmtId="0" fontId="34" fillId="0" borderId="7" xfId="0" applyFont="1" applyBorder="1"/>
    <xf numFmtId="0" fontId="41" fillId="32" borderId="43" xfId="121" applyFont="1" applyFill="1" applyBorder="1"/>
    <xf numFmtId="164" fontId="41" fillId="32" borderId="44" xfId="121" applyNumberFormat="1" applyFont="1" applyFill="1" applyBorder="1" applyAlignment="1">
      <alignment horizontal="center"/>
    </xf>
    <xf numFmtId="169" fontId="42" fillId="32" borderId="44" xfId="113" applyNumberFormat="1" applyFont="1" applyFill="1" applyBorder="1" applyAlignment="1">
      <alignment horizontal="center" wrapText="1"/>
    </xf>
    <xf numFmtId="169" fontId="42" fillId="32" borderId="45" xfId="113" applyNumberFormat="1" applyFont="1" applyFill="1" applyBorder="1" applyAlignment="1">
      <alignment horizontal="center" wrapText="1"/>
    </xf>
    <xf numFmtId="0" fontId="39" fillId="0" borderId="5" xfId="121" applyFont="1" applyBorder="1"/>
    <xf numFmtId="0" fontId="34" fillId="0" borderId="4" xfId="0" applyFont="1" applyBorder="1"/>
    <xf numFmtId="164" fontId="44" fillId="32" borderId="5" xfId="121" applyNumberFormat="1" applyFont="1" applyFill="1" applyBorder="1" applyAlignment="1">
      <alignment horizontal="right"/>
    </xf>
    <xf numFmtId="40" fontId="45" fillId="32" borderId="0" xfId="121" applyNumberFormat="1" applyFont="1" applyFill="1" applyBorder="1" applyAlignment="1"/>
    <xf numFmtId="41" fontId="44" fillId="32" borderId="0" xfId="121" applyNumberFormat="1" applyFont="1" applyFill="1" applyBorder="1"/>
    <xf numFmtId="2" fontId="45" fillId="32" borderId="0" xfId="121" applyNumberFormat="1" applyFont="1" applyFill="1" applyBorder="1" applyAlignment="1">
      <alignment horizontal="right"/>
    </xf>
    <xf numFmtId="6" fontId="44" fillId="32" borderId="46" xfId="121" applyNumberFormat="1" applyFont="1" applyFill="1" applyBorder="1"/>
    <xf numFmtId="0" fontId="40" fillId="0" borderId="5" xfId="121" applyFont="1" applyBorder="1"/>
    <xf numFmtId="41" fontId="46" fillId="0" borderId="0" xfId="121" applyNumberFormat="1" applyFont="1" applyBorder="1"/>
    <xf numFmtId="2" fontId="40" fillId="0" borderId="0" xfId="121" applyNumberFormat="1" applyFont="1" applyFill="1" applyBorder="1" applyAlignment="1">
      <alignment horizontal="right"/>
    </xf>
    <xf numFmtId="6" fontId="46" fillId="0" borderId="4" xfId="121" applyNumberFormat="1" applyFont="1" applyBorder="1"/>
    <xf numFmtId="40" fontId="44" fillId="32" borderId="0" xfId="121" applyNumberFormat="1" applyFont="1" applyFill="1" applyBorder="1"/>
    <xf numFmtId="6" fontId="44" fillId="32" borderId="4" xfId="121" applyNumberFormat="1" applyFont="1" applyFill="1" applyBorder="1"/>
    <xf numFmtId="164" fontId="46" fillId="0" borderId="5" xfId="121" applyNumberFormat="1" applyFont="1" applyBorder="1" applyAlignment="1">
      <alignment horizontal="left"/>
    </xf>
    <xf numFmtId="40" fontId="45" fillId="32" borderId="0" xfId="121" applyNumberFormat="1" applyFont="1" applyFill="1"/>
    <xf numFmtId="3" fontId="45" fillId="32" borderId="0" xfId="121" applyNumberFormat="1" applyFont="1" applyFill="1"/>
    <xf numFmtId="164" fontId="45" fillId="32" borderId="5" xfId="121" applyNumberFormat="1" applyFont="1" applyFill="1" applyBorder="1" applyAlignment="1">
      <alignment horizontal="right"/>
    </xf>
    <xf numFmtId="164" fontId="40" fillId="0" borderId="5" xfId="121" applyNumberFormat="1" applyFont="1" applyBorder="1" applyAlignment="1">
      <alignment horizontal="left"/>
    </xf>
    <xf numFmtId="6" fontId="46" fillId="0" borderId="29" xfId="121" applyNumberFormat="1" applyFont="1" applyBorder="1"/>
    <xf numFmtId="0" fontId="42" fillId="32" borderId="17" xfId="121" applyFont="1" applyFill="1" applyBorder="1"/>
    <xf numFmtId="164" fontId="42" fillId="32" borderId="18" xfId="121" applyNumberFormat="1" applyFont="1" applyFill="1" applyBorder="1"/>
    <xf numFmtId="2" fontId="42" fillId="32" borderId="18" xfId="121" applyNumberFormat="1" applyFont="1" applyFill="1" applyBorder="1"/>
    <xf numFmtId="170" fontId="42" fillId="32" borderId="19" xfId="116" applyNumberFormat="1" applyFont="1" applyFill="1" applyBorder="1"/>
    <xf numFmtId="0" fontId="39" fillId="0" borderId="17" xfId="121" applyFont="1" applyBorder="1"/>
    <xf numFmtId="164" fontId="39" fillId="0" borderId="18" xfId="121" applyNumberFormat="1" applyFont="1" applyBorder="1"/>
    <xf numFmtId="2" fontId="39" fillId="0" borderId="18" xfId="121" applyNumberFormat="1" applyFont="1" applyBorder="1"/>
    <xf numFmtId="170" fontId="39" fillId="0" borderId="29" xfId="116" applyNumberFormat="1" applyFont="1" applyBorder="1"/>
    <xf numFmtId="0" fontId="42" fillId="32" borderId="5" xfId="121" applyFont="1" applyFill="1" applyBorder="1"/>
    <xf numFmtId="169" fontId="42" fillId="32" borderId="0" xfId="113" applyNumberFormat="1" applyFont="1" applyFill="1" applyBorder="1" applyAlignment="1">
      <alignment horizontal="center"/>
    </xf>
    <xf numFmtId="164" fontId="42" fillId="32" borderId="0" xfId="121" applyNumberFormat="1" applyFont="1" applyFill="1" applyBorder="1"/>
    <xf numFmtId="2" fontId="42" fillId="32" borderId="0" xfId="121" applyNumberFormat="1" applyFont="1" applyFill="1" applyBorder="1"/>
    <xf numFmtId="164" fontId="42" fillId="32" borderId="4" xfId="121" applyNumberFormat="1" applyFont="1" applyFill="1" applyBorder="1"/>
    <xf numFmtId="169" fontId="39" fillId="0" borderId="0" xfId="113" applyNumberFormat="1" applyFont="1" applyFill="1" applyBorder="1" applyAlignment="1">
      <alignment horizontal="center"/>
    </xf>
    <xf numFmtId="164" fontId="39" fillId="0" borderId="0" xfId="121" applyNumberFormat="1" applyFont="1" applyBorder="1"/>
    <xf numFmtId="2" fontId="39" fillId="0" borderId="0" xfId="121" applyNumberFormat="1" applyFont="1" applyBorder="1"/>
    <xf numFmtId="164" fontId="39" fillId="0" borderId="4" xfId="121" applyNumberFormat="1" applyFont="1" applyBorder="1"/>
    <xf numFmtId="0" fontId="45" fillId="32" borderId="5" xfId="121" applyFont="1" applyFill="1" applyBorder="1"/>
    <xf numFmtId="9" fontId="47" fillId="32" borderId="0" xfId="121" applyNumberFormat="1" applyFont="1" applyFill="1" applyBorder="1" applyAlignment="1">
      <alignment horizontal="center" vertical="center"/>
    </xf>
    <xf numFmtId="10" fontId="47" fillId="32" borderId="0" xfId="121" applyNumberFormat="1" applyFont="1" applyFill="1" applyBorder="1" applyAlignment="1">
      <alignment wrapText="1"/>
    </xf>
    <xf numFmtId="1" fontId="47" fillId="32" borderId="0" xfId="121" applyNumberFormat="1" applyFont="1" applyFill="1" applyBorder="1"/>
    <xf numFmtId="164" fontId="45" fillId="32" borderId="4" xfId="121" applyNumberFormat="1" applyFont="1" applyFill="1" applyBorder="1"/>
    <xf numFmtId="0" fontId="40" fillId="0" borderId="5" xfId="121" applyFont="1" applyFill="1" applyBorder="1"/>
    <xf numFmtId="9" fontId="48" fillId="0" borderId="0" xfId="121" applyNumberFormat="1" applyFont="1" applyFill="1" applyBorder="1" applyAlignment="1">
      <alignment horizontal="center" vertical="center"/>
    </xf>
    <xf numFmtId="10" fontId="48" fillId="0" borderId="0" xfId="121" applyNumberFormat="1" applyFont="1" applyBorder="1" applyAlignment="1">
      <alignment wrapText="1"/>
    </xf>
    <xf numFmtId="1" fontId="48" fillId="0" borderId="0" xfId="121" applyNumberFormat="1" applyFont="1" applyBorder="1"/>
    <xf numFmtId="164" fontId="40" fillId="0" borderId="4" xfId="121" applyNumberFormat="1" applyFont="1" applyBorder="1"/>
    <xf numFmtId="0" fontId="41" fillId="32" borderId="17" xfId="121" applyFont="1" applyFill="1" applyBorder="1"/>
    <xf numFmtId="10" fontId="44" fillId="32" borderId="18" xfId="123" applyNumberFormat="1" applyFont="1" applyFill="1" applyBorder="1" applyAlignment="1">
      <alignment horizontal="center"/>
    </xf>
    <xf numFmtId="164" fontId="44" fillId="32" borderId="18" xfId="121" applyNumberFormat="1" applyFont="1" applyFill="1" applyBorder="1"/>
    <xf numFmtId="2" fontId="44" fillId="32" borderId="18" xfId="121" applyNumberFormat="1" applyFont="1" applyFill="1" applyBorder="1"/>
    <xf numFmtId="164" fontId="41" fillId="32" borderId="19" xfId="121" applyNumberFormat="1" applyFont="1" applyFill="1" applyBorder="1"/>
    <xf numFmtId="0" fontId="43" fillId="0" borderId="17" xfId="121" applyFont="1" applyBorder="1"/>
    <xf numFmtId="10" fontId="46" fillId="0" borderId="18" xfId="123" applyNumberFormat="1" applyFont="1" applyBorder="1" applyAlignment="1">
      <alignment horizontal="center"/>
    </xf>
    <xf numFmtId="164" fontId="46" fillId="0" borderId="18" xfId="121" applyNumberFormat="1" applyFont="1" applyBorder="1"/>
    <xf numFmtId="2" fontId="46" fillId="0" borderId="18" xfId="121" applyNumberFormat="1" applyFont="1" applyFill="1" applyBorder="1"/>
    <xf numFmtId="164" fontId="43" fillId="0" borderId="19" xfId="121" applyNumberFormat="1" applyFont="1" applyBorder="1"/>
    <xf numFmtId="0" fontId="2" fillId="0" borderId="1" xfId="0" applyFont="1" applyBorder="1"/>
    <xf numFmtId="10" fontId="2" fillId="0" borderId="2" xfId="3" applyNumberFormat="1" applyFont="1" applyBorder="1"/>
    <xf numFmtId="164" fontId="45" fillId="32" borderId="0" xfId="121" applyNumberFormat="1" applyFont="1" applyFill="1" applyBorder="1" applyAlignment="1">
      <alignment horizontal="center"/>
    </xf>
    <xf numFmtId="164" fontId="45" fillId="32" borderId="0" xfId="121" applyNumberFormat="1" applyFont="1" applyFill="1" applyBorder="1"/>
    <xf numFmtId="2" fontId="45" fillId="32" borderId="0" xfId="121" applyNumberFormat="1" applyFont="1" applyFill="1" applyBorder="1"/>
    <xf numFmtId="164" fontId="41" fillId="32" borderId="4" xfId="121" applyNumberFormat="1" applyFont="1" applyFill="1" applyBorder="1"/>
    <xf numFmtId="164" fontId="40" fillId="0" borderId="0" xfId="121" applyNumberFormat="1" applyFont="1" applyBorder="1" applyAlignment="1">
      <alignment horizontal="center"/>
    </xf>
    <xf numFmtId="164" fontId="40" fillId="0" borderId="0" xfId="121" applyNumberFormat="1" applyFont="1" applyBorder="1"/>
    <xf numFmtId="2" fontId="40" fillId="0" borderId="0" xfId="121" applyNumberFormat="1" applyFont="1" applyFill="1" applyBorder="1"/>
    <xf numFmtId="164" fontId="43" fillId="0" borderId="4" xfId="121" applyNumberFormat="1" applyFont="1" applyBorder="1"/>
    <xf numFmtId="0" fontId="44" fillId="32" borderId="5" xfId="121" applyFont="1" applyFill="1" applyBorder="1"/>
    <xf numFmtId="10" fontId="44" fillId="32" borderId="0" xfId="121" applyNumberFormat="1" applyFont="1" applyFill="1" applyBorder="1" applyAlignment="1">
      <alignment horizontal="center"/>
    </xf>
    <xf numFmtId="164" fontId="44" fillId="32" borderId="0" xfId="121" applyNumberFormat="1" applyFont="1" applyFill="1" applyBorder="1"/>
    <xf numFmtId="2" fontId="44" fillId="32" borderId="0" xfId="121" applyNumberFormat="1" applyFont="1" applyFill="1" applyBorder="1"/>
    <xf numFmtId="164" fontId="44" fillId="32" borderId="4" xfId="121" applyNumberFormat="1" applyFont="1" applyFill="1" applyBorder="1"/>
    <xf numFmtId="0" fontId="46" fillId="0" borderId="5" xfId="121" applyFont="1" applyBorder="1"/>
    <xf numFmtId="10" fontId="46" fillId="0" borderId="0" xfId="121" applyNumberFormat="1" applyFont="1" applyFill="1" applyBorder="1" applyAlignment="1">
      <alignment horizontal="center"/>
    </xf>
    <xf numFmtId="170" fontId="46" fillId="0" borderId="0" xfId="2" applyNumberFormat="1" applyFont="1" applyBorder="1"/>
    <xf numFmtId="2" fontId="46" fillId="0" borderId="0" xfId="121" applyNumberFormat="1" applyFont="1" applyFill="1" applyBorder="1"/>
    <xf numFmtId="164" fontId="46" fillId="0" borderId="4" xfId="121" applyNumberFormat="1" applyFont="1" applyBorder="1"/>
    <xf numFmtId="0" fontId="44" fillId="32" borderId="0" xfId="121" applyFont="1" applyFill="1" applyBorder="1" applyAlignment="1">
      <alignment horizontal="center"/>
    </xf>
    <xf numFmtId="0" fontId="44" fillId="32" borderId="0" xfId="121" applyFont="1" applyFill="1" applyBorder="1"/>
    <xf numFmtId="0" fontId="44" fillId="32" borderId="4" xfId="121" applyFont="1" applyFill="1" applyBorder="1"/>
    <xf numFmtId="0" fontId="46" fillId="0" borderId="0" xfId="121" applyFont="1" applyBorder="1" applyAlignment="1">
      <alignment horizontal="center"/>
    </xf>
    <xf numFmtId="0" fontId="46" fillId="0" borderId="0" xfId="121" applyFont="1" applyBorder="1"/>
    <xf numFmtId="0" fontId="46" fillId="0" borderId="4" xfId="121" applyFont="1" applyBorder="1"/>
    <xf numFmtId="0" fontId="44" fillId="32" borderId="27" xfId="121" applyFont="1" applyFill="1" applyBorder="1"/>
    <xf numFmtId="9" fontId="47" fillId="32" borderId="28" xfId="121" applyNumberFormat="1" applyFont="1" applyFill="1" applyBorder="1" applyAlignment="1">
      <alignment horizontal="center" vertical="center"/>
    </xf>
    <xf numFmtId="164" fontId="44" fillId="32" borderId="28" xfId="121" applyNumberFormat="1" applyFont="1" applyFill="1" applyBorder="1"/>
    <xf numFmtId="2" fontId="44" fillId="32" borderId="28" xfId="121" applyNumberFormat="1" applyFont="1" applyFill="1" applyBorder="1"/>
    <xf numFmtId="164" fontId="44" fillId="32" borderId="29" xfId="121" applyNumberFormat="1" applyFont="1" applyFill="1" applyBorder="1"/>
    <xf numFmtId="0" fontId="46" fillId="0" borderId="27" xfId="121" applyFont="1" applyBorder="1"/>
    <xf numFmtId="9" fontId="48" fillId="0" borderId="28" xfId="121" applyNumberFormat="1" applyFont="1" applyFill="1" applyBorder="1" applyAlignment="1">
      <alignment horizontal="center" vertical="center"/>
    </xf>
    <xf numFmtId="164" fontId="46" fillId="0" borderId="28" xfId="121" applyNumberFormat="1" applyFont="1" applyBorder="1"/>
    <xf numFmtId="2" fontId="46" fillId="0" borderId="28" xfId="121" applyNumberFormat="1" applyFont="1" applyFill="1" applyBorder="1"/>
    <xf numFmtId="164" fontId="46" fillId="0" borderId="29" xfId="121" applyNumberFormat="1" applyFont="1" applyBorder="1"/>
    <xf numFmtId="0" fontId="42" fillId="32" borderId="47" xfId="121" applyFont="1" applyFill="1" applyBorder="1" applyAlignment="1"/>
    <xf numFmtId="10" fontId="45" fillId="32" borderId="48" xfId="121" applyNumberFormat="1" applyFont="1" applyFill="1" applyBorder="1" applyAlignment="1">
      <alignment horizontal="center"/>
    </xf>
    <xf numFmtId="2" fontId="44" fillId="32" borderId="48" xfId="121" applyNumberFormat="1" applyFont="1" applyFill="1" applyBorder="1"/>
    <xf numFmtId="3" fontId="41" fillId="32" borderId="48" xfId="121" applyNumberFormat="1" applyFont="1" applyFill="1" applyBorder="1"/>
    <xf numFmtId="164" fontId="41" fillId="32" borderId="49" xfId="121" applyNumberFormat="1" applyFont="1" applyFill="1" applyBorder="1"/>
    <xf numFmtId="0" fontId="39" fillId="0" borderId="47" xfId="121" applyFont="1" applyBorder="1" applyAlignment="1"/>
    <xf numFmtId="10" fontId="40" fillId="0" borderId="48" xfId="121" applyNumberFormat="1" applyFont="1" applyBorder="1" applyAlignment="1">
      <alignment horizontal="center"/>
    </xf>
    <xf numFmtId="2" fontId="46" fillId="0" borderId="48" xfId="121" applyNumberFormat="1" applyFont="1" applyBorder="1"/>
    <xf numFmtId="3" fontId="43" fillId="0" borderId="48" xfId="121" applyNumberFormat="1" applyFont="1" applyFill="1" applyBorder="1"/>
    <xf numFmtId="164" fontId="43" fillId="0" borderId="49" xfId="121" applyNumberFormat="1" applyFont="1" applyBorder="1"/>
    <xf numFmtId="9" fontId="42" fillId="32" borderId="0" xfId="121" applyNumberFormat="1" applyFont="1" applyFill="1" applyBorder="1" applyAlignment="1">
      <alignment horizontal="center"/>
    </xf>
    <xf numFmtId="3" fontId="41" fillId="32" borderId="0" xfId="121" applyNumberFormat="1" applyFont="1" applyFill="1" applyBorder="1"/>
    <xf numFmtId="9" fontId="39" fillId="0" borderId="0" xfId="121" applyNumberFormat="1" applyFont="1" applyBorder="1" applyAlignment="1">
      <alignment horizontal="center"/>
    </xf>
    <xf numFmtId="2" fontId="46" fillId="0" borderId="0" xfId="121" applyNumberFormat="1" applyFont="1" applyBorder="1"/>
    <xf numFmtId="3" fontId="43" fillId="0" borderId="0" xfId="121" applyNumberFormat="1" applyFont="1" applyFill="1" applyBorder="1"/>
    <xf numFmtId="171" fontId="41" fillId="32" borderId="4" xfId="121" applyNumberFormat="1" applyFont="1" applyFill="1" applyBorder="1"/>
    <xf numFmtId="0" fontId="49" fillId="0" borderId="5" xfId="121" applyFont="1" applyBorder="1"/>
    <xf numFmtId="10" fontId="50" fillId="0" borderId="0" xfId="121" applyNumberFormat="1" applyFont="1" applyBorder="1" applyAlignment="1">
      <alignment horizontal="center"/>
    </xf>
    <xf numFmtId="10" fontId="42" fillId="32" borderId="0" xfId="121" applyNumberFormat="1" applyFont="1" applyFill="1" applyBorder="1" applyAlignment="1">
      <alignment horizontal="center"/>
    </xf>
    <xf numFmtId="171" fontId="43" fillId="0" borderId="4" xfId="121" applyNumberFormat="1" applyFont="1" applyBorder="1"/>
    <xf numFmtId="167" fontId="41" fillId="32" borderId="50" xfId="121" applyNumberFormat="1" applyFont="1" applyFill="1" applyBorder="1"/>
    <xf numFmtId="167" fontId="41" fillId="32" borderId="51" xfId="121" applyNumberFormat="1" applyFont="1" applyFill="1" applyBorder="1"/>
    <xf numFmtId="167" fontId="42" fillId="32" borderId="51" xfId="121" applyNumberFormat="1" applyFont="1" applyFill="1" applyBorder="1"/>
    <xf numFmtId="167" fontId="41" fillId="32" borderId="52" xfId="121" applyNumberFormat="1" applyFont="1" applyFill="1" applyBorder="1"/>
    <xf numFmtId="43" fontId="0" fillId="0" borderId="0" xfId="1" applyFont="1"/>
    <xf numFmtId="167" fontId="43" fillId="6" borderId="50" xfId="121" applyNumberFormat="1" applyFont="1" applyFill="1" applyBorder="1"/>
    <xf numFmtId="172" fontId="43" fillId="6" borderId="51" xfId="1" applyNumberFormat="1" applyFont="1" applyFill="1" applyBorder="1"/>
    <xf numFmtId="167" fontId="39" fillId="6" borderId="51" xfId="121" applyNumberFormat="1" applyFont="1" applyFill="1" applyBorder="1"/>
    <xf numFmtId="167" fontId="43" fillId="6" borderId="51" xfId="121" applyNumberFormat="1" applyFont="1" applyFill="1" applyBorder="1"/>
    <xf numFmtId="167" fontId="43" fillId="6" borderId="52" xfId="121" applyNumberFormat="1" applyFont="1" applyFill="1" applyBorder="1"/>
    <xf numFmtId="0" fontId="44" fillId="32" borderId="53" xfId="121" applyFont="1" applyFill="1" applyBorder="1"/>
    <xf numFmtId="0" fontId="44" fillId="32" borderId="54" xfId="121" applyFont="1" applyFill="1" applyBorder="1"/>
    <xf numFmtId="39" fontId="45" fillId="32" borderId="46" xfId="121" applyNumberFormat="1" applyFont="1" applyFill="1" applyBorder="1"/>
    <xf numFmtId="0" fontId="46" fillId="0" borderId="53" xfId="121" applyFont="1" applyFill="1" applyBorder="1"/>
    <xf numFmtId="0" fontId="46" fillId="0" borderId="54" xfId="121" applyFont="1" applyBorder="1"/>
    <xf numFmtId="39" fontId="40" fillId="6" borderId="46" xfId="121" applyNumberFormat="1" applyFont="1" applyFill="1" applyBorder="1"/>
    <xf numFmtId="0" fontId="45" fillId="32" borderId="55" xfId="0" applyFont="1" applyFill="1" applyBorder="1"/>
    <xf numFmtId="0" fontId="42" fillId="32" borderId="18" xfId="0" applyFont="1" applyFill="1" applyBorder="1"/>
    <xf numFmtId="10" fontId="45" fillId="32" borderId="18" xfId="0" applyNumberFormat="1" applyFont="1" applyFill="1" applyBorder="1"/>
    <xf numFmtId="168" fontId="0" fillId="32" borderId="56" xfId="0" applyNumberFormat="1" applyFill="1" applyBorder="1"/>
    <xf numFmtId="0" fontId="45" fillId="32" borderId="18" xfId="0" applyFont="1" applyFill="1" applyBorder="1"/>
    <xf numFmtId="10" fontId="45" fillId="32" borderId="18" xfId="3" applyNumberFormat="1" applyFont="1" applyFill="1" applyBorder="1"/>
    <xf numFmtId="0" fontId="34" fillId="0" borderId="5" xfId="0" applyFont="1" applyBorder="1"/>
    <xf numFmtId="38" fontId="40" fillId="0" borderId="0" xfId="121" applyNumberFormat="1" applyFont="1" applyBorder="1" applyAlignment="1"/>
    <xf numFmtId="38" fontId="46" fillId="0" borderId="0" xfId="121" applyNumberFormat="1" applyFont="1" applyBorder="1"/>
    <xf numFmtId="38" fontId="40" fillId="0" borderId="0" xfId="121" applyNumberFormat="1" applyFont="1" applyBorder="1"/>
    <xf numFmtId="44" fontId="0" fillId="0" borderId="0" xfId="2" applyFont="1"/>
    <xf numFmtId="170" fontId="0" fillId="0" borderId="0" xfId="2" applyNumberFormat="1" applyFont="1"/>
    <xf numFmtId="168" fontId="0" fillId="0" borderId="0" xfId="0" applyNumberFormat="1"/>
    <xf numFmtId="10" fontId="0" fillId="0" borderId="0" xfId="3" applyNumberFormat="1" applyFont="1"/>
    <xf numFmtId="0" fontId="34" fillId="0" borderId="2" xfId="0" applyFont="1" applyBorder="1"/>
    <xf numFmtId="0" fontId="34" fillId="0" borderId="3" xfId="0" applyFont="1" applyBorder="1"/>
    <xf numFmtId="0" fontId="39" fillId="0" borderId="58" xfId="121" applyFont="1" applyBorder="1"/>
    <xf numFmtId="164" fontId="43" fillId="6" borderId="59" xfId="121" applyNumberFormat="1" applyFont="1" applyFill="1" applyBorder="1" applyAlignment="1">
      <alignment horizontal="center"/>
    </xf>
    <xf numFmtId="0" fontId="34" fillId="0" borderId="59" xfId="0" applyFont="1" applyBorder="1"/>
    <xf numFmtId="0" fontId="34" fillId="0" borderId="23" xfId="0" applyFont="1" applyBorder="1"/>
    <xf numFmtId="0" fontId="4" fillId="0" borderId="1" xfId="121" applyFont="1" applyBorder="1"/>
    <xf numFmtId="0" fontId="40" fillId="0" borderId="2" xfId="121" applyFont="1" applyBorder="1"/>
    <xf numFmtId="0" fontId="2" fillId="0" borderId="2" xfId="0" applyFont="1" applyBorder="1"/>
    <xf numFmtId="0" fontId="0" fillId="0" borderId="0" xfId="0" applyFill="1"/>
    <xf numFmtId="10" fontId="39" fillId="0" borderId="2" xfId="0" applyNumberFormat="1" applyFont="1" applyFill="1" applyBorder="1"/>
    <xf numFmtId="168" fontId="51" fillId="32" borderId="56" xfId="0" applyNumberFormat="1" applyFont="1" applyFill="1" applyBorder="1"/>
    <xf numFmtId="168" fontId="39" fillId="3" borderId="3" xfId="0" applyNumberFormat="1" applyFont="1" applyFill="1" applyBorder="1"/>
    <xf numFmtId="173" fontId="52" fillId="0" borderId="0" xfId="0" applyNumberFormat="1" applyFont="1" applyAlignment="1">
      <alignment horizontal="left"/>
    </xf>
    <xf numFmtId="0" fontId="4" fillId="32" borderId="0" xfId="0" applyFont="1" applyFill="1"/>
    <xf numFmtId="0" fontId="42" fillId="32" borderId="6" xfId="0" applyFont="1" applyFill="1" applyBorder="1" applyAlignment="1">
      <alignment horizontal="right"/>
    </xf>
    <xf numFmtId="0" fontId="45" fillId="32" borderId="24" xfId="0" applyFont="1" applyFill="1" applyBorder="1"/>
    <xf numFmtId="0" fontId="45" fillId="32" borderId="7" xfId="0" applyFont="1" applyFill="1" applyBorder="1"/>
    <xf numFmtId="0" fontId="45" fillId="0" borderId="0" xfId="0" applyFont="1" applyFill="1" applyBorder="1"/>
    <xf numFmtId="0" fontId="53" fillId="34" borderId="6" xfId="0" applyFont="1" applyFill="1" applyBorder="1" applyAlignment="1">
      <alignment horizontal="center"/>
    </xf>
    <xf numFmtId="0" fontId="42" fillId="34" borderId="24" xfId="0" applyFont="1" applyFill="1" applyBorder="1"/>
    <xf numFmtId="0" fontId="3" fillId="33" borderId="24" xfId="0" applyFont="1" applyFill="1" applyBorder="1"/>
    <xf numFmtId="0" fontId="0" fillId="33" borderId="24" xfId="0" applyFill="1" applyBorder="1"/>
    <xf numFmtId="0" fontId="3" fillId="33" borderId="7" xfId="0" applyFont="1" applyFill="1" applyBorder="1"/>
    <xf numFmtId="0" fontId="45" fillId="32" borderId="5" xfId="0" applyFont="1" applyFill="1" applyBorder="1"/>
    <xf numFmtId="0" fontId="45" fillId="32" borderId="0" xfId="0" applyFont="1" applyFill="1" applyBorder="1"/>
    <xf numFmtId="0" fontId="45" fillId="32" borderId="4" xfId="0" applyFont="1" applyFill="1" applyBorder="1"/>
    <xf numFmtId="0" fontId="4" fillId="0" borderId="5" xfId="0" applyFont="1" applyBorder="1"/>
    <xf numFmtId="0" fontId="45" fillId="0" borderId="0" xfId="0" applyFont="1" applyBorder="1"/>
    <xf numFmtId="0" fontId="3" fillId="0" borderId="0" xfId="0" applyFont="1" applyBorder="1"/>
    <xf numFmtId="0" fontId="3" fillId="0" borderId="4" xfId="0" applyFont="1" applyBorder="1"/>
    <xf numFmtId="0" fontId="42" fillId="32" borderId="0" xfId="0" applyFont="1" applyFill="1" applyBorder="1"/>
    <xf numFmtId="0" fontId="42" fillId="32" borderId="4" xfId="0" applyFont="1" applyFill="1" applyBorder="1"/>
    <xf numFmtId="0" fontId="42" fillId="0" borderId="0" xfId="0" applyFont="1" applyFill="1" applyBorder="1"/>
    <xf numFmtId="0" fontId="42" fillId="0" borderId="0" xfId="0" applyFont="1" applyBorder="1"/>
    <xf numFmtId="0" fontId="42" fillId="0" borderId="4" xfId="0" applyFont="1" applyBorder="1"/>
    <xf numFmtId="171" fontId="45" fillId="32" borderId="0" xfId="0" applyNumberFormat="1" applyFont="1" applyFill="1" applyBorder="1"/>
    <xf numFmtId="171" fontId="45" fillId="32" borderId="4" xfId="0" applyNumberFormat="1" applyFont="1" applyFill="1" applyBorder="1"/>
    <xf numFmtId="171" fontId="45" fillId="0" borderId="0" xfId="0" applyNumberFormat="1" applyFont="1" applyFill="1" applyBorder="1"/>
    <xf numFmtId="171" fontId="45" fillId="0" borderId="0" xfId="0" applyNumberFormat="1" applyFont="1" applyBorder="1"/>
    <xf numFmtId="168" fontId="45" fillId="0" borderId="4" xfId="0" applyNumberFormat="1" applyFont="1" applyBorder="1"/>
    <xf numFmtId="171" fontId="45" fillId="0" borderId="4" xfId="0" applyNumberFormat="1" applyFont="1" applyBorder="1"/>
    <xf numFmtId="0" fontId="42" fillId="32" borderId="17" xfId="0" applyFont="1" applyFill="1" applyBorder="1"/>
    <xf numFmtId="2" fontId="45" fillId="32" borderId="18" xfId="0" applyNumberFormat="1" applyFont="1" applyFill="1" applyBorder="1"/>
    <xf numFmtId="171" fontId="45" fillId="32" borderId="19" xfId="0" applyNumberFormat="1" applyFont="1" applyFill="1" applyBorder="1"/>
    <xf numFmtId="171" fontId="0" fillId="0" borderId="0" xfId="0" applyNumberFormat="1"/>
    <xf numFmtId="0" fontId="42" fillId="0" borderId="17" xfId="0" applyFont="1" applyBorder="1"/>
    <xf numFmtId="0" fontId="45" fillId="0" borderId="18" xfId="0" applyFont="1" applyBorder="1"/>
    <xf numFmtId="2" fontId="45" fillId="0" borderId="18" xfId="0" applyNumberFormat="1" applyFont="1" applyBorder="1"/>
    <xf numFmtId="171" fontId="45" fillId="0" borderId="19" xfId="0" applyNumberFormat="1" applyFont="1" applyBorder="1"/>
    <xf numFmtId="0" fontId="45" fillId="0" borderId="5" xfId="0" applyFont="1" applyBorder="1"/>
    <xf numFmtId="0" fontId="45" fillId="0" borderId="4" xfId="0" applyFont="1" applyBorder="1"/>
    <xf numFmtId="9" fontId="45" fillId="32" borderId="0" xfId="0" applyNumberFormat="1" applyFont="1" applyFill="1" applyBorder="1"/>
    <xf numFmtId="9" fontId="45" fillId="0" borderId="0" xfId="0" applyNumberFormat="1" applyFont="1" applyBorder="1"/>
    <xf numFmtId="0" fontId="45" fillId="32" borderId="0" xfId="0" applyFont="1" applyFill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4" fillId="32" borderId="5" xfId="0" applyFont="1" applyFill="1" applyBorder="1"/>
    <xf numFmtId="0" fontId="44" fillId="0" borderId="5" xfId="0" applyFont="1" applyBorder="1"/>
    <xf numFmtId="170" fontId="45" fillId="0" borderId="0" xfId="2" applyNumberFormat="1" applyFont="1" applyBorder="1"/>
    <xf numFmtId="170" fontId="45" fillId="0" borderId="0" xfId="0" applyNumberFormat="1" applyFont="1" applyBorder="1"/>
    <xf numFmtId="0" fontId="44" fillId="32" borderId="5" xfId="0" applyFont="1" applyFill="1" applyBorder="1" applyAlignment="1"/>
    <xf numFmtId="44" fontId="45" fillId="0" borderId="0" xfId="0" applyNumberFormat="1" applyFont="1" applyBorder="1"/>
    <xf numFmtId="168" fontId="45" fillId="32" borderId="0" xfId="0" applyNumberFormat="1" applyFont="1" applyFill="1" applyBorder="1"/>
    <xf numFmtId="164" fontId="44" fillId="0" borderId="0" xfId="0" applyNumberFormat="1" applyFont="1" applyFill="1" applyBorder="1"/>
    <xf numFmtId="168" fontId="45" fillId="0" borderId="0" xfId="0" applyNumberFormat="1" applyFont="1" applyBorder="1"/>
    <xf numFmtId="164" fontId="44" fillId="32" borderId="4" xfId="0" applyNumberFormat="1" applyFont="1" applyFill="1" applyBorder="1"/>
    <xf numFmtId="0" fontId="3" fillId="0" borderId="2" xfId="0" applyFont="1" applyBorder="1"/>
    <xf numFmtId="168" fontId="45" fillId="32" borderId="19" xfId="0" applyNumberFormat="1" applyFont="1" applyFill="1" applyBorder="1"/>
    <xf numFmtId="168" fontId="45" fillId="0" borderId="0" xfId="0" applyNumberFormat="1" applyFont="1" applyFill="1" applyBorder="1"/>
    <xf numFmtId="168" fontId="45" fillId="0" borderId="19" xfId="0" applyNumberFormat="1" applyFont="1" applyBorder="1"/>
    <xf numFmtId="10" fontId="45" fillId="32" borderId="0" xfId="3" applyNumberFormat="1" applyFont="1" applyFill="1" applyBorder="1"/>
    <xf numFmtId="168" fontId="45" fillId="32" borderId="4" xfId="0" applyNumberFormat="1" applyFont="1" applyFill="1" applyBorder="1"/>
    <xf numFmtId="10" fontId="45" fillId="0" borderId="0" xfId="0" applyNumberFormat="1" applyFont="1" applyBorder="1"/>
    <xf numFmtId="0" fontId="2" fillId="0" borderId="17" xfId="0" applyFont="1" applyBorder="1"/>
    <xf numFmtId="0" fontId="54" fillId="0" borderId="0" xfId="0" applyFont="1" applyBorder="1"/>
    <xf numFmtId="10" fontId="54" fillId="0" borderId="0" xfId="3" applyNumberFormat="1" applyFont="1" applyBorder="1"/>
    <xf numFmtId="168" fontId="54" fillId="0" borderId="4" xfId="0" applyNumberFormat="1" applyFont="1" applyBorder="1"/>
    <xf numFmtId="10" fontId="2" fillId="32" borderId="0" xfId="3" applyNumberFormat="1" applyFont="1" applyFill="1"/>
    <xf numFmtId="168" fontId="42" fillId="0" borderId="0" xfId="0" applyNumberFormat="1" applyFont="1" applyFill="1" applyBorder="1"/>
    <xf numFmtId="168" fontId="42" fillId="32" borderId="56" xfId="0" applyNumberFormat="1" applyFont="1" applyFill="1" applyBorder="1"/>
    <xf numFmtId="168" fontId="45" fillId="32" borderId="56" xfId="0" applyNumberFormat="1" applyFont="1" applyFill="1" applyBorder="1"/>
    <xf numFmtId="0" fontId="42" fillId="0" borderId="18" xfId="0" applyFont="1" applyBorder="1"/>
    <xf numFmtId="168" fontId="42" fillId="0" borderId="19" xfId="0" applyNumberFormat="1" applyFont="1" applyBorder="1"/>
    <xf numFmtId="168" fontId="55" fillId="0" borderId="0" xfId="0" applyNumberFormat="1" applyFont="1" applyFill="1" applyBorder="1"/>
    <xf numFmtId="0" fontId="45" fillId="29" borderId="17" xfId="0" applyFont="1" applyFill="1" applyBorder="1"/>
    <xf numFmtId="0" fontId="45" fillId="29" borderId="18" xfId="0" applyFont="1" applyFill="1" applyBorder="1"/>
    <xf numFmtId="10" fontId="45" fillId="29" borderId="18" xfId="0" applyNumberFormat="1" applyFont="1" applyFill="1" applyBorder="1"/>
    <xf numFmtId="168" fontId="45" fillId="29" borderId="19" xfId="0" applyNumberFormat="1" applyFont="1" applyFill="1" applyBorder="1"/>
    <xf numFmtId="0" fontId="45" fillId="29" borderId="60" xfId="0" applyFont="1" applyFill="1" applyBorder="1"/>
    <xf numFmtId="0" fontId="45" fillId="29" borderId="61" xfId="0" applyFont="1" applyFill="1" applyBorder="1"/>
    <xf numFmtId="10" fontId="45" fillId="29" borderId="61" xfId="0" applyNumberFormat="1" applyFont="1" applyFill="1" applyBorder="1"/>
    <xf numFmtId="168" fontId="45" fillId="29" borderId="62" xfId="0" applyNumberFormat="1" applyFont="1" applyFill="1" applyBorder="1"/>
    <xf numFmtId="0" fontId="45" fillId="3" borderId="60" xfId="0" applyFont="1" applyFill="1" applyBorder="1"/>
    <xf numFmtId="0" fontId="45" fillId="3" borderId="18" xfId="0" applyFont="1" applyFill="1" applyBorder="1"/>
    <xf numFmtId="0" fontId="45" fillId="3" borderId="61" xfId="0" applyFont="1" applyFill="1" applyBorder="1"/>
    <xf numFmtId="10" fontId="45" fillId="3" borderId="61" xfId="0" applyNumberFormat="1" applyFont="1" applyFill="1" applyBorder="1"/>
    <xf numFmtId="168" fontId="45" fillId="3" borderId="62" xfId="0" applyNumberFormat="1" applyFont="1" applyFill="1" applyBorder="1"/>
    <xf numFmtId="0" fontId="45" fillId="0" borderId="24" xfId="0" applyFont="1" applyBorder="1"/>
    <xf numFmtId="0" fontId="0" fillId="0" borderId="0" xfId="0" applyNumberFormat="1"/>
    <xf numFmtId="0" fontId="0" fillId="0" borderId="7" xfId="0" applyBorder="1"/>
    <xf numFmtId="0" fontId="0" fillId="0" borderId="25" xfId="0" applyBorder="1"/>
    <xf numFmtId="0" fontId="0" fillId="0" borderId="9" xfId="0" applyBorder="1"/>
    <xf numFmtId="170" fontId="0" fillId="35" borderId="0" xfId="0" applyNumberFormat="1" applyFill="1"/>
    <xf numFmtId="0" fontId="0" fillId="35" borderId="0" xfId="0" applyFill="1"/>
    <xf numFmtId="44" fontId="0" fillId="0" borderId="0" xfId="0" applyNumberFormat="1"/>
    <xf numFmtId="0" fontId="42" fillId="0" borderId="0" xfId="0" applyFont="1"/>
    <xf numFmtId="0" fontId="3" fillId="0" borderId="0" xfId="0" applyFont="1"/>
    <xf numFmtId="173" fontId="56" fillId="0" borderId="0" xfId="0" applyNumberFormat="1" applyFont="1" applyAlignment="1">
      <alignment horizontal="left"/>
    </xf>
    <xf numFmtId="0" fontId="34" fillId="0" borderId="0" xfId="0" applyFont="1" applyFill="1"/>
    <xf numFmtId="0" fontId="6" fillId="0" borderId="6" xfId="0" applyFont="1" applyFill="1" applyBorder="1"/>
    <xf numFmtId="0" fontId="6" fillId="0" borderId="24" xfId="0" applyFont="1" applyFill="1" applyBorder="1"/>
    <xf numFmtId="0" fontId="6" fillId="0" borderId="7" xfId="0" applyFont="1" applyFill="1" applyBorder="1"/>
    <xf numFmtId="0" fontId="6" fillId="0" borderId="4" xfId="0" applyFont="1" applyFill="1" applyBorder="1"/>
    <xf numFmtId="43" fontId="4" fillId="0" borderId="0" xfId="1" applyFont="1" applyFill="1" applyBorder="1"/>
    <xf numFmtId="171" fontId="6" fillId="0" borderId="5" xfId="0" applyNumberFormat="1" applyFont="1" applyFill="1" applyBorder="1"/>
    <xf numFmtId="171" fontId="6" fillId="0" borderId="0" xfId="0" applyNumberFormat="1" applyFont="1" applyFill="1" applyBorder="1"/>
    <xf numFmtId="43" fontId="6" fillId="0" borderId="0" xfId="1" applyFont="1" applyFill="1" applyBorder="1"/>
    <xf numFmtId="171" fontId="6" fillId="0" borderId="4" xfId="0" applyNumberFormat="1" applyFont="1" applyFill="1" applyBorder="1"/>
    <xf numFmtId="171" fontId="4" fillId="0" borderId="1" xfId="0" applyNumberFormat="1" applyFont="1" applyFill="1" applyBorder="1"/>
    <xf numFmtId="171" fontId="4" fillId="0" borderId="2" xfId="0" applyNumberFormat="1" applyFont="1" applyFill="1" applyBorder="1"/>
    <xf numFmtId="43" fontId="4" fillId="0" borderId="2" xfId="1" applyFont="1" applyFill="1" applyBorder="1"/>
    <xf numFmtId="171" fontId="4" fillId="0" borderId="3" xfId="0" applyNumberFormat="1" applyFont="1" applyFill="1" applyBorder="1"/>
    <xf numFmtId="9" fontId="6" fillId="0" borderId="0" xfId="3" applyFont="1" applyFill="1" applyBorder="1"/>
    <xf numFmtId="168" fontId="6" fillId="0" borderId="4" xfId="0" applyNumberFormat="1" applyFont="1" applyFill="1" applyBorder="1"/>
    <xf numFmtId="44" fontId="6" fillId="0" borderId="0" xfId="2" applyFont="1" applyFill="1" applyBorder="1"/>
    <xf numFmtId="164" fontId="9" fillId="0" borderId="5" xfId="0" applyNumberFormat="1" applyFont="1" applyFill="1" applyBorder="1"/>
    <xf numFmtId="164" fontId="9" fillId="0" borderId="0" xfId="0" applyNumberFormat="1" applyFont="1" applyFill="1" applyBorder="1"/>
    <xf numFmtId="43" fontId="9" fillId="0" borderId="0" xfId="1" applyFont="1" applyFill="1" applyBorder="1"/>
    <xf numFmtId="164" fontId="9" fillId="0" borderId="4" xfId="0" applyNumberFormat="1" applyFont="1" applyFill="1" applyBorder="1"/>
    <xf numFmtId="0" fontId="35" fillId="0" borderId="2" xfId="0" applyFont="1" applyBorder="1"/>
    <xf numFmtId="171" fontId="35" fillId="0" borderId="3" xfId="0" applyNumberFormat="1" applyFont="1" applyBorder="1"/>
    <xf numFmtId="168" fontId="6" fillId="0" borderId="1" xfId="0" applyNumberFormat="1" applyFont="1" applyFill="1" applyBorder="1"/>
    <xf numFmtId="168" fontId="6" fillId="0" borderId="2" xfId="0" applyNumberFormat="1" applyFont="1" applyFill="1" applyBorder="1"/>
    <xf numFmtId="43" fontId="6" fillId="0" borderId="2" xfId="1" applyFont="1" applyFill="1" applyBorder="1"/>
    <xf numFmtId="168" fontId="6" fillId="0" borderId="5" xfId="0" applyNumberFormat="1" applyFont="1" applyFill="1" applyBorder="1"/>
    <xf numFmtId="168" fontId="6" fillId="0" borderId="0" xfId="0" applyNumberFormat="1" applyFont="1" applyFill="1" applyBorder="1"/>
    <xf numFmtId="0" fontId="49" fillId="0" borderId="55" xfId="0" applyFont="1" applyBorder="1"/>
    <xf numFmtId="0" fontId="34" fillId="0" borderId="18" xfId="0" applyFont="1" applyBorder="1"/>
    <xf numFmtId="10" fontId="49" fillId="0" borderId="18" xfId="0" applyNumberFormat="1" applyFont="1" applyBorder="1"/>
    <xf numFmtId="0" fontId="49" fillId="0" borderId="18" xfId="0" applyFont="1" applyBorder="1"/>
    <xf numFmtId="168" fontId="49" fillId="0" borderId="56" xfId="0" applyNumberFormat="1" applyFont="1" applyBorder="1"/>
    <xf numFmtId="168" fontId="4" fillId="0" borderId="5" xfId="0" applyNumberFormat="1" applyFont="1" applyFill="1" applyBorder="1"/>
    <xf numFmtId="168" fontId="4" fillId="0" borderId="0" xfId="0" applyNumberFormat="1" applyFont="1" applyFill="1" applyBorder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3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6" fillId="0" borderId="24" xfId="0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68" fontId="55" fillId="32" borderId="56" xfId="0" applyNumberFormat="1" applyFont="1" applyFill="1" applyBorder="1"/>
    <xf numFmtId="168" fontId="4" fillId="0" borderId="8" xfId="0" applyNumberFormat="1" applyFont="1" applyFill="1" applyBorder="1"/>
    <xf numFmtId="168" fontId="4" fillId="0" borderId="25" xfId="0" applyNumberFormat="1" applyFont="1" applyFill="1" applyBorder="1"/>
    <xf numFmtId="0" fontId="42" fillId="0" borderId="0" xfId="0" applyFont="1" applyFill="1"/>
    <xf numFmtId="0" fontId="3" fillId="0" borderId="0" xfId="0" applyFont="1" applyFill="1"/>
    <xf numFmtId="6" fontId="45" fillId="0" borderId="0" xfId="0" applyNumberFormat="1" applyFont="1" applyFill="1"/>
    <xf numFmtId="6" fontId="0" fillId="0" borderId="0" xfId="0" applyNumberFormat="1" applyFill="1"/>
    <xf numFmtId="168" fontId="0" fillId="0" borderId="0" xfId="0" applyNumberFormat="1" applyFill="1"/>
    <xf numFmtId="0" fontId="0" fillId="0" borderId="0" xfId="0" applyFill="1" applyAlignment="1">
      <alignment wrapText="1"/>
    </xf>
    <xf numFmtId="171" fontId="1" fillId="0" borderId="0" xfId="2" applyNumberFormat="1" applyFont="1" applyBorder="1"/>
    <xf numFmtId="170" fontId="1" fillId="0" borderId="0" xfId="2" applyNumberFormat="1" applyFont="1" applyBorder="1"/>
    <xf numFmtId="44" fontId="1" fillId="0" borderId="0" xfId="2" applyFont="1" applyBorder="1"/>
    <xf numFmtId="0" fontId="0" fillId="0" borderId="57" xfId="0" applyBorder="1"/>
    <xf numFmtId="0" fontId="0" fillId="0" borderId="63" xfId="0" applyBorder="1"/>
    <xf numFmtId="168" fontId="0" fillId="0" borderId="42" xfId="0" applyNumberFormat="1" applyBorder="1"/>
    <xf numFmtId="168" fontId="0" fillId="0" borderId="57" xfId="0" applyNumberFormat="1" applyBorder="1" applyAlignment="1">
      <alignment horizontal="left"/>
    </xf>
    <xf numFmtId="0" fontId="3" fillId="0" borderId="1" xfId="0" applyFont="1" applyBorder="1"/>
    <xf numFmtId="17" fontId="3" fillId="0" borderId="2" xfId="0" applyNumberFormat="1" applyFont="1" applyBorder="1"/>
    <xf numFmtId="17" fontId="3" fillId="0" borderId="3" xfId="0" applyNumberFormat="1" applyFont="1" applyBorder="1" applyAlignment="1">
      <alignment horizontal="right"/>
    </xf>
    <xf numFmtId="0" fontId="39" fillId="0" borderId="0" xfId="0" applyFont="1"/>
    <xf numFmtId="0" fontId="39" fillId="0" borderId="6" xfId="0" applyFont="1" applyBorder="1" applyAlignment="1">
      <alignment horizontal="right"/>
    </xf>
    <xf numFmtId="0" fontId="39" fillId="0" borderId="5" xfId="0" applyFont="1" applyBorder="1"/>
    <xf numFmtId="0" fontId="39" fillId="0" borderId="0" xfId="0" applyFont="1" applyBorder="1"/>
    <xf numFmtId="0" fontId="39" fillId="0" borderId="4" xfId="0" applyFont="1" applyBorder="1"/>
    <xf numFmtId="171" fontId="45" fillId="32" borderId="0" xfId="0" applyNumberFormat="1" applyFont="1" applyFill="1" applyBorder="1" applyAlignment="1">
      <alignment horizontal="center"/>
    </xf>
    <xf numFmtId="40" fontId="45" fillId="32" borderId="0" xfId="0" applyNumberFormat="1" applyFont="1" applyFill="1" applyBorder="1"/>
    <xf numFmtId="0" fontId="40" fillId="0" borderId="5" xfId="0" applyFont="1" applyBorder="1"/>
    <xf numFmtId="171" fontId="40" fillId="0" borderId="0" xfId="0" applyNumberFormat="1" applyFont="1" applyBorder="1"/>
    <xf numFmtId="40" fontId="40" fillId="0" borderId="0" xfId="0" applyNumberFormat="1" applyFont="1" applyBorder="1"/>
    <xf numFmtId="171" fontId="40" fillId="0" borderId="4" xfId="0" applyNumberFormat="1" applyFont="1" applyBorder="1"/>
    <xf numFmtId="6" fontId="45" fillId="32" borderId="0" xfId="0" applyNumberFormat="1" applyFont="1" applyFill="1" applyBorder="1" applyAlignment="1">
      <alignment horizontal="center"/>
    </xf>
    <xf numFmtId="6" fontId="45" fillId="32" borderId="4" xfId="0" applyNumberFormat="1" applyFont="1" applyFill="1" applyBorder="1"/>
    <xf numFmtId="0" fontId="39" fillId="0" borderId="17" xfId="0" applyFont="1" applyBorder="1"/>
    <xf numFmtId="0" fontId="40" fillId="0" borderId="18" xfId="0" applyFont="1" applyBorder="1"/>
    <xf numFmtId="2" fontId="40" fillId="0" borderId="18" xfId="0" applyNumberFormat="1" applyFont="1" applyBorder="1"/>
    <xf numFmtId="168" fontId="40" fillId="0" borderId="19" xfId="0" applyNumberFormat="1" applyFont="1" applyBorder="1"/>
    <xf numFmtId="0" fontId="40" fillId="0" borderId="0" xfId="0" applyFont="1" applyBorder="1"/>
    <xf numFmtId="0" fontId="40" fillId="0" borderId="4" xfId="0" applyFont="1" applyBorder="1"/>
    <xf numFmtId="9" fontId="40" fillId="0" borderId="0" xfId="0" applyNumberFormat="1" applyFont="1" applyBorder="1"/>
    <xf numFmtId="0" fontId="46" fillId="0" borderId="5" xfId="0" applyFont="1" applyBorder="1"/>
    <xf numFmtId="168" fontId="40" fillId="0" borderId="0" xfId="0" applyNumberFormat="1" applyFont="1" applyBorder="1"/>
    <xf numFmtId="168" fontId="40" fillId="0" borderId="4" xfId="0" applyNumberFormat="1" applyFont="1" applyBorder="1"/>
    <xf numFmtId="0" fontId="49" fillId="0" borderId="5" xfId="0" applyFont="1" applyBorder="1"/>
    <xf numFmtId="10" fontId="49" fillId="0" borderId="0" xfId="0" applyNumberFormat="1" applyFont="1" applyBorder="1"/>
    <xf numFmtId="0" fontId="49" fillId="0" borderId="0" xfId="0" applyFont="1" applyBorder="1"/>
    <xf numFmtId="168" fontId="49" fillId="0" borderId="65" xfId="0" applyNumberFormat="1" applyFont="1" applyBorder="1"/>
    <xf numFmtId="10" fontId="45" fillId="32" borderId="0" xfId="0" applyNumberFormat="1" applyFont="1" applyFill="1" applyBorder="1"/>
    <xf numFmtId="0" fontId="39" fillId="0" borderId="27" xfId="0" applyFont="1" applyBorder="1"/>
    <xf numFmtId="10" fontId="39" fillId="0" borderId="28" xfId="0" applyNumberFormat="1" applyFont="1" applyBorder="1"/>
    <xf numFmtId="0" fontId="39" fillId="0" borderId="28" xfId="0" applyFont="1" applyBorder="1"/>
    <xf numFmtId="168" fontId="39" fillId="0" borderId="29" xfId="0" applyNumberFormat="1" applyFont="1" applyBorder="1"/>
    <xf numFmtId="0" fontId="42" fillId="32" borderId="55" xfId="0" applyFont="1" applyFill="1" applyBorder="1"/>
    <xf numFmtId="10" fontId="42" fillId="32" borderId="18" xfId="3" applyNumberFormat="1" applyFont="1" applyFill="1" applyBorder="1"/>
    <xf numFmtId="10" fontId="42" fillId="32" borderId="0" xfId="0" applyNumberFormat="1" applyFont="1" applyFill="1" applyBorder="1"/>
    <xf numFmtId="0" fontId="45" fillId="0" borderId="0" xfId="0" applyFont="1"/>
    <xf numFmtId="10" fontId="40" fillId="0" borderId="18" xfId="0" applyNumberFormat="1" applyFont="1" applyFill="1" applyBorder="1"/>
    <xf numFmtId="44" fontId="39" fillId="3" borderId="19" xfId="2" applyFont="1" applyFill="1" applyBorder="1"/>
    <xf numFmtId="168" fontId="45" fillId="0" borderId="0" xfId="0" applyNumberFormat="1" applyFont="1" applyFill="1"/>
    <xf numFmtId="0" fontId="45" fillId="0" borderId="0" xfId="0" applyFont="1" applyFill="1"/>
    <xf numFmtId="171" fontId="45" fillId="0" borderId="0" xfId="0" applyNumberFormat="1" applyFont="1" applyFill="1"/>
    <xf numFmtId="0" fontId="4" fillId="32" borderId="6" xfId="0" applyFont="1" applyFill="1" applyBorder="1"/>
    <xf numFmtId="0" fontId="4" fillId="32" borderId="24" xfId="0" applyFont="1" applyFill="1" applyBorder="1"/>
    <xf numFmtId="0" fontId="0" fillId="32" borderId="24" xfId="0" applyFill="1" applyBorder="1"/>
    <xf numFmtId="0" fontId="0" fillId="32" borderId="7" xfId="0" applyFill="1" applyBorder="1"/>
    <xf numFmtId="0" fontId="0" fillId="32" borderId="5" xfId="0" applyFill="1" applyBorder="1"/>
    <xf numFmtId="0" fontId="0" fillId="32" borderId="0" xfId="0" applyFill="1" applyBorder="1"/>
    <xf numFmtId="0" fontId="0" fillId="32" borderId="4" xfId="0" applyFill="1" applyBorder="1"/>
    <xf numFmtId="168" fontId="42" fillId="32" borderId="19" xfId="0" applyNumberFormat="1" applyFont="1" applyFill="1" applyBorder="1"/>
    <xf numFmtId="0" fontId="45" fillId="32" borderId="17" xfId="0" applyFont="1" applyFill="1" applyBorder="1"/>
    <xf numFmtId="168" fontId="42" fillId="32" borderId="4" xfId="0" applyNumberFormat="1" applyFont="1" applyFill="1" applyBorder="1"/>
    <xf numFmtId="0" fontId="45" fillId="32" borderId="60" xfId="0" applyFont="1" applyFill="1" applyBorder="1"/>
    <xf numFmtId="0" fontId="45" fillId="32" borderId="25" xfId="0" applyFont="1" applyFill="1" applyBorder="1"/>
    <xf numFmtId="10" fontId="45" fillId="32" borderId="25" xfId="0" applyNumberFormat="1" applyFont="1" applyFill="1" applyBorder="1"/>
    <xf numFmtId="168" fontId="55" fillId="3" borderId="9" xfId="0" applyNumberFormat="1" applyFont="1" applyFill="1" applyBorder="1"/>
    <xf numFmtId="1" fontId="34" fillId="0" borderId="67" xfId="0" applyNumberFormat="1" applyFont="1" applyBorder="1" applyAlignment="1">
      <alignment horizontal="center"/>
    </xf>
    <xf numFmtId="171" fontId="40" fillId="0" borderId="5" xfId="0" applyNumberFormat="1" applyFont="1" applyFill="1" applyBorder="1"/>
    <xf numFmtId="0" fontId="35" fillId="0" borderId="6" xfId="0" applyFont="1" applyBorder="1"/>
    <xf numFmtId="0" fontId="35" fillId="0" borderId="24" xfId="0" applyFont="1" applyBorder="1"/>
    <xf numFmtId="17" fontId="35" fillId="0" borderId="24" xfId="0" applyNumberFormat="1" applyFont="1" applyBorder="1"/>
    <xf numFmtId="17" fontId="35" fillId="0" borderId="7" xfId="0" applyNumberFormat="1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171" fontId="40" fillId="0" borderId="19" xfId="0" applyNumberFormat="1" applyFont="1" applyBorder="1"/>
    <xf numFmtId="168" fontId="49" fillId="0" borderId="4" xfId="0" applyNumberFormat="1" applyFont="1" applyBorder="1"/>
    <xf numFmtId="168" fontId="45" fillId="32" borderId="70" xfId="0" applyNumberFormat="1" applyFont="1" applyFill="1" applyBorder="1"/>
    <xf numFmtId="168" fontId="45" fillId="0" borderId="0" xfId="0" applyNumberFormat="1" applyFont="1"/>
    <xf numFmtId="0" fontId="40" fillId="0" borderId="53" xfId="0" applyFont="1" applyBorder="1"/>
    <xf numFmtId="10" fontId="40" fillId="0" borderId="54" xfId="0" applyNumberFormat="1" applyFont="1" applyBorder="1"/>
    <xf numFmtId="0" fontId="40" fillId="0" borderId="54" xfId="0" applyFont="1" applyBorder="1"/>
    <xf numFmtId="168" fontId="40" fillId="0" borderId="46" xfId="0" applyNumberFormat="1" applyFont="1" applyBorder="1"/>
    <xf numFmtId="175" fontId="42" fillId="0" borderId="0" xfId="0" applyNumberFormat="1" applyFont="1" applyFill="1" applyBorder="1"/>
    <xf numFmtId="0" fontId="54" fillId="0" borderId="0" xfId="0" applyFont="1" applyFill="1" applyBorder="1"/>
    <xf numFmtId="10" fontId="54" fillId="0" borderId="0" xfId="0" applyNumberFormat="1" applyFont="1" applyFill="1" applyBorder="1"/>
    <xf numFmtId="168" fontId="55" fillId="32" borderId="10" xfId="0" applyNumberFormat="1" applyFont="1" applyFill="1" applyBorder="1"/>
    <xf numFmtId="0" fontId="58" fillId="0" borderId="0" xfId="0" applyFont="1"/>
    <xf numFmtId="0" fontId="59" fillId="0" borderId="0" xfId="0" applyFont="1"/>
    <xf numFmtId="0" fontId="6" fillId="0" borderId="0" xfId="0" applyFont="1" applyBorder="1"/>
    <xf numFmtId="3" fontId="6" fillId="0" borderId="0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6" fillId="0" borderId="0" xfId="0" applyNumberFormat="1" applyFont="1" applyFill="1" applyBorder="1"/>
    <xf numFmtId="176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7" fontId="6" fillId="0" borderId="0" xfId="0" applyNumberFormat="1" applyFont="1" applyBorder="1"/>
    <xf numFmtId="168" fontId="6" fillId="0" borderId="0" xfId="0" applyNumberFormat="1" applyFont="1" applyBorder="1"/>
    <xf numFmtId="7" fontId="4" fillId="0" borderId="0" xfId="0" applyNumberFormat="1" applyFont="1" applyBorder="1"/>
    <xf numFmtId="0" fontId="6" fillId="0" borderId="17" xfId="0" applyFont="1" applyFill="1" applyBorder="1"/>
    <xf numFmtId="0" fontId="6" fillId="0" borderId="18" xfId="0" applyFont="1" applyFill="1" applyBorder="1" applyAlignment="1">
      <alignment horizontal="right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8" xfId="0" applyFont="1" applyFill="1" applyBorder="1"/>
    <xf numFmtId="0" fontId="6" fillId="0" borderId="75" xfId="0" applyFont="1" applyFill="1" applyBorder="1"/>
    <xf numFmtId="0" fontId="4" fillId="0" borderId="27" xfId="0" applyFont="1" applyFill="1" applyBorder="1" applyAlignment="1">
      <alignment horizontal="right"/>
    </xf>
    <xf numFmtId="0" fontId="6" fillId="0" borderId="28" xfId="0" applyFont="1" applyFill="1" applyBorder="1" applyAlignment="1">
      <alignment horizontal="right"/>
    </xf>
    <xf numFmtId="0" fontId="6" fillId="0" borderId="74" xfId="0" applyFont="1" applyFill="1" applyBorder="1"/>
    <xf numFmtId="0" fontId="6" fillId="0" borderId="5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left"/>
    </xf>
    <xf numFmtId="0" fontId="6" fillId="0" borderId="53" xfId="0" applyFont="1" applyFill="1" applyBorder="1" applyAlignment="1">
      <alignment vertical="center"/>
    </xf>
    <xf numFmtId="0" fontId="6" fillId="0" borderId="54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10" fontId="6" fillId="0" borderId="18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/>
    </xf>
    <xf numFmtId="10" fontId="6" fillId="0" borderId="0" xfId="0" applyNumberFormat="1" applyFont="1" applyFill="1" applyBorder="1" applyAlignment="1">
      <alignment horizontal="right"/>
    </xf>
    <xf numFmtId="0" fontId="6" fillId="0" borderId="30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right"/>
    </xf>
    <xf numFmtId="0" fontId="42" fillId="37" borderId="17" xfId="0" applyFont="1" applyFill="1" applyBorder="1" applyAlignment="1">
      <alignment horizontal="center" wrapText="1"/>
    </xf>
    <xf numFmtId="0" fontId="42" fillId="37" borderId="18" xfId="0" applyFont="1" applyFill="1" applyBorder="1" applyAlignment="1">
      <alignment horizontal="center" wrapText="1"/>
    </xf>
    <xf numFmtId="3" fontId="42" fillId="37" borderId="18" xfId="0" applyNumberFormat="1" applyFont="1" applyFill="1" applyBorder="1" applyAlignment="1">
      <alignment horizontal="center" wrapText="1"/>
    </xf>
    <xf numFmtId="0" fontId="42" fillId="37" borderId="42" xfId="0" applyFont="1" applyFill="1" applyBorder="1" applyAlignment="1">
      <alignment horizontal="center" wrapText="1"/>
    </xf>
    <xf numFmtId="0" fontId="61" fillId="0" borderId="0" xfId="0" applyFont="1"/>
    <xf numFmtId="168" fontId="6" fillId="0" borderId="16" xfId="0" applyNumberFormat="1" applyFont="1" applyFill="1" applyBorder="1" applyAlignment="1">
      <alignment horizontal="right"/>
    </xf>
    <xf numFmtId="168" fontId="6" fillId="0" borderId="75" xfId="0" applyNumberFormat="1" applyFont="1" applyFill="1" applyBorder="1"/>
    <xf numFmtId="168" fontId="6" fillId="0" borderId="76" xfId="0" applyNumberFormat="1" applyFont="1" applyFill="1" applyBorder="1" applyAlignment="1">
      <alignment horizontal="right"/>
    </xf>
    <xf numFmtId="168" fontId="6" fillId="0" borderId="28" xfId="0" applyNumberFormat="1" applyFont="1" applyFill="1" applyBorder="1"/>
    <xf numFmtId="168" fontId="4" fillId="0" borderId="28" xfId="0" applyNumberFormat="1" applyFont="1" applyFill="1" applyBorder="1"/>
    <xf numFmtId="168" fontId="4" fillId="0" borderId="73" xfId="0" applyNumberFormat="1" applyFont="1" applyFill="1" applyBorder="1" applyAlignment="1">
      <alignment horizontal="right"/>
    </xf>
    <xf numFmtId="168" fontId="6" fillId="0" borderId="28" xfId="0" applyNumberFormat="1" applyFont="1" applyFill="1" applyBorder="1" applyAlignment="1">
      <alignment horizontal="right"/>
    </xf>
    <xf numFmtId="168" fontId="6" fillId="0" borderId="18" xfId="0" applyNumberFormat="1" applyFont="1" applyFill="1" applyBorder="1" applyAlignment="1">
      <alignment horizontal="right"/>
    </xf>
    <xf numFmtId="168" fontId="6" fillId="0" borderId="42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>
      <alignment vertical="center"/>
    </xf>
    <xf numFmtId="168" fontId="6" fillId="0" borderId="16" xfId="0" applyNumberFormat="1" applyFont="1" applyFill="1" applyBorder="1" applyAlignment="1">
      <alignment horizontal="right" vertical="center"/>
    </xf>
    <xf numFmtId="168" fontId="6" fillId="0" borderId="54" xfId="0" applyNumberFormat="1" applyFont="1" applyFill="1" applyBorder="1"/>
    <xf numFmtId="168" fontId="6" fillId="0" borderId="54" xfId="0" applyNumberFormat="1" applyFont="1" applyFill="1" applyBorder="1" applyAlignment="1">
      <alignment vertical="center"/>
    </xf>
    <xf numFmtId="168" fontId="6" fillId="0" borderId="71" xfId="0" applyNumberFormat="1" applyFont="1" applyFill="1" applyBorder="1" applyAlignment="1">
      <alignment horizontal="right" vertical="center"/>
    </xf>
    <xf numFmtId="168" fontId="6" fillId="0" borderId="18" xfId="0" applyNumberFormat="1" applyFont="1" applyFill="1" applyBorder="1"/>
    <xf numFmtId="168" fontId="6" fillId="0" borderId="18" xfId="0" applyNumberFormat="1" applyFont="1" applyFill="1" applyBorder="1" applyAlignment="1">
      <alignment vertical="center"/>
    </xf>
    <xf numFmtId="168" fontId="6" fillId="0" borderId="42" xfId="0" applyNumberFormat="1" applyFont="1" applyFill="1" applyBorder="1" applyAlignment="1">
      <alignment horizontal="right" vertical="center"/>
    </xf>
    <xf numFmtId="168" fontId="6" fillId="0" borderId="72" xfId="0" applyNumberFormat="1" applyFont="1" applyFill="1" applyBorder="1" applyAlignment="1">
      <alignment horizontal="right" vertical="center"/>
    </xf>
    <xf numFmtId="168" fontId="6" fillId="0" borderId="73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/>
    </xf>
    <xf numFmtId="168" fontId="6" fillId="0" borderId="31" xfId="0" applyNumberFormat="1" applyFont="1" applyFill="1" applyBorder="1" applyAlignment="1">
      <alignment horizontal="right"/>
    </xf>
    <xf numFmtId="168" fontId="6" fillId="0" borderId="31" xfId="0" applyNumberFormat="1" applyFont="1" applyFill="1" applyBorder="1"/>
    <xf numFmtId="168" fontId="4" fillId="3" borderId="76" xfId="0" applyNumberFormat="1" applyFont="1" applyFill="1" applyBorder="1" applyAlignment="1">
      <alignment horizontal="right"/>
    </xf>
    <xf numFmtId="0" fontId="63" fillId="37" borderId="24" xfId="126" applyFont="1" applyFill="1" applyBorder="1"/>
    <xf numFmtId="0" fontId="7" fillId="37" borderId="7" xfId="126" applyFont="1" applyFill="1" applyBorder="1"/>
    <xf numFmtId="0" fontId="62" fillId="0" borderId="0" xfId="126"/>
    <xf numFmtId="0" fontId="7" fillId="37" borderId="0" xfId="126" applyFont="1" applyFill="1" applyBorder="1"/>
    <xf numFmtId="0" fontId="4" fillId="37" borderId="4" xfId="126" applyFont="1" applyFill="1" applyBorder="1"/>
    <xf numFmtId="0" fontId="64" fillId="37" borderId="25" xfId="126" applyFont="1" applyFill="1" applyBorder="1"/>
    <xf numFmtId="0" fontId="4" fillId="37" borderId="9" xfId="126" applyFont="1" applyFill="1" applyBorder="1"/>
    <xf numFmtId="0" fontId="4" fillId="0" borderId="0" xfId="126" applyFont="1"/>
    <xf numFmtId="0" fontId="65" fillId="38" borderId="0" xfId="87" applyFont="1" applyFill="1"/>
    <xf numFmtId="0" fontId="65" fillId="39" borderId="0" xfId="87" applyFont="1" applyFill="1"/>
    <xf numFmtId="0" fontId="65" fillId="40" borderId="0" xfId="87" applyFont="1" applyFill="1"/>
    <xf numFmtId="0" fontId="65" fillId="41" borderId="0" xfId="87" applyFont="1" applyFill="1"/>
    <xf numFmtId="0" fontId="65" fillId="42" borderId="0" xfId="87" applyFont="1" applyFill="1"/>
    <xf numFmtId="14" fontId="4" fillId="0" borderId="0" xfId="126" applyNumberFormat="1" applyFont="1"/>
    <xf numFmtId="177" fontId="62" fillId="0" borderId="0" xfId="126" applyNumberFormat="1"/>
    <xf numFmtId="0" fontId="4" fillId="0" borderId="0" xfId="82" applyFont="1"/>
    <xf numFmtId="0" fontId="6" fillId="0" borderId="0" xfId="82"/>
    <xf numFmtId="0" fontId="10" fillId="0" borderId="0" xfId="82" applyFont="1"/>
    <xf numFmtId="0" fontId="66" fillId="0" borderId="0" xfId="82" applyFont="1"/>
    <xf numFmtId="0" fontId="6" fillId="0" borderId="77" xfId="82" applyBorder="1"/>
    <xf numFmtId="0" fontId="6" fillId="0" borderId="54" xfId="82" applyBorder="1"/>
    <xf numFmtId="0" fontId="6" fillId="0" borderId="70" xfId="82" applyBorder="1"/>
    <xf numFmtId="0" fontId="6" fillId="0" borderId="14" xfId="82" applyBorder="1"/>
    <xf numFmtId="0" fontId="6" fillId="0" borderId="0" xfId="82" applyBorder="1" applyAlignment="1">
      <alignment horizontal="right"/>
    </xf>
    <xf numFmtId="0" fontId="6" fillId="0" borderId="0" xfId="82" applyBorder="1"/>
    <xf numFmtId="0" fontId="6" fillId="0" borderId="78" xfId="82" applyBorder="1"/>
    <xf numFmtId="0" fontId="67" fillId="0" borderId="78" xfId="82" applyFont="1" applyBorder="1" applyAlignment="1">
      <alignment horizontal="center"/>
    </xf>
    <xf numFmtId="177" fontId="62" fillId="0" borderId="0" xfId="126" applyNumberFormat="1" applyAlignment="1">
      <alignment horizontal="left"/>
    </xf>
    <xf numFmtId="177" fontId="6" fillId="0" borderId="78" xfId="82" applyNumberFormat="1" applyBorder="1" applyAlignment="1">
      <alignment horizontal="center"/>
    </xf>
    <xf numFmtId="0" fontId="6" fillId="0" borderId="78" xfId="82" applyBorder="1" applyAlignment="1">
      <alignment horizontal="center"/>
    </xf>
    <xf numFmtId="14" fontId="4" fillId="0" borderId="0" xfId="126" applyNumberFormat="1" applyFont="1" applyAlignment="1">
      <alignment horizontal="right"/>
    </xf>
    <xf numFmtId="0" fontId="4" fillId="3" borderId="0" xfId="82" applyFont="1" applyFill="1" applyBorder="1" applyAlignment="1">
      <alignment horizontal="right"/>
    </xf>
    <xf numFmtId="10" fontId="4" fillId="3" borderId="78" xfId="95" applyNumberFormat="1" applyFont="1" applyFill="1" applyBorder="1" applyAlignment="1">
      <alignment horizontal="center"/>
    </xf>
    <xf numFmtId="0" fontId="6" fillId="0" borderId="79" xfId="82" applyBorder="1"/>
    <xf numFmtId="0" fontId="6" fillId="0" borderId="28" xfId="82" applyBorder="1"/>
    <xf numFmtId="0" fontId="6" fillId="0" borderId="80" xfId="82" applyBorder="1"/>
    <xf numFmtId="0" fontId="54" fillId="0" borderId="54" xfId="0" applyFont="1" applyFill="1" applyBorder="1"/>
    <xf numFmtId="0" fontId="63" fillId="37" borderId="24" xfId="127" applyFont="1" applyFill="1" applyBorder="1"/>
    <xf numFmtId="0" fontId="7" fillId="37" borderId="7" xfId="127" applyFont="1" applyFill="1" applyBorder="1"/>
    <xf numFmtId="0" fontId="6" fillId="0" borderId="0" xfId="127"/>
    <xf numFmtId="0" fontId="7" fillId="37" borderId="0" xfId="127" applyFont="1" applyFill="1" applyBorder="1"/>
    <xf numFmtId="0" fontId="4" fillId="37" borderId="4" xfId="127" applyFont="1" applyFill="1" applyBorder="1"/>
    <xf numFmtId="0" fontId="64" fillId="37" borderId="25" xfId="127" applyFont="1" applyFill="1" applyBorder="1"/>
    <xf numFmtId="0" fontId="4" fillId="37" borderId="9" xfId="127" applyFont="1" applyFill="1" applyBorder="1"/>
    <xf numFmtId="0" fontId="4" fillId="0" borderId="0" xfId="127" applyFont="1"/>
    <xf numFmtId="0" fontId="65" fillId="0" borderId="0" xfId="87" applyFont="1" applyFill="1"/>
    <xf numFmtId="0" fontId="65" fillId="43" borderId="0" xfId="87" applyFont="1" applyFill="1"/>
    <xf numFmtId="0" fontId="65" fillId="44" borderId="0" xfId="87" applyFont="1" applyFill="1"/>
    <xf numFmtId="14" fontId="4" fillId="0" borderId="0" xfId="127" applyNumberFormat="1" applyFont="1"/>
    <xf numFmtId="177" fontId="6" fillId="0" borderId="0" xfId="127" applyNumberFormat="1"/>
    <xf numFmtId="2" fontId="6" fillId="0" borderId="0" xfId="127" applyNumberFormat="1"/>
    <xf numFmtId="165" fontId="6" fillId="0" borderId="0" xfId="127" applyNumberFormat="1"/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44" fontId="34" fillId="0" borderId="4" xfId="2" applyNumberFormat="1" applyFont="1" applyBorder="1"/>
    <xf numFmtId="0" fontId="34" fillId="0" borderId="15" xfId="0" applyFont="1" applyBorder="1"/>
    <xf numFmtId="0" fontId="34" fillId="0" borderId="8" xfId="0" applyFont="1" applyBorder="1"/>
    <xf numFmtId="0" fontId="34" fillId="0" borderId="25" xfId="0" applyFont="1" applyBorder="1"/>
    <xf numFmtId="44" fontId="34" fillId="0" borderId="0" xfId="2" applyNumberFormat="1" applyFont="1" applyBorder="1"/>
    <xf numFmtId="0" fontId="34" fillId="0" borderId="82" xfId="0" applyFont="1" applyBorder="1"/>
    <xf numFmtId="0" fontId="34" fillId="0" borderId="0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49" fillId="0" borderId="15" xfId="0" applyFont="1" applyBorder="1"/>
    <xf numFmtId="0" fontId="68" fillId="0" borderId="21" xfId="0" applyFont="1" applyBorder="1"/>
    <xf numFmtId="0" fontId="0" fillId="32" borderId="1" xfId="0" applyFill="1" applyBorder="1"/>
    <xf numFmtId="10" fontId="0" fillId="32" borderId="2" xfId="0" applyNumberFormat="1" applyFill="1" applyBorder="1" applyAlignment="1">
      <alignment horizontal="center"/>
    </xf>
    <xf numFmtId="0" fontId="0" fillId="32" borderId="26" xfId="0" applyFill="1" applyBorder="1"/>
    <xf numFmtId="0" fontId="0" fillId="32" borderId="2" xfId="0" applyFill="1" applyBorder="1"/>
    <xf numFmtId="0" fontId="0" fillId="32" borderId="3" xfId="0" applyFill="1" applyBorder="1"/>
    <xf numFmtId="0" fontId="69" fillId="0" borderId="2" xfId="0" applyFont="1" applyBorder="1"/>
    <xf numFmtId="0" fontId="70" fillId="0" borderId="1" xfId="0" applyFont="1" applyFill="1" applyBorder="1"/>
    <xf numFmtId="10" fontId="70" fillId="0" borderId="2" xfId="0" applyNumberFormat="1" applyFont="1" applyBorder="1" applyAlignment="1">
      <alignment horizontal="center"/>
    </xf>
    <xf numFmtId="0" fontId="70" fillId="0" borderId="26" xfId="0" applyFont="1" applyBorder="1"/>
    <xf numFmtId="10" fontId="2" fillId="0" borderId="2" xfId="0" applyNumberFormat="1" applyFont="1" applyBorder="1" applyAlignment="1">
      <alignment horizontal="center"/>
    </xf>
    <xf numFmtId="0" fontId="6" fillId="0" borderId="0" xfId="121" applyFont="1"/>
    <xf numFmtId="0" fontId="34" fillId="0" borderId="5" xfId="0" applyFont="1" applyFill="1" applyBorder="1"/>
    <xf numFmtId="170" fontId="34" fillId="0" borderId="0" xfId="2" applyNumberFormat="1" applyFont="1" applyFill="1" applyBorder="1"/>
    <xf numFmtId="0" fontId="34" fillId="0" borderId="0" xfId="0" applyFont="1" applyFill="1" applyBorder="1"/>
    <xf numFmtId="0" fontId="34" fillId="0" borderId="4" xfId="0" applyFont="1" applyFill="1" applyBorder="1"/>
    <xf numFmtId="164" fontId="34" fillId="0" borderId="5" xfId="0" applyNumberFormat="1" applyFont="1" applyFill="1" applyBorder="1"/>
    <xf numFmtId="0" fontId="34" fillId="0" borderId="6" xfId="0" applyFont="1" applyBorder="1"/>
    <xf numFmtId="9" fontId="34" fillId="0" borderId="24" xfId="3" applyNumberFormat="1" applyFont="1" applyBorder="1"/>
    <xf numFmtId="9" fontId="34" fillId="0" borderId="0" xfId="3" applyNumberFormat="1" applyFont="1" applyBorder="1"/>
    <xf numFmtId="10" fontId="49" fillId="0" borderId="0" xfId="3" applyNumberFormat="1" applyFont="1" applyBorder="1"/>
    <xf numFmtId="0" fontId="34" fillId="0" borderId="9" xfId="0" applyFont="1" applyBorder="1"/>
    <xf numFmtId="170" fontId="34" fillId="0" borderId="0" xfId="2" applyNumberFormat="1" applyFont="1"/>
    <xf numFmtId="9" fontId="34" fillId="0" borderId="0" xfId="3" applyFont="1"/>
    <xf numFmtId="168" fontId="34" fillId="0" borderId="0" xfId="0" applyNumberFormat="1" applyFont="1"/>
    <xf numFmtId="0" fontId="68" fillId="0" borderId="8" xfId="0" applyFont="1" applyBorder="1"/>
    <xf numFmtId="10" fontId="68" fillId="0" borderId="25" xfId="3" applyNumberFormat="1" applyFont="1" applyBorder="1"/>
    <xf numFmtId="0" fontId="68" fillId="0" borderId="25" xfId="0" applyFont="1" applyBorder="1"/>
    <xf numFmtId="0" fontId="72" fillId="0" borderId="1" xfId="0" applyFont="1" applyFill="1" applyBorder="1"/>
    <xf numFmtId="0" fontId="72" fillId="0" borderId="2" xfId="0" applyFont="1" applyFill="1" applyBorder="1"/>
    <xf numFmtId="10" fontId="72" fillId="0" borderId="2" xfId="0" applyNumberFormat="1" applyFont="1" applyFill="1" applyBorder="1"/>
    <xf numFmtId="0" fontId="70" fillId="0" borderId="1" xfId="0" applyFont="1" applyBorder="1"/>
    <xf numFmtId="10" fontId="70" fillId="0" borderId="2" xfId="3" applyNumberFormat="1" applyFont="1" applyBorder="1"/>
    <xf numFmtId="0" fontId="70" fillId="0" borderId="2" xfId="0" applyFont="1" applyBorder="1"/>
    <xf numFmtId="168" fontId="73" fillId="0" borderId="5" xfId="0" applyNumberFormat="1" applyFont="1" applyFill="1" applyBorder="1"/>
    <xf numFmtId="168" fontId="73" fillId="0" borderId="0" xfId="0" applyNumberFormat="1" applyFont="1" applyFill="1" applyBorder="1"/>
    <xf numFmtId="10" fontId="73" fillId="0" borderId="0" xfId="3" applyNumberFormat="1" applyFont="1" applyFill="1" applyBorder="1"/>
    <xf numFmtId="10" fontId="68" fillId="0" borderId="2" xfId="0" applyNumberFormat="1" applyFont="1" applyFill="1" applyBorder="1"/>
    <xf numFmtId="0" fontId="68" fillId="0" borderId="17" xfId="0" applyFont="1" applyFill="1" applyBorder="1"/>
    <xf numFmtId="10" fontId="68" fillId="0" borderId="18" xfId="0" applyNumberFormat="1" applyFont="1" applyFill="1" applyBorder="1"/>
    <xf numFmtId="170" fontId="34" fillId="0" borderId="0" xfId="2" applyNumberFormat="1" applyFont="1" applyBorder="1"/>
    <xf numFmtId="170" fontId="34" fillId="0" borderId="4" xfId="2" applyNumberFormat="1" applyFont="1" applyBorder="1"/>
    <xf numFmtId="170" fontId="34" fillId="0" borderId="3" xfId="2" applyNumberFormat="1" applyFont="1" applyBorder="1"/>
    <xf numFmtId="9" fontId="34" fillId="0" borderId="0" xfId="0" applyNumberFormat="1" applyFont="1" applyBorder="1"/>
    <xf numFmtId="9" fontId="34" fillId="0" borderId="24" xfId="0" applyNumberFormat="1" applyFont="1" applyBorder="1"/>
    <xf numFmtId="170" fontId="34" fillId="0" borderId="7" xfId="2" applyNumberFormat="1" applyFont="1" applyBorder="1"/>
    <xf numFmtId="0" fontId="49" fillId="0" borderId="8" xfId="0" applyFont="1" applyBorder="1"/>
    <xf numFmtId="10" fontId="49" fillId="0" borderId="25" xfId="0" applyNumberFormat="1" applyFont="1" applyBorder="1"/>
    <xf numFmtId="170" fontId="34" fillId="0" borderId="9" xfId="2" applyNumberFormat="1" applyFont="1" applyBorder="1"/>
    <xf numFmtId="0" fontId="34" fillId="0" borderId="75" xfId="0" applyFont="1" applyBorder="1"/>
    <xf numFmtId="170" fontId="34" fillId="0" borderId="65" xfId="2" applyNumberFormat="1" applyFont="1" applyBorder="1"/>
    <xf numFmtId="0" fontId="34" fillId="3" borderId="8" xfId="0" applyFont="1" applyFill="1" applyBorder="1"/>
    <xf numFmtId="44" fontId="34" fillId="0" borderId="7" xfId="2" applyNumberFormat="1" applyFont="1" applyBorder="1"/>
    <xf numFmtId="0" fontId="34" fillId="3" borderId="25" xfId="0" applyFont="1" applyFill="1" applyBorder="1"/>
    <xf numFmtId="44" fontId="34" fillId="3" borderId="9" xfId="2" applyFont="1" applyFill="1" applyBorder="1"/>
    <xf numFmtId="44" fontId="34" fillId="0" borderId="0" xfId="2" applyFont="1"/>
    <xf numFmtId="170" fontId="34" fillId="0" borderId="12" xfId="2" applyNumberFormat="1" applyFont="1" applyBorder="1"/>
    <xf numFmtId="170" fontId="34" fillId="0" borderId="15" xfId="2" applyNumberFormat="1" applyFont="1" applyBorder="1"/>
    <xf numFmtId="170" fontId="34" fillId="0" borderId="21" xfId="2" applyNumberFormat="1" applyFont="1" applyBorder="1"/>
    <xf numFmtId="0" fontId="49" fillId="0" borderId="4" xfId="0" applyFont="1" applyBorder="1"/>
    <xf numFmtId="0" fontId="68" fillId="0" borderId="9" xfId="0" applyFont="1" applyBorder="1"/>
    <xf numFmtId="10" fontId="34" fillId="0" borderId="15" xfId="3" applyNumberFormat="1" applyFont="1" applyBorder="1"/>
    <xf numFmtId="10" fontId="49" fillId="0" borderId="15" xfId="3" applyNumberFormat="1" applyFont="1" applyBorder="1"/>
    <xf numFmtId="10" fontId="68" fillId="0" borderId="21" xfId="0" applyNumberFormat="1" applyFont="1" applyBorder="1"/>
    <xf numFmtId="0" fontId="34" fillId="0" borderId="8" xfId="0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44" fontId="34" fillId="0" borderId="4" xfId="2" applyFont="1" applyBorder="1"/>
    <xf numFmtId="44" fontId="34" fillId="0" borderId="9" xfId="2" applyFont="1" applyBorder="1"/>
    <xf numFmtId="44" fontId="34" fillId="0" borderId="12" xfId="2" applyFont="1" applyBorder="1"/>
    <xf numFmtId="44" fontId="34" fillId="0" borderId="15" xfId="2" applyFont="1" applyBorder="1"/>
    <xf numFmtId="44" fontId="34" fillId="0" borderId="21" xfId="2" applyFont="1" applyBorder="1"/>
    <xf numFmtId="10" fontId="34" fillId="0" borderId="0" xfId="0" applyNumberFormat="1" applyFont="1" applyBorder="1"/>
    <xf numFmtId="10" fontId="68" fillId="0" borderId="25" xfId="0" applyNumberFormat="1" applyFont="1" applyBorder="1"/>
    <xf numFmtId="0" fontId="68" fillId="0" borderId="74" xfId="0" applyFont="1" applyBorder="1"/>
    <xf numFmtId="10" fontId="68" fillId="0" borderId="75" xfId="0" applyNumberFormat="1" applyFont="1" applyBorder="1"/>
    <xf numFmtId="0" fontId="71" fillId="0" borderId="0" xfId="0" applyFont="1"/>
    <xf numFmtId="170" fontId="0" fillId="0" borderId="0" xfId="0" applyNumberFormat="1" applyBorder="1"/>
    <xf numFmtId="0" fontId="49" fillId="0" borderId="1" xfId="0" applyFont="1" applyBorder="1"/>
    <xf numFmtId="10" fontId="49" fillId="0" borderId="2" xfId="3" applyNumberFormat="1" applyFont="1" applyBorder="1"/>
    <xf numFmtId="0" fontId="49" fillId="0" borderId="2" xfId="0" applyFont="1" applyBorder="1"/>
    <xf numFmtId="10" fontId="34" fillId="0" borderId="0" xfId="3" applyNumberFormat="1" applyFont="1" applyFill="1"/>
    <xf numFmtId="168" fontId="34" fillId="0" borderId="44" xfId="0" applyNumberFormat="1" applyFont="1" applyBorder="1" applyAlignment="1">
      <alignment horizontal="left"/>
    </xf>
    <xf numFmtId="44" fontId="34" fillId="0" borderId="45" xfId="2" applyFont="1" applyFill="1" applyBorder="1"/>
    <xf numFmtId="168" fontId="34" fillId="0" borderId="57" xfId="0" applyNumberFormat="1" applyFont="1" applyBorder="1" applyAlignment="1">
      <alignment horizontal="left"/>
    </xf>
    <xf numFmtId="168" fontId="34" fillId="0" borderId="64" xfId="0" applyNumberFormat="1" applyFont="1" applyBorder="1" applyAlignment="1">
      <alignment horizontal="left"/>
    </xf>
    <xf numFmtId="171" fontId="34" fillId="0" borderId="5" xfId="0" applyNumberFormat="1" applyFont="1" applyBorder="1"/>
    <xf numFmtId="0" fontId="68" fillId="0" borderId="1" xfId="0" applyFont="1" applyBorder="1"/>
    <xf numFmtId="10" fontId="68" fillId="0" borderId="2" xfId="3" applyNumberFormat="1" applyFont="1" applyBorder="1"/>
    <xf numFmtId="0" fontId="68" fillId="0" borderId="2" xfId="0" applyFont="1" applyBorder="1"/>
    <xf numFmtId="174" fontId="34" fillId="0" borderId="0" xfId="0" applyNumberFormat="1" applyFont="1"/>
    <xf numFmtId="2" fontId="34" fillId="0" borderId="0" xfId="0" applyNumberFormat="1" applyFont="1" applyBorder="1"/>
    <xf numFmtId="170" fontId="34" fillId="0" borderId="0" xfId="0" applyNumberFormat="1" applyFont="1" applyBorder="1"/>
    <xf numFmtId="0" fontId="34" fillId="0" borderId="27" xfId="0" applyFont="1" applyBorder="1"/>
    <xf numFmtId="2" fontId="34" fillId="0" borderId="28" xfId="0" applyNumberFormat="1" applyFont="1" applyBorder="1"/>
    <xf numFmtId="170" fontId="34" fillId="0" borderId="28" xfId="0" applyNumberFormat="1" applyFont="1" applyBorder="1"/>
    <xf numFmtId="0" fontId="34" fillId="0" borderId="28" xfId="0" applyFont="1" applyBorder="1"/>
    <xf numFmtId="170" fontId="34" fillId="0" borderId="29" xfId="2" applyNumberFormat="1" applyFont="1" applyBorder="1"/>
    <xf numFmtId="9" fontId="34" fillId="0" borderId="28" xfId="0" applyNumberFormat="1" applyFont="1" applyBorder="1"/>
    <xf numFmtId="0" fontId="35" fillId="0" borderId="5" xfId="0" applyFont="1" applyBorder="1"/>
    <xf numFmtId="0" fontId="35" fillId="0" borderId="0" xfId="0" applyFont="1" applyBorder="1"/>
    <xf numFmtId="170" fontId="35" fillId="0" borderId="4" xfId="2" applyNumberFormat="1" applyFont="1" applyBorder="1"/>
    <xf numFmtId="44" fontId="34" fillId="0" borderId="3" xfId="2" applyNumberFormat="1" applyFont="1" applyBorder="1"/>
    <xf numFmtId="2" fontId="34" fillId="0" borderId="24" xfId="0" applyNumberFormat="1" applyFont="1" applyBorder="1"/>
    <xf numFmtId="170" fontId="34" fillId="0" borderId="24" xfId="0" applyNumberFormat="1" applyFont="1" applyBorder="1"/>
    <xf numFmtId="170" fontId="34" fillId="0" borderId="9" xfId="0" applyNumberFormat="1" applyFont="1" applyBorder="1"/>
    <xf numFmtId="0" fontId="34" fillId="0" borderId="17" xfId="0" applyFont="1" applyBorder="1"/>
    <xf numFmtId="170" fontId="35" fillId="0" borderId="19" xfId="2" applyNumberFormat="1" applyFont="1" applyBorder="1"/>
    <xf numFmtId="17" fontId="35" fillId="0" borderId="0" xfId="0" applyNumberFormat="1" applyFont="1" applyBorder="1"/>
    <xf numFmtId="17" fontId="35" fillId="0" borderId="0" xfId="0" applyNumberFormat="1" applyFont="1" applyBorder="1" applyAlignment="1">
      <alignment horizontal="right"/>
    </xf>
    <xf numFmtId="168" fontId="34" fillId="0" borderId="0" xfId="0" applyNumberFormat="1" applyFont="1" applyBorder="1" applyAlignment="1">
      <alignment horizontal="left"/>
    </xf>
    <xf numFmtId="44" fontId="34" fillId="0" borderId="0" xfId="2" applyFont="1" applyFill="1" applyBorder="1"/>
    <xf numFmtId="0" fontId="34" fillId="0" borderId="0" xfId="0" applyFont="1" applyBorder="1" applyAlignment="1"/>
    <xf numFmtId="168" fontId="74" fillId="0" borderId="0" xfId="0" applyNumberFormat="1" applyFont="1" applyBorder="1"/>
    <xf numFmtId="10" fontId="74" fillId="0" borderId="0" xfId="3" applyNumberFormat="1" applyFont="1" applyBorder="1"/>
    <xf numFmtId="167" fontId="74" fillId="0" borderId="0" xfId="0" applyNumberFormat="1" applyFont="1" applyBorder="1"/>
    <xf numFmtId="2" fontId="74" fillId="4" borderId="0" xfId="0" applyNumberFormat="1" applyFont="1" applyFill="1" applyBorder="1"/>
    <xf numFmtId="10" fontId="34" fillId="0" borderId="0" xfId="0" applyNumberFormat="1" applyFont="1"/>
    <xf numFmtId="0" fontId="34" fillId="49" borderId="82" xfId="0" applyFont="1" applyFill="1" applyBorder="1"/>
    <xf numFmtId="170" fontId="34" fillId="49" borderId="15" xfId="2" applyNumberFormat="1" applyFont="1" applyFill="1" applyBorder="1"/>
    <xf numFmtId="0" fontId="34" fillId="33" borderId="82" xfId="0" applyFont="1" applyFill="1" applyBorder="1"/>
    <xf numFmtId="170" fontId="34" fillId="33" borderId="15" xfId="2" applyNumberFormat="1" applyFont="1" applyFill="1" applyBorder="1"/>
    <xf numFmtId="0" fontId="34" fillId="49" borderId="81" xfId="0" applyFont="1" applyFill="1" applyBorder="1"/>
    <xf numFmtId="170" fontId="34" fillId="49" borderId="12" xfId="2" applyNumberFormat="1" applyFont="1" applyFill="1" applyBorder="1"/>
    <xf numFmtId="0" fontId="34" fillId="50" borderId="82" xfId="0" applyFont="1" applyFill="1" applyBorder="1"/>
    <xf numFmtId="170" fontId="34" fillId="50" borderId="15" xfId="2" applyNumberFormat="1" applyFont="1" applyFill="1" applyBorder="1"/>
    <xf numFmtId="0" fontId="34" fillId="30" borderId="82" xfId="0" applyFont="1" applyFill="1" applyBorder="1"/>
    <xf numFmtId="170" fontId="34" fillId="30" borderId="15" xfId="2" applyNumberFormat="1" applyFont="1" applyFill="1" applyBorder="1"/>
    <xf numFmtId="170" fontId="34" fillId="30" borderId="21" xfId="2" applyNumberFormat="1" applyFont="1" applyFill="1" applyBorder="1"/>
    <xf numFmtId="0" fontId="34" fillId="30" borderId="83" xfId="0" applyFont="1" applyFill="1" applyBorder="1"/>
    <xf numFmtId="171" fontId="4" fillId="0" borderId="4" xfId="0" applyNumberFormat="1" applyFont="1" applyFill="1" applyBorder="1"/>
    <xf numFmtId="171" fontId="6" fillId="0" borderId="3" xfId="0" applyNumberFormat="1" applyFont="1" applyFill="1" applyBorder="1"/>
    <xf numFmtId="2" fontId="34" fillId="0" borderId="0" xfId="0" applyNumberFormat="1" applyFont="1" applyFill="1"/>
    <xf numFmtId="0" fontId="6" fillId="0" borderId="14" xfId="82" applyBorder="1" applyAlignment="1">
      <alignment horizontal="right"/>
    </xf>
    <xf numFmtId="0" fontId="6" fillId="0" borderId="0" xfId="82" applyBorder="1" applyAlignment="1">
      <alignment horizontal="right"/>
    </xf>
    <xf numFmtId="0" fontId="34" fillId="46" borderId="1" xfId="0" applyFont="1" applyFill="1" applyBorder="1" applyAlignment="1">
      <alignment horizontal="center"/>
    </xf>
    <xf numFmtId="0" fontId="34" fillId="46" borderId="2" xfId="0" applyFont="1" applyFill="1" applyBorder="1" applyAlignment="1">
      <alignment horizontal="center"/>
    </xf>
    <xf numFmtId="0" fontId="34" fillId="46" borderId="3" xfId="0" applyFont="1" applyFill="1" applyBorder="1" applyAlignment="1">
      <alignment horizontal="center"/>
    </xf>
    <xf numFmtId="0" fontId="34" fillId="48" borderId="1" xfId="0" applyFont="1" applyFill="1" applyBorder="1" applyAlignment="1">
      <alignment horizontal="center"/>
    </xf>
    <xf numFmtId="0" fontId="34" fillId="48" borderId="2" xfId="0" applyFont="1" applyFill="1" applyBorder="1" applyAlignment="1">
      <alignment horizontal="center"/>
    </xf>
    <xf numFmtId="0" fontId="34" fillId="48" borderId="3" xfId="0" applyFont="1" applyFill="1" applyBorder="1" applyAlignment="1">
      <alignment horizontal="center"/>
    </xf>
    <xf numFmtId="0" fontId="34" fillId="47" borderId="1" xfId="0" applyFont="1" applyFill="1" applyBorder="1" applyAlignment="1">
      <alignment horizontal="center"/>
    </xf>
    <xf numFmtId="0" fontId="34" fillId="47" borderId="2" xfId="0" applyFont="1" applyFill="1" applyBorder="1" applyAlignment="1">
      <alignment horizontal="center"/>
    </xf>
    <xf numFmtId="0" fontId="34" fillId="47" borderId="3" xfId="0" applyFont="1" applyFill="1" applyBorder="1" applyAlignment="1">
      <alignment horizontal="center"/>
    </xf>
    <xf numFmtId="0" fontId="34" fillId="38" borderId="1" xfId="0" applyFont="1" applyFill="1" applyBorder="1" applyAlignment="1">
      <alignment horizontal="center"/>
    </xf>
    <xf numFmtId="0" fontId="34" fillId="38" borderId="2" xfId="0" applyFont="1" applyFill="1" applyBorder="1" applyAlignment="1">
      <alignment horizontal="center"/>
    </xf>
    <xf numFmtId="0" fontId="34" fillId="38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5" fillId="0" borderId="6" xfId="0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0" fontId="35" fillId="0" borderId="7" xfId="0" applyFont="1" applyFill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/>
    </xf>
    <xf numFmtId="0" fontId="57" fillId="0" borderId="3" xfId="0" applyFont="1" applyFill="1" applyBorder="1" applyAlignment="1">
      <alignment horizontal="center"/>
    </xf>
    <xf numFmtId="0" fontId="3" fillId="29" borderId="5" xfId="0" applyFont="1" applyFill="1" applyBorder="1" applyAlignment="1">
      <alignment horizontal="center"/>
    </xf>
    <xf numFmtId="0" fontId="3" fillId="29" borderId="0" xfId="0" applyFont="1" applyFill="1" applyBorder="1" applyAlignment="1">
      <alignment horizontal="center"/>
    </xf>
    <xf numFmtId="0" fontId="3" fillId="29" borderId="4" xfId="0" applyFont="1" applyFill="1" applyBorder="1" applyAlignment="1">
      <alignment horizontal="center"/>
    </xf>
    <xf numFmtId="0" fontId="3" fillId="29" borderId="6" xfId="0" applyFont="1" applyFill="1" applyBorder="1" applyAlignment="1">
      <alignment horizontal="center"/>
    </xf>
    <xf numFmtId="0" fontId="3" fillId="29" borderId="24" xfId="0" applyFont="1" applyFill="1" applyBorder="1" applyAlignment="1">
      <alignment horizontal="center"/>
    </xf>
    <xf numFmtId="0" fontId="3" fillId="29" borderId="7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5" fillId="29" borderId="1" xfId="0" applyFont="1" applyFill="1" applyBorder="1" applyAlignment="1">
      <alignment horizontal="center"/>
    </xf>
    <xf numFmtId="0" fontId="35" fillId="29" borderId="2" xfId="0" applyFont="1" applyFill="1" applyBorder="1" applyAlignment="1">
      <alignment horizontal="center"/>
    </xf>
    <xf numFmtId="0" fontId="35" fillId="29" borderId="3" xfId="0" applyFont="1" applyFill="1" applyBorder="1" applyAlignment="1">
      <alignment horizontal="center"/>
    </xf>
    <xf numFmtId="0" fontId="35" fillId="29" borderId="6" xfId="0" applyFont="1" applyFill="1" applyBorder="1" applyAlignment="1">
      <alignment horizontal="center"/>
    </xf>
    <xf numFmtId="0" fontId="35" fillId="29" borderId="24" xfId="0" applyFont="1" applyFill="1" applyBorder="1" applyAlignment="1">
      <alignment horizontal="center"/>
    </xf>
    <xf numFmtId="0" fontId="35" fillId="29" borderId="7" xfId="0" applyFont="1" applyFill="1" applyBorder="1" applyAlignment="1">
      <alignment horizontal="center"/>
    </xf>
    <xf numFmtId="0" fontId="34" fillId="0" borderId="63" xfId="0" applyFont="1" applyBorder="1" applyAlignment="1">
      <alignment horizontal="left"/>
    </xf>
    <xf numFmtId="0" fontId="34" fillId="0" borderId="57" xfId="0" applyFont="1" applyBorder="1" applyAlignment="1">
      <alignment horizontal="left"/>
    </xf>
    <xf numFmtId="0" fontId="34" fillId="0" borderId="17" xfId="0" applyFont="1" applyBorder="1" applyAlignment="1">
      <alignment horizontal="left"/>
    </xf>
    <xf numFmtId="0" fontId="34" fillId="0" borderId="56" xfId="0" applyFont="1" applyBorder="1" applyAlignment="1">
      <alignment horizontal="left"/>
    </xf>
    <xf numFmtId="0" fontId="34" fillId="0" borderId="43" xfId="0" applyFont="1" applyBorder="1" applyAlignment="1">
      <alignment horizontal="left"/>
    </xf>
    <xf numFmtId="0" fontId="34" fillId="0" borderId="68" xfId="0" applyFont="1" applyBorder="1" applyAlignment="1">
      <alignment horizontal="left"/>
    </xf>
    <xf numFmtId="0" fontId="34" fillId="0" borderId="60" xfId="0" applyFont="1" applyBorder="1" applyAlignment="1">
      <alignment horizontal="left"/>
    </xf>
    <xf numFmtId="0" fontId="34" fillId="0" borderId="69" xfId="0" applyFont="1" applyBorder="1" applyAlignment="1">
      <alignment horizontal="left"/>
    </xf>
    <xf numFmtId="0" fontId="39" fillId="0" borderId="43" xfId="0" applyFont="1" applyBorder="1" applyAlignment="1">
      <alignment horizontal="right"/>
    </xf>
    <xf numFmtId="0" fontId="39" fillId="0" borderId="66" xfId="0" applyFont="1" applyBorder="1" applyAlignment="1">
      <alignment horizontal="right"/>
    </xf>
    <xf numFmtId="0" fontId="7" fillId="36" borderId="6" xfId="0" applyFont="1" applyFill="1" applyBorder="1" applyAlignment="1">
      <alignment horizontal="center"/>
    </xf>
    <xf numFmtId="0" fontId="60" fillId="36" borderId="24" xfId="0" applyFont="1" applyFill="1" applyBorder="1" applyAlignment="1">
      <alignment horizontal="center"/>
    </xf>
    <xf numFmtId="0" fontId="60" fillId="36" borderId="7" xfId="0" applyFont="1" applyFill="1" applyBorder="1" applyAlignment="1">
      <alignment horizontal="center"/>
    </xf>
    <xf numFmtId="0" fontId="34" fillId="45" borderId="6" xfId="0" applyFont="1" applyFill="1" applyBorder="1" applyAlignment="1">
      <alignment horizontal="center"/>
    </xf>
    <xf numFmtId="0" fontId="34" fillId="45" borderId="24" xfId="0" applyFont="1" applyFill="1" applyBorder="1" applyAlignment="1">
      <alignment horizontal="center"/>
    </xf>
    <xf numFmtId="0" fontId="34" fillId="45" borderId="7" xfId="0" applyFont="1" applyFill="1" applyBorder="1" applyAlignment="1">
      <alignment horizontal="center"/>
    </xf>
  </cellXfs>
  <cellStyles count="130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112"/>
    <cellStyle name="Comma 2 2 2" xfId="113"/>
    <cellStyle name="Comma 3" xfId="32"/>
    <cellStyle name="Comma 3 2" xfId="33"/>
    <cellStyle name="Comma 3 3" xfId="34"/>
    <cellStyle name="Comma 4" xfId="35"/>
    <cellStyle name="Comma 4 2" xfId="36"/>
    <cellStyle name="Comma 5" xfId="37"/>
    <cellStyle name="Comma 6" xfId="38"/>
    <cellStyle name="Comma 6 2" xfId="39"/>
    <cellStyle name="Comma 7" xfId="40"/>
    <cellStyle name="Comma 7 2" xfId="114"/>
    <cellStyle name="Comma 8" xfId="41"/>
    <cellStyle name="Currency" xfId="2" builtinId="4"/>
    <cellStyle name="Currency [0] 2" xfId="42"/>
    <cellStyle name="Currency 2" xfId="43"/>
    <cellStyle name="Currency 2 2" xfId="44"/>
    <cellStyle name="Currency 2 3" xfId="45"/>
    <cellStyle name="Currency 2 4" xfId="115"/>
    <cellStyle name="Currency 2 4 2" xfId="116"/>
    <cellStyle name="Currency 3" xfId="46"/>
    <cellStyle name="Currency 3 2" xfId="47"/>
    <cellStyle name="Currency 3 3" xfId="48"/>
    <cellStyle name="Currency 4" xfId="49"/>
    <cellStyle name="Currency 4 2" xfId="50"/>
    <cellStyle name="Currency 4 2 2" xfId="51"/>
    <cellStyle name="Currency 4 3" xfId="52"/>
    <cellStyle name="Currency 4 4" xfId="53"/>
    <cellStyle name="Currency 5" xfId="54"/>
    <cellStyle name="Currency 5 2" xfId="55"/>
    <cellStyle name="Currency 5 3" xfId="56"/>
    <cellStyle name="Currency 6" xfId="57"/>
    <cellStyle name="Currency 6 2" xfId="117"/>
    <cellStyle name="Currency 7" xfId="58"/>
    <cellStyle name="Currency 8" xfId="59"/>
    <cellStyle name="Explanatory Text 2" xfId="60"/>
    <cellStyle name="Good 2" xfId="61"/>
    <cellStyle name="Heading 1 2" xfId="62"/>
    <cellStyle name="Heading 2 2" xfId="63"/>
    <cellStyle name="Heading 3 2" xfId="64"/>
    <cellStyle name="Heading 4 2" xfId="65"/>
    <cellStyle name="Input 2" xfId="66"/>
    <cellStyle name="Linked Cell 2" xfId="67"/>
    <cellStyle name="Neutral 2" xfId="68"/>
    <cellStyle name="Normal" xfId="0" builtinId="0"/>
    <cellStyle name="Normal 10" xfId="69"/>
    <cellStyle name="Normal 11" xfId="70"/>
    <cellStyle name="Normal 12" xfId="71"/>
    <cellStyle name="Normal 12 2" xfId="128"/>
    <cellStyle name="Normal 13" xfId="118"/>
    <cellStyle name="Normal 14" xfId="119"/>
    <cellStyle name="Normal 15" xfId="126"/>
    <cellStyle name="Normal 15 2" xfId="127"/>
    <cellStyle name="Normal 2" xfId="72"/>
    <cellStyle name="Normal 2 2" xfId="73"/>
    <cellStyle name="Normal 2 2 2" xfId="74"/>
    <cellStyle name="Normal 2 3" xfId="75"/>
    <cellStyle name="Normal 2 4" xfId="120"/>
    <cellStyle name="Normal 2 4 2" xfId="121"/>
    <cellStyle name="Normal 3" xfId="76"/>
    <cellStyle name="Normal 3 2" xfId="77"/>
    <cellStyle name="Normal 3 3" xfId="78"/>
    <cellStyle name="Normal 3 4" xfId="79"/>
    <cellStyle name="Normal 3 5" xfId="122"/>
    <cellStyle name="Normal 4" xfId="80"/>
    <cellStyle name="Normal 4 2" xfId="81"/>
    <cellStyle name="Normal 4 2 2" xfId="82"/>
    <cellStyle name="Normal 4 3" xfId="83"/>
    <cellStyle name="Normal 5" xfId="84"/>
    <cellStyle name="Normal 6" xfId="85"/>
    <cellStyle name="Normal 6 2" xfId="86"/>
    <cellStyle name="Normal 6 2 2" xfId="87"/>
    <cellStyle name="Normal 6 3" xfId="88"/>
    <cellStyle name="Normal 7" xfId="89"/>
    <cellStyle name="Normal 7 2" xfId="90"/>
    <cellStyle name="Normal 8" xfId="91"/>
    <cellStyle name="Normal 9" xfId="92"/>
    <cellStyle name="Note 2" xfId="93"/>
    <cellStyle name="Output 2" xfId="94"/>
    <cellStyle name="Percent" xfId="3" builtinId="5"/>
    <cellStyle name="Percent 2" xfId="95"/>
    <cellStyle name="Percent 2 2" xfId="96"/>
    <cellStyle name="Percent 2 3" xfId="123"/>
    <cellStyle name="Percent 3" xfId="97"/>
    <cellStyle name="Percent 3 2" xfId="98"/>
    <cellStyle name="Percent 4" xfId="99"/>
    <cellStyle name="Percent 4 2" xfId="100"/>
    <cellStyle name="Percent 5" xfId="101"/>
    <cellStyle name="Percent 5 2" xfId="102"/>
    <cellStyle name="Percent 6" xfId="103"/>
    <cellStyle name="Percent 6 2" xfId="104"/>
    <cellStyle name="Percent 6 3" xfId="105"/>
    <cellStyle name="Percent 7" xfId="106"/>
    <cellStyle name="Percent 8" xfId="107"/>
    <cellStyle name="Percent 9" xfId="108"/>
    <cellStyle name="Percent 9 2" xfId="129"/>
    <cellStyle name="Style 1" xfId="124"/>
    <cellStyle name="Style 2" xfId="125"/>
    <cellStyle name="Title 2" xfId="109"/>
    <cellStyle name="Total 2" xfId="110"/>
    <cellStyle name="Warning Text 2" xfId="1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Rate%20Setting/Rate%20Projects/Family%20Stab_/1.%20Strategy%20Team%20Materials/Rate%20Review/Archive/Agency%20With%20Choice-Family%20Navigation%2011-7-14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Rate%20Setting/Rate%20Projects/Family%20Stab-CMR%20414/Rate%20Review%20January%201,%202018/3.%20Proposal,%20Hearing%20&amp;%20Signoff/FOR%20WEBSITE/Family%20Stab%20All%20Model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Family%20Stab-CMR%20414/Rate%20Review%20Jan%201,%202020/1.%20Strategy%20Team%20Materials/Old/Family%20Stab%20DDS%20MCB%20MRC%20Models%201.24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rias/Local%20Settings/Temporary%20Internet%20Files/Content.Outlook/HI2EAXS5/Comprehensive%20Models%20final%20-%20testing%20some%20newer%20sal%20benchmark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Family%20Stab-CMR%20414/Rate%20Review%20January%201,%202018/1.%20Strategy%20Team%20Materials/Family%20Stab%20All%20Models%206-1-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Family%20Stab-CMR%20414/Rate%20Review%20Jan%201,%202020/1.%20Strategy%20Team%20Materials/Old/Family%20Stab%20DCF%20Models%201.24.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POS/Year%202%20Projects/Service%20Classes/Family%20Stabilization%20Services/Regulatory%20Process/DCF%20rates/1.%20Exec%20Comm%20Approval/Updated%20Version%209%207%2011%20DCF%20Discrete%20updated%20by%20grouping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POS/Year%202%20Projects/Service%20Classes/Family%20Stabilization%20Services/Regulatory%20Process/DCF%20rates/1.%20Exec%20Comm%20Approval/Updated%20Version%209%2015%2011%20DCF%20Discrete%20updated%20by%20grouping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Rate%20Setting/Rate%20Projects/Family%20Stab-CMR%20414/Rate%20Review%20January%201,%202018/3.%20Proposal,%20Hearing%20&amp;%20Signoff/FOR%20WEBSITE/2018%20DCF%20Mode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CleanData (2)"/>
      <sheetName val="RawDataCalcs (2)"/>
      <sheetName val="Lookups"/>
      <sheetName val="RawDataCalcs"/>
      <sheetName val="Source"/>
      <sheetName val="FICurrentRate"/>
      <sheetName val="Model Budget"/>
      <sheetName val="Worksheet"/>
      <sheetName val="FamStabSal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L16">
            <v>0</v>
          </cell>
          <cell r="M16">
            <v>1.2139698974996782E-2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17680</v>
          </cell>
          <cell r="AA16">
            <v>0</v>
          </cell>
          <cell r="AB16">
            <v>105576.11844574883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17680</v>
          </cell>
          <cell r="BE16">
            <v>0</v>
          </cell>
          <cell r="BF16">
            <v>0</v>
          </cell>
          <cell r="BG16">
            <v>0</v>
          </cell>
          <cell r="BH16">
            <v>17680</v>
          </cell>
          <cell r="BI16">
            <v>0</v>
          </cell>
          <cell r="BJ16">
            <v>0</v>
          </cell>
          <cell r="BK16">
            <v>0</v>
          </cell>
          <cell r="BL16">
            <v>17680</v>
          </cell>
          <cell r="BM16">
            <v>0</v>
          </cell>
          <cell r="BN16">
            <v>17680</v>
          </cell>
          <cell r="BO16">
            <v>0</v>
          </cell>
          <cell r="BP16">
            <v>0</v>
          </cell>
          <cell r="BQ16">
            <v>0</v>
          </cell>
          <cell r="BR16">
            <v>17680</v>
          </cell>
          <cell r="BS16">
            <v>17680</v>
          </cell>
          <cell r="BT16">
            <v>-39873.996502157926</v>
          </cell>
          <cell r="BU16">
            <v>6.2242076161676985E-2</v>
          </cell>
          <cell r="BV16">
            <v>-11.437455797342871</v>
          </cell>
          <cell r="BW16">
            <v>-39859.701549495061</v>
          </cell>
          <cell r="BX16">
            <v>0</v>
          </cell>
          <cell r="BY16">
            <v>-321.11111111111109</v>
          </cell>
          <cell r="BZ16">
            <v>-41042.440256691923</v>
          </cell>
          <cell r="CA16">
            <v>-251770.26943483832</v>
          </cell>
          <cell r="CB16">
            <v>8.8729109375923237E-2</v>
          </cell>
          <cell r="CC16">
            <v>-23544.303378043831</v>
          </cell>
          <cell r="CD16">
            <v>0</v>
          </cell>
          <cell r="CE16">
            <v>0</v>
          </cell>
          <cell r="CF16">
            <v>0</v>
          </cell>
          <cell r="CG16">
            <v>-159694.9032558178</v>
          </cell>
          <cell r="CH16">
            <v>-4130.6725103641575</v>
          </cell>
          <cell r="CI16">
            <v>-186781.66945053823</v>
          </cell>
          <cell r="CJ16">
            <v>-39859.701549495061</v>
          </cell>
          <cell r="CK16">
            <v>-25547.777777777781</v>
          </cell>
          <cell r="CL16">
            <v>-321.11111111111109</v>
          </cell>
          <cell r="CM16">
            <v>-6940</v>
          </cell>
          <cell r="CN16">
            <v>-41042.440256691923</v>
          </cell>
          <cell r="CO16">
            <v>-292811.73882543447</v>
          </cell>
          <cell r="CP16">
            <v>0.61656919283408007</v>
          </cell>
          <cell r="CQ16">
            <v>5.1803668216236075E-2</v>
          </cell>
          <cell r="CR16">
            <v>0</v>
          </cell>
          <cell r="CS16">
            <v>0</v>
          </cell>
          <cell r="CT16">
            <v>0</v>
          </cell>
          <cell r="CU16">
            <v>8.2503417604680995E-2</v>
          </cell>
          <cell r="CV16">
            <v>-136.37044168758831</v>
          </cell>
          <cell r="CW16">
            <v>-7.9673250520136634</v>
          </cell>
          <cell r="CX16">
            <v>-3.9756890410485179</v>
          </cell>
          <cell r="CY16">
            <v>-4.9970605526161088E-2</v>
          </cell>
          <cell r="CZ16">
            <v>-1.0799875505757857</v>
          </cell>
          <cell r="DA16">
            <v>-17.30948263843479</v>
          </cell>
          <cell r="DB16">
            <v>-163.89396590439674</v>
          </cell>
        </row>
        <row r="17">
          <cell r="L17">
            <v>13.715630301246565</v>
          </cell>
          <cell r="M17">
            <v>1.5606998071978428</v>
          </cell>
          <cell r="N17">
            <v>0.94922482111054507</v>
          </cell>
          <cell r="O17">
            <v>0</v>
          </cell>
          <cell r="P17">
            <v>0</v>
          </cell>
          <cell r="Q17">
            <v>0</v>
          </cell>
          <cell r="R17">
            <v>12.278325920854748</v>
          </cell>
          <cell r="S17">
            <v>0.26594159209584445</v>
          </cell>
          <cell r="T17">
            <v>9.3352270138168464E-2</v>
          </cell>
          <cell r="U17">
            <v>0</v>
          </cell>
          <cell r="V17">
            <v>0</v>
          </cell>
          <cell r="W17">
            <v>0</v>
          </cell>
          <cell r="X17">
            <v>3.5337729155301019</v>
          </cell>
          <cell r="Y17">
            <v>1.0843633294937423</v>
          </cell>
          <cell r="Z17">
            <v>635149.05965226574</v>
          </cell>
          <cell r="AA17">
            <v>0</v>
          </cell>
          <cell r="AB17">
            <v>289423.88155425119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95399.979722212971</v>
          </cell>
          <cell r="BE17">
            <v>0</v>
          </cell>
          <cell r="BF17">
            <v>0</v>
          </cell>
          <cell r="BG17">
            <v>0</v>
          </cell>
          <cell r="BH17">
            <v>149082.9837242121</v>
          </cell>
          <cell r="BI17">
            <v>0</v>
          </cell>
          <cell r="BJ17">
            <v>0</v>
          </cell>
          <cell r="BK17">
            <v>0</v>
          </cell>
          <cell r="BL17">
            <v>110054.81441723154</v>
          </cell>
          <cell r="BM17">
            <v>0</v>
          </cell>
          <cell r="BN17">
            <v>400007.34183446097</v>
          </cell>
          <cell r="BO17">
            <v>0</v>
          </cell>
          <cell r="BP17">
            <v>0</v>
          </cell>
          <cell r="BQ17">
            <v>0</v>
          </cell>
          <cell r="BR17">
            <v>87486.515622537816</v>
          </cell>
          <cell r="BS17">
            <v>149082.9837242121</v>
          </cell>
          <cell r="BT17">
            <v>64201.596502157932</v>
          </cell>
          <cell r="BU17">
            <v>0.23470344685741057</v>
          </cell>
          <cell r="BV17">
            <v>16.01243811628002</v>
          </cell>
          <cell r="BW17">
            <v>64179.066581320978</v>
          </cell>
          <cell r="BX17">
            <v>0</v>
          </cell>
          <cell r="BY17">
            <v>449.55555555555554</v>
          </cell>
          <cell r="BZ17">
            <v>58166.527683455301</v>
          </cell>
          <cell r="CA17">
            <v>358246.58334140829</v>
          </cell>
          <cell r="CB17">
            <v>0.18701432287169942</v>
          </cell>
          <cell r="CC17">
            <v>33444.303378043827</v>
          </cell>
          <cell r="CD17">
            <v>0</v>
          </cell>
          <cell r="CE17">
            <v>0</v>
          </cell>
          <cell r="CF17">
            <v>0</v>
          </cell>
          <cell r="CG17">
            <v>227049.79214470668</v>
          </cell>
          <cell r="CH17">
            <v>6717.7836214752688</v>
          </cell>
          <cell r="CI17">
            <v>266623.66945053823</v>
          </cell>
          <cell r="CJ17">
            <v>64179.066581320978</v>
          </cell>
          <cell r="CK17">
            <v>35766.888888888891</v>
          </cell>
          <cell r="CL17">
            <v>449.55555555555554</v>
          </cell>
          <cell r="CM17">
            <v>9716</v>
          </cell>
          <cell r="CN17">
            <v>58166.527683455301</v>
          </cell>
          <cell r="CO17">
            <v>416412.14015876781</v>
          </cell>
          <cell r="CP17">
            <v>0.87831108535723879</v>
          </cell>
          <cell r="CQ17">
            <v>0.16744893411282175</v>
          </cell>
          <cell r="CR17">
            <v>0</v>
          </cell>
          <cell r="CS17">
            <v>0</v>
          </cell>
          <cell r="CT17">
            <v>0</v>
          </cell>
          <cell r="CU17">
            <v>0.15916705613811943</v>
          </cell>
          <cell r="CV17">
            <v>243.99908573780101</v>
          </cell>
          <cell r="CW17">
            <v>32.103055682549908</v>
          </cell>
          <cell r="CX17">
            <v>5.5659646574679247</v>
          </cell>
          <cell r="CY17">
            <v>6.9958847736625515E-2</v>
          </cell>
          <cell r="CZ17">
            <v>1.5119825708061001</v>
          </cell>
          <cell r="DA17">
            <v>32.83724687471225</v>
          </cell>
          <cell r="DB17">
            <v>302.50137230893381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eview"/>
      <sheetName val="CAF Spring17"/>
      <sheetName val="AdultCompanion"/>
      <sheetName val="AutFamSup"/>
      <sheetName val="AWC Admin-Family Nav "/>
      <sheetName val="Aut-FamSupCtrs"/>
      <sheetName val="AWC Admin - Family Nav"/>
      <sheetName val="BehavioralSupport"/>
      <sheetName val="FamTrn PeerSup Respite"/>
      <sheetName val="Fin. Assistance Admin"/>
      <sheetName val="Med Complex "/>
      <sheetName val="Respite Caregiver Home"/>
      <sheetName val="Site Based Respite"/>
      <sheetName val="DCFClinicalComp"/>
      <sheetName val="Rates For Reg"/>
      <sheetName val="Specialty Family Skills Group"/>
      <sheetName val="Family Skills Dev Group"/>
      <sheetName val="Parent Skill Dev Group"/>
      <sheetName val="Ed Coordination"/>
      <sheetName val="DMH DYI Model"/>
      <sheetName val="DMH Fam Sys Int "/>
      <sheetName val="DMH Indiv Youth Support"/>
      <sheetName val="Facility Based Respite"/>
      <sheetName val="DMH IFFS"/>
    </sheetNames>
    <sheetDataSet>
      <sheetData sheetId="0"/>
      <sheetData sheetId="1">
        <row r="27">
          <cell r="BK27">
            <v>2.7235921972764018E-2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eview"/>
      <sheetName val="Fall 2018"/>
      <sheetName val="CAF Spring17"/>
      <sheetName val="AdultCompanion"/>
      <sheetName val="AutFamSup"/>
      <sheetName val="AWC Admin-Family Nav "/>
      <sheetName val="Aut-FamSupCtrs"/>
      <sheetName val="Aut-FamSupCtrs (2)"/>
      <sheetName val="AWC Admin - Family Nav"/>
      <sheetName val="BehavioralSupport"/>
      <sheetName val="FamTrn PeerSup Respite"/>
      <sheetName val="Fin. Assistance Admin"/>
      <sheetName val="Med Complex "/>
      <sheetName val="Respite Caregiver Home"/>
      <sheetName val="Site Based Respite"/>
      <sheetName val="DCFClinicalComp"/>
      <sheetName val="Specialty Family Skills Group"/>
      <sheetName val="Family Skills Dev Group"/>
      <sheetName val="Parent Skill Dev Group"/>
      <sheetName val="Ed Coordination"/>
      <sheetName val=" IFFS "/>
      <sheetName val="RATES"/>
      <sheetName val="FSTAB FY18 RAW Spend"/>
      <sheetName val="DMH DYI Model"/>
      <sheetName val="DMH Fam Sys Int "/>
      <sheetName val="DMH Indiv Youth Support"/>
      <sheetName val="Facility Based Respite"/>
      <sheetName val="DMH IFFS"/>
      <sheetName val="Activity Codes"/>
      <sheetName val="FSTAB SPEND"/>
      <sheetName val="Salary Compare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V12">
            <v>6.3E-3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tatus"/>
      <sheetName val="Models"/>
      <sheetName val="Crosswalk for Fiscal Impact"/>
      <sheetName val="3066 FNSS 09 UFR Data"/>
      <sheetName val="DCF Identified Comp. Programs"/>
      <sheetName val="Model A Direct Care"/>
      <sheetName val="Model B DC Clin Less Int"/>
      <sheetName val="Model C DC Clin More Int"/>
      <sheetName val="Model D Clin "/>
      <sheetName val="Model E DC Clin High Int."/>
      <sheetName val="Model F DC Clin Highest Int."/>
      <sheetName val="Model G DC CL Higher Int"/>
      <sheetName val="CAF"/>
      <sheetName val="YV UFR 10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4">
          <cell r="AC4">
            <v>1.75</v>
          </cell>
          <cell r="CO4">
            <v>6</v>
          </cell>
        </row>
        <row r="5">
          <cell r="AC5">
            <v>4</v>
          </cell>
          <cell r="CO5">
            <v>16</v>
          </cell>
        </row>
        <row r="6">
          <cell r="AC6">
            <v>4.5999999999999996</v>
          </cell>
          <cell r="CO6">
            <v>19.463013698630139</v>
          </cell>
        </row>
        <row r="7">
          <cell r="AC7">
            <v>1.75</v>
          </cell>
          <cell r="CO7">
            <v>7.4301369863013695</v>
          </cell>
        </row>
        <row r="8">
          <cell r="AC8">
            <v>2.75</v>
          </cell>
          <cell r="CO8">
            <v>12</v>
          </cell>
        </row>
        <row r="9">
          <cell r="AC9">
            <v>1</v>
          </cell>
          <cell r="CO9">
            <v>4.8328767123287673</v>
          </cell>
        </row>
        <row r="10">
          <cell r="AC10">
            <v>1</v>
          </cell>
          <cell r="CO10">
            <v>5</v>
          </cell>
        </row>
        <row r="11">
          <cell r="AC11">
            <v>3</v>
          </cell>
          <cell r="CO11">
            <v>15</v>
          </cell>
        </row>
        <row r="12">
          <cell r="AC12">
            <v>4.5</v>
          </cell>
          <cell r="CO12">
            <v>28</v>
          </cell>
        </row>
        <row r="13">
          <cell r="AC13">
            <v>3.83</v>
          </cell>
          <cell r="CO13">
            <v>24.115384615384617</v>
          </cell>
        </row>
        <row r="14">
          <cell r="AC14">
            <v>0.45100000000000001</v>
          </cell>
          <cell r="CO14">
            <v>3</v>
          </cell>
        </row>
        <row r="15">
          <cell r="AC15">
            <v>4.75</v>
          </cell>
          <cell r="CO15">
            <v>32</v>
          </cell>
        </row>
        <row r="16">
          <cell r="AC16">
            <v>11</v>
          </cell>
          <cell r="CO16">
            <v>79.726027397260268</v>
          </cell>
        </row>
        <row r="17">
          <cell r="AC17">
            <v>6.75</v>
          </cell>
          <cell r="CO17">
            <v>50</v>
          </cell>
        </row>
        <row r="18">
          <cell r="AC18">
            <v>3</v>
          </cell>
          <cell r="CO18">
            <v>24</v>
          </cell>
        </row>
        <row r="19">
          <cell r="AC19">
            <v>4</v>
          </cell>
          <cell r="CO19">
            <v>32</v>
          </cell>
        </row>
        <row r="23">
          <cell r="DF23">
            <v>48.091908842179208</v>
          </cell>
          <cell r="DI23">
            <v>73.838082262739789</v>
          </cell>
        </row>
      </sheetData>
      <sheetData sheetId="6" refreshError="1">
        <row r="15">
          <cell r="CS15">
            <v>0.8240960467372892</v>
          </cell>
        </row>
        <row r="19">
          <cell r="DG19">
            <v>8.8047224119418797</v>
          </cell>
        </row>
      </sheetData>
      <sheetData sheetId="7" refreshError="1">
        <row r="13">
          <cell r="CS13">
            <v>0.77633549066068874</v>
          </cell>
        </row>
        <row r="14">
          <cell r="DF14">
            <v>58.339622641509436</v>
          </cell>
          <cell r="DG14">
            <v>30.373280943025545</v>
          </cell>
          <cell r="DH14">
            <v>3.8286280336800402</v>
          </cell>
          <cell r="DI14">
            <v>60.390625</v>
          </cell>
        </row>
      </sheetData>
      <sheetData sheetId="8" refreshError="1">
        <row r="12">
          <cell r="CS12">
            <v>0.82634952201926737</v>
          </cell>
          <cell r="DF12">
            <v>17.290609137055839</v>
          </cell>
          <cell r="DG12">
            <v>4.9010791366906474</v>
          </cell>
          <cell r="DI12">
            <v>76.544943820224717</v>
          </cell>
        </row>
      </sheetData>
      <sheetData sheetId="9" refreshError="1">
        <row r="11">
          <cell r="CS11">
            <v>0.79276290630394719</v>
          </cell>
          <cell r="DF11">
            <v>14.473684210526315</v>
          </cell>
          <cell r="DG11">
            <v>5.1717902350813745</v>
          </cell>
          <cell r="DH11">
            <v>6.5596330275229358</v>
          </cell>
          <cell r="DI11">
            <v>48.80546075085325</v>
          </cell>
        </row>
      </sheetData>
      <sheetData sheetId="10" refreshError="1">
        <row r="9">
          <cell r="DF9">
            <v>18.454753009547535</v>
          </cell>
          <cell r="DG9">
            <v>5.4194157892330903</v>
          </cell>
          <cell r="DH9">
            <v>2.0470818464372051</v>
          </cell>
          <cell r="DI9">
            <v>29.889906714849992</v>
          </cell>
        </row>
      </sheetData>
      <sheetData sheetId="11" refreshError="1">
        <row r="20">
          <cell r="DF20">
            <v>17.661768368617683</v>
          </cell>
          <cell r="DG20">
            <v>7.8338488731771978</v>
          </cell>
          <cell r="DH20">
            <v>3.0356164383561643</v>
          </cell>
          <cell r="DI20">
            <v>21.117331745086361</v>
          </cell>
        </row>
      </sheetData>
      <sheetData sheetId="12" refreshError="1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eview"/>
      <sheetName val="Single FTE Model "/>
      <sheetName val="CAF Spring17"/>
      <sheetName val="AdultCompanion"/>
      <sheetName val="AutFamSup"/>
      <sheetName val="AWC Admin-Family Nav "/>
      <sheetName val="Aut-FamSupCtrs"/>
      <sheetName val="AWC Admin - Family Nav"/>
      <sheetName val="BehavioralSupport"/>
      <sheetName val="FamTrn PeerSup Respite"/>
      <sheetName val="Fin. Assistance Admin"/>
      <sheetName val="Med Complex "/>
      <sheetName val="Respite Caregiver Home"/>
      <sheetName val="Site Based Respite"/>
      <sheetName val="DCFClinicalComp"/>
      <sheetName val="Rates For Reg"/>
      <sheetName val="DMH DYI Model"/>
      <sheetName val="DMH Fam Sys Int "/>
      <sheetName val="DMH Indiv Youth Support"/>
      <sheetName val="Facility Based Respite"/>
      <sheetName val="DMH IFFS"/>
    </sheetNames>
    <sheetDataSet>
      <sheetData sheetId="0" refreshError="1"/>
      <sheetData sheetId="1" refreshError="1"/>
      <sheetData sheetId="2">
        <row r="27">
          <cell r="BK27">
            <v>2.7235921972764018E-2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18"/>
      <sheetName val="DCFClinicalComp"/>
      <sheetName val="Specialty Family Skills Group"/>
      <sheetName val="Family Skills Dev Group"/>
      <sheetName val="Parent Skill Dev Group"/>
      <sheetName val="Ed Coordination"/>
      <sheetName val="RATES"/>
      <sheetName val="Activity Codes"/>
      <sheetName val="FY18 Spend"/>
      <sheetName val="Salary Compare"/>
    </sheetNames>
    <sheetDataSet>
      <sheetData sheetId="0"/>
      <sheetData sheetId="1"/>
      <sheetData sheetId="2">
        <row r="27">
          <cell r="E27">
            <v>4.4599999999999973E-2</v>
          </cell>
        </row>
      </sheetData>
      <sheetData sheetId="3">
        <row r="26">
          <cell r="E26">
            <v>2.9824052590873982E-2</v>
          </cell>
        </row>
      </sheetData>
      <sheetData sheetId="4">
        <row r="26">
          <cell r="E26">
            <v>2.9824052590873982E-2</v>
          </cell>
        </row>
        <row r="27">
          <cell r="E27">
            <v>2.7235921972764018E-2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tatus"/>
      <sheetName val="Pursue list"/>
      <sheetName val="READ ME"/>
      <sheetName val="BENCHMARKS (2)"/>
      <sheetName val="Spec Assessment"/>
      <sheetName val="Model Budget_Aft Schl Dy Rspt"/>
      <sheetName val="After School_Dy Respt"/>
      <sheetName val="Model Budgets-Edu Coord "/>
      <sheetName val="Edu Coord (Treehouse)"/>
      <sheetName val="Model Budgets-Combined Hr Data"/>
      <sheetName val="Combined Hrly Data"/>
      <sheetName val="Model Budgets-Groups- Specialty"/>
      <sheetName val="MB-Groups -Family Skills Dev."/>
      <sheetName val="MB-Groups -Fathers Program"/>
      <sheetName val="Group-Non Stnd"/>
      <sheetName val="Ref Sheet - Revised Approach"/>
      <sheetName val="Child Care"/>
      <sheetName val="CAF"/>
      <sheetName val="Unbundled IFC Support Rate"/>
      <sheetName val="un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D9">
            <v>52564.428772849235</v>
          </cell>
          <cell r="E9">
            <v>0.01</v>
          </cell>
          <cell r="F9">
            <v>525.64428772849237</v>
          </cell>
        </row>
        <row r="10">
          <cell r="D10">
            <v>47000</v>
          </cell>
          <cell r="E10">
            <v>0.19</v>
          </cell>
          <cell r="F10">
            <v>8930</v>
          </cell>
        </row>
        <row r="11">
          <cell r="E11">
            <v>0.2</v>
          </cell>
          <cell r="F11">
            <v>9455.6442877284917</v>
          </cell>
        </row>
        <row r="14">
          <cell r="D14">
            <v>0.21590826871491237</v>
          </cell>
          <cell r="F14">
            <v>2041.5517877475093</v>
          </cell>
        </row>
        <row r="15">
          <cell r="F15">
            <v>11497.196075476</v>
          </cell>
        </row>
        <row r="17">
          <cell r="D17">
            <v>940</v>
          </cell>
          <cell r="E17">
            <v>5</v>
          </cell>
        </row>
        <row r="19">
          <cell r="D19" t="str">
            <v>Standard/session</v>
          </cell>
          <cell r="F19">
            <v>1487.8947368421054</v>
          </cell>
        </row>
        <row r="20">
          <cell r="D20">
            <v>99.192982456140356</v>
          </cell>
        </row>
        <row r="23">
          <cell r="F23">
            <v>1750</v>
          </cell>
        </row>
        <row r="24">
          <cell r="D24">
            <v>44.322599999999994</v>
          </cell>
          <cell r="F24">
            <v>664.83899999999994</v>
          </cell>
        </row>
        <row r="25">
          <cell r="F25">
            <v>4500</v>
          </cell>
        </row>
        <row r="27">
          <cell r="F27">
            <v>27786.929812318107</v>
          </cell>
        </row>
        <row r="28">
          <cell r="F28">
            <v>3141.6515958477721</v>
          </cell>
        </row>
        <row r="29">
          <cell r="F29">
            <v>30928.581408165879</v>
          </cell>
        </row>
        <row r="30">
          <cell r="F30">
            <v>32307.996138970077</v>
          </cell>
        </row>
        <row r="31">
          <cell r="F31">
            <v>2153.8664092646718</v>
          </cell>
        </row>
      </sheetData>
      <sheetData sheetId="12" refreshError="1">
        <row r="18">
          <cell r="G18">
            <v>1190.3157894736842</v>
          </cell>
        </row>
        <row r="21">
          <cell r="G21">
            <v>1500</v>
          </cell>
        </row>
        <row r="25">
          <cell r="G25">
            <v>14188.315789473683</v>
          </cell>
        </row>
        <row r="26">
          <cell r="E26">
            <v>0.11306220647863946</v>
          </cell>
          <cell r="G26">
            <v>1604.1622893736139</v>
          </cell>
        </row>
        <row r="27">
          <cell r="G27">
            <v>15792.478078847296</v>
          </cell>
        </row>
        <row r="28">
          <cell r="G28">
            <v>16496.822601163887</v>
          </cell>
        </row>
        <row r="29">
          <cell r="G29">
            <v>1374.7352167636573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tatus"/>
      <sheetName val="Pursue list"/>
      <sheetName val="READ ME"/>
      <sheetName val="BENCHMARKS (2)"/>
      <sheetName val="Spec Assessment"/>
      <sheetName val="Model Budget_Aft Schl Dy Rspt"/>
      <sheetName val="After School_Dy Respt"/>
      <sheetName val="Model Budgets-Edu Coord "/>
      <sheetName val="Edu Coord (Treehouse)"/>
      <sheetName val="Model Budgets-Combined Hr Data"/>
      <sheetName val="Combined Hrly Data"/>
      <sheetName val="Model Budgets-Groups- Specialty"/>
      <sheetName val="MB-Groups -Family Skills Dev."/>
      <sheetName val="MB-Groups -Fathers Program"/>
      <sheetName val="Group-Non Stnd"/>
      <sheetName val="Ref Sheet - Revised Approach"/>
      <sheetName val="Child Care"/>
      <sheetName val="CAF"/>
      <sheetName val="Unbundled IFC Support Rate"/>
      <sheetName val="un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7">
          <cell r="F17">
            <v>4700</v>
          </cell>
        </row>
      </sheetData>
      <sheetData sheetId="12" refreshError="1"/>
      <sheetData sheetId="13" refreshError="1">
        <row r="9">
          <cell r="E9">
            <v>52564</v>
          </cell>
          <cell r="F9">
            <v>0.01</v>
          </cell>
          <cell r="G9">
            <v>525.64</v>
          </cell>
        </row>
        <row r="10">
          <cell r="E10">
            <v>47000</v>
          </cell>
          <cell r="F10">
            <v>0.15</v>
          </cell>
          <cell r="G10">
            <v>7050</v>
          </cell>
        </row>
        <row r="11">
          <cell r="G11">
            <v>7575.64</v>
          </cell>
        </row>
        <row r="14">
          <cell r="E14">
            <v>0.21590826871491237</v>
          </cell>
          <cell r="G14">
            <v>1635.6433168074389</v>
          </cell>
        </row>
        <row r="15">
          <cell r="G15">
            <v>9211.2833168074394</v>
          </cell>
        </row>
        <row r="19">
          <cell r="G19">
            <v>1289.5087719298247</v>
          </cell>
        </row>
        <row r="23">
          <cell r="G23">
            <v>880</v>
          </cell>
        </row>
        <row r="25">
          <cell r="G25">
            <v>250</v>
          </cell>
        </row>
        <row r="27">
          <cell r="G27">
            <v>11630.792088737264</v>
          </cell>
        </row>
        <row r="28">
          <cell r="G28">
            <v>1315.0030166469389</v>
          </cell>
        </row>
        <row r="29">
          <cell r="G29">
            <v>12945.795105384203</v>
          </cell>
        </row>
        <row r="30">
          <cell r="G30">
            <v>13523.696281184326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models changes"/>
      <sheetName val="Comp Models with newer bmarks"/>
      <sheetName val="Proposed Comp models"/>
      <sheetName val="Discrete Mods with newer bmarks"/>
      <sheetName val="Proposed (relevant)Discr Models"/>
      <sheetName val="Adolescent Supprt Network model"/>
      <sheetName val="Specialty Family Skills Group"/>
      <sheetName val="Family Skills Dev Group"/>
      <sheetName val="Parent Skill Dev Group"/>
      <sheetName val="Ed Coordina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>
        <row r="1">
          <cell r="N1">
            <v>2.9824052590873982E-2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6"/>
  <sheetViews>
    <sheetView tabSelected="1" topLeftCell="BH1" workbookViewId="0">
      <selection activeCell="BI6" sqref="BI6:BV26"/>
    </sheetView>
  </sheetViews>
  <sheetFormatPr defaultRowHeight="12.75"/>
  <cols>
    <col min="1" max="1" width="38.42578125" style="664" customWidth="1"/>
    <col min="2" max="2" width="12.85546875" style="669" customWidth="1"/>
    <col min="3" max="61" width="7.7109375" style="664" customWidth="1"/>
    <col min="62" max="73" width="9" style="664" customWidth="1"/>
    <col min="74" max="82" width="7.7109375" style="664" customWidth="1"/>
    <col min="83" max="256" width="9.140625" style="664"/>
    <col min="257" max="257" width="38.42578125" style="664" customWidth="1"/>
    <col min="258" max="258" width="12.85546875" style="664" customWidth="1"/>
    <col min="259" max="317" width="7.7109375" style="664" customWidth="1"/>
    <col min="318" max="329" width="9" style="664" customWidth="1"/>
    <col min="330" max="338" width="7.7109375" style="664" customWidth="1"/>
    <col min="339" max="512" width="9.140625" style="664"/>
    <col min="513" max="513" width="38.42578125" style="664" customWidth="1"/>
    <col min="514" max="514" width="12.85546875" style="664" customWidth="1"/>
    <col min="515" max="573" width="7.7109375" style="664" customWidth="1"/>
    <col min="574" max="585" width="9" style="664" customWidth="1"/>
    <col min="586" max="594" width="7.7109375" style="664" customWidth="1"/>
    <col min="595" max="768" width="9.140625" style="664"/>
    <col min="769" max="769" width="38.42578125" style="664" customWidth="1"/>
    <col min="770" max="770" width="12.85546875" style="664" customWidth="1"/>
    <col min="771" max="829" width="7.7109375" style="664" customWidth="1"/>
    <col min="830" max="841" width="9" style="664" customWidth="1"/>
    <col min="842" max="850" width="7.7109375" style="664" customWidth="1"/>
    <col min="851" max="1024" width="9.140625" style="664"/>
    <col min="1025" max="1025" width="38.42578125" style="664" customWidth="1"/>
    <col min="1026" max="1026" width="12.85546875" style="664" customWidth="1"/>
    <col min="1027" max="1085" width="7.7109375" style="664" customWidth="1"/>
    <col min="1086" max="1097" width="9" style="664" customWidth="1"/>
    <col min="1098" max="1106" width="7.7109375" style="664" customWidth="1"/>
    <col min="1107" max="1280" width="9.140625" style="664"/>
    <col min="1281" max="1281" width="38.42578125" style="664" customWidth="1"/>
    <col min="1282" max="1282" width="12.85546875" style="664" customWidth="1"/>
    <col min="1283" max="1341" width="7.7109375" style="664" customWidth="1"/>
    <col min="1342" max="1353" width="9" style="664" customWidth="1"/>
    <col min="1354" max="1362" width="7.7109375" style="664" customWidth="1"/>
    <col min="1363" max="1536" width="9.140625" style="664"/>
    <col min="1537" max="1537" width="38.42578125" style="664" customWidth="1"/>
    <col min="1538" max="1538" width="12.85546875" style="664" customWidth="1"/>
    <col min="1539" max="1597" width="7.7109375" style="664" customWidth="1"/>
    <col min="1598" max="1609" width="9" style="664" customWidth="1"/>
    <col min="1610" max="1618" width="7.7109375" style="664" customWidth="1"/>
    <col min="1619" max="1792" width="9.140625" style="664"/>
    <col min="1793" max="1793" width="38.42578125" style="664" customWidth="1"/>
    <col min="1794" max="1794" width="12.85546875" style="664" customWidth="1"/>
    <col min="1795" max="1853" width="7.7109375" style="664" customWidth="1"/>
    <col min="1854" max="1865" width="9" style="664" customWidth="1"/>
    <col min="1866" max="1874" width="7.7109375" style="664" customWidth="1"/>
    <col min="1875" max="2048" width="9.140625" style="664"/>
    <col min="2049" max="2049" width="38.42578125" style="664" customWidth="1"/>
    <col min="2050" max="2050" width="12.85546875" style="664" customWidth="1"/>
    <col min="2051" max="2109" width="7.7109375" style="664" customWidth="1"/>
    <col min="2110" max="2121" width="9" style="664" customWidth="1"/>
    <col min="2122" max="2130" width="7.7109375" style="664" customWidth="1"/>
    <col min="2131" max="2304" width="9.140625" style="664"/>
    <col min="2305" max="2305" width="38.42578125" style="664" customWidth="1"/>
    <col min="2306" max="2306" width="12.85546875" style="664" customWidth="1"/>
    <col min="2307" max="2365" width="7.7109375" style="664" customWidth="1"/>
    <col min="2366" max="2377" width="9" style="664" customWidth="1"/>
    <col min="2378" max="2386" width="7.7109375" style="664" customWidth="1"/>
    <col min="2387" max="2560" width="9.140625" style="664"/>
    <col min="2561" max="2561" width="38.42578125" style="664" customWidth="1"/>
    <col min="2562" max="2562" width="12.85546875" style="664" customWidth="1"/>
    <col min="2563" max="2621" width="7.7109375" style="664" customWidth="1"/>
    <col min="2622" max="2633" width="9" style="664" customWidth="1"/>
    <col min="2634" max="2642" width="7.7109375" style="664" customWidth="1"/>
    <col min="2643" max="2816" width="9.140625" style="664"/>
    <col min="2817" max="2817" width="38.42578125" style="664" customWidth="1"/>
    <col min="2818" max="2818" width="12.85546875" style="664" customWidth="1"/>
    <col min="2819" max="2877" width="7.7109375" style="664" customWidth="1"/>
    <col min="2878" max="2889" width="9" style="664" customWidth="1"/>
    <col min="2890" max="2898" width="7.7109375" style="664" customWidth="1"/>
    <col min="2899" max="3072" width="9.140625" style="664"/>
    <col min="3073" max="3073" width="38.42578125" style="664" customWidth="1"/>
    <col min="3074" max="3074" width="12.85546875" style="664" customWidth="1"/>
    <col min="3075" max="3133" width="7.7109375" style="664" customWidth="1"/>
    <col min="3134" max="3145" width="9" style="664" customWidth="1"/>
    <col min="3146" max="3154" width="7.7109375" style="664" customWidth="1"/>
    <col min="3155" max="3328" width="9.140625" style="664"/>
    <col min="3329" max="3329" width="38.42578125" style="664" customWidth="1"/>
    <col min="3330" max="3330" width="12.85546875" style="664" customWidth="1"/>
    <col min="3331" max="3389" width="7.7109375" style="664" customWidth="1"/>
    <col min="3390" max="3401" width="9" style="664" customWidth="1"/>
    <col min="3402" max="3410" width="7.7109375" style="664" customWidth="1"/>
    <col min="3411" max="3584" width="9.140625" style="664"/>
    <col min="3585" max="3585" width="38.42578125" style="664" customWidth="1"/>
    <col min="3586" max="3586" width="12.85546875" style="664" customWidth="1"/>
    <col min="3587" max="3645" width="7.7109375" style="664" customWidth="1"/>
    <col min="3646" max="3657" width="9" style="664" customWidth="1"/>
    <col min="3658" max="3666" width="7.7109375" style="664" customWidth="1"/>
    <col min="3667" max="3840" width="9.140625" style="664"/>
    <col min="3841" max="3841" width="38.42578125" style="664" customWidth="1"/>
    <col min="3842" max="3842" width="12.85546875" style="664" customWidth="1"/>
    <col min="3843" max="3901" width="7.7109375" style="664" customWidth="1"/>
    <col min="3902" max="3913" width="9" style="664" customWidth="1"/>
    <col min="3914" max="3922" width="7.7109375" style="664" customWidth="1"/>
    <col min="3923" max="4096" width="9.140625" style="664"/>
    <col min="4097" max="4097" width="38.42578125" style="664" customWidth="1"/>
    <col min="4098" max="4098" width="12.85546875" style="664" customWidth="1"/>
    <col min="4099" max="4157" width="7.7109375" style="664" customWidth="1"/>
    <col min="4158" max="4169" width="9" style="664" customWidth="1"/>
    <col min="4170" max="4178" width="7.7109375" style="664" customWidth="1"/>
    <col min="4179" max="4352" width="9.140625" style="664"/>
    <col min="4353" max="4353" width="38.42578125" style="664" customWidth="1"/>
    <col min="4354" max="4354" width="12.85546875" style="664" customWidth="1"/>
    <col min="4355" max="4413" width="7.7109375" style="664" customWidth="1"/>
    <col min="4414" max="4425" width="9" style="664" customWidth="1"/>
    <col min="4426" max="4434" width="7.7109375" style="664" customWidth="1"/>
    <col min="4435" max="4608" width="9.140625" style="664"/>
    <col min="4609" max="4609" width="38.42578125" style="664" customWidth="1"/>
    <col min="4610" max="4610" width="12.85546875" style="664" customWidth="1"/>
    <col min="4611" max="4669" width="7.7109375" style="664" customWidth="1"/>
    <col min="4670" max="4681" width="9" style="664" customWidth="1"/>
    <col min="4682" max="4690" width="7.7109375" style="664" customWidth="1"/>
    <col min="4691" max="4864" width="9.140625" style="664"/>
    <col min="4865" max="4865" width="38.42578125" style="664" customWidth="1"/>
    <col min="4866" max="4866" width="12.85546875" style="664" customWidth="1"/>
    <col min="4867" max="4925" width="7.7109375" style="664" customWidth="1"/>
    <col min="4926" max="4937" width="9" style="664" customWidth="1"/>
    <col min="4938" max="4946" width="7.7109375" style="664" customWidth="1"/>
    <col min="4947" max="5120" width="9.140625" style="664"/>
    <col min="5121" max="5121" width="38.42578125" style="664" customWidth="1"/>
    <col min="5122" max="5122" width="12.85546875" style="664" customWidth="1"/>
    <col min="5123" max="5181" width="7.7109375" style="664" customWidth="1"/>
    <col min="5182" max="5193" width="9" style="664" customWidth="1"/>
    <col min="5194" max="5202" width="7.7109375" style="664" customWidth="1"/>
    <col min="5203" max="5376" width="9.140625" style="664"/>
    <col min="5377" max="5377" width="38.42578125" style="664" customWidth="1"/>
    <col min="5378" max="5378" width="12.85546875" style="664" customWidth="1"/>
    <col min="5379" max="5437" width="7.7109375" style="664" customWidth="1"/>
    <col min="5438" max="5449" width="9" style="664" customWidth="1"/>
    <col min="5450" max="5458" width="7.7109375" style="664" customWidth="1"/>
    <col min="5459" max="5632" width="9.140625" style="664"/>
    <col min="5633" max="5633" width="38.42578125" style="664" customWidth="1"/>
    <col min="5634" max="5634" width="12.85546875" style="664" customWidth="1"/>
    <col min="5635" max="5693" width="7.7109375" style="664" customWidth="1"/>
    <col min="5694" max="5705" width="9" style="664" customWidth="1"/>
    <col min="5706" max="5714" width="7.7109375" style="664" customWidth="1"/>
    <col min="5715" max="5888" width="9.140625" style="664"/>
    <col min="5889" max="5889" width="38.42578125" style="664" customWidth="1"/>
    <col min="5890" max="5890" width="12.85546875" style="664" customWidth="1"/>
    <col min="5891" max="5949" width="7.7109375" style="664" customWidth="1"/>
    <col min="5950" max="5961" width="9" style="664" customWidth="1"/>
    <col min="5962" max="5970" width="7.7109375" style="664" customWidth="1"/>
    <col min="5971" max="6144" width="9.140625" style="664"/>
    <col min="6145" max="6145" width="38.42578125" style="664" customWidth="1"/>
    <col min="6146" max="6146" width="12.85546875" style="664" customWidth="1"/>
    <col min="6147" max="6205" width="7.7109375" style="664" customWidth="1"/>
    <col min="6206" max="6217" width="9" style="664" customWidth="1"/>
    <col min="6218" max="6226" width="7.7109375" style="664" customWidth="1"/>
    <col min="6227" max="6400" width="9.140625" style="664"/>
    <col min="6401" max="6401" width="38.42578125" style="664" customWidth="1"/>
    <col min="6402" max="6402" width="12.85546875" style="664" customWidth="1"/>
    <col min="6403" max="6461" width="7.7109375" style="664" customWidth="1"/>
    <col min="6462" max="6473" width="9" style="664" customWidth="1"/>
    <col min="6474" max="6482" width="7.7109375" style="664" customWidth="1"/>
    <col min="6483" max="6656" width="9.140625" style="664"/>
    <col min="6657" max="6657" width="38.42578125" style="664" customWidth="1"/>
    <col min="6658" max="6658" width="12.85546875" style="664" customWidth="1"/>
    <col min="6659" max="6717" width="7.7109375" style="664" customWidth="1"/>
    <col min="6718" max="6729" width="9" style="664" customWidth="1"/>
    <col min="6730" max="6738" width="7.7109375" style="664" customWidth="1"/>
    <col min="6739" max="6912" width="9.140625" style="664"/>
    <col min="6913" max="6913" width="38.42578125" style="664" customWidth="1"/>
    <col min="6914" max="6914" width="12.85546875" style="664" customWidth="1"/>
    <col min="6915" max="6973" width="7.7109375" style="664" customWidth="1"/>
    <col min="6974" max="6985" width="9" style="664" customWidth="1"/>
    <col min="6986" max="6994" width="7.7109375" style="664" customWidth="1"/>
    <col min="6995" max="7168" width="9.140625" style="664"/>
    <col min="7169" max="7169" width="38.42578125" style="664" customWidth="1"/>
    <col min="7170" max="7170" width="12.85546875" style="664" customWidth="1"/>
    <col min="7171" max="7229" width="7.7109375" style="664" customWidth="1"/>
    <col min="7230" max="7241" width="9" style="664" customWidth="1"/>
    <col min="7242" max="7250" width="7.7109375" style="664" customWidth="1"/>
    <col min="7251" max="7424" width="9.140625" style="664"/>
    <col min="7425" max="7425" width="38.42578125" style="664" customWidth="1"/>
    <col min="7426" max="7426" width="12.85546875" style="664" customWidth="1"/>
    <col min="7427" max="7485" width="7.7109375" style="664" customWidth="1"/>
    <col min="7486" max="7497" width="9" style="664" customWidth="1"/>
    <col min="7498" max="7506" width="7.7109375" style="664" customWidth="1"/>
    <col min="7507" max="7680" width="9.140625" style="664"/>
    <col min="7681" max="7681" width="38.42578125" style="664" customWidth="1"/>
    <col min="7682" max="7682" width="12.85546875" style="664" customWidth="1"/>
    <col min="7683" max="7741" width="7.7109375" style="664" customWidth="1"/>
    <col min="7742" max="7753" width="9" style="664" customWidth="1"/>
    <col min="7754" max="7762" width="7.7109375" style="664" customWidth="1"/>
    <col min="7763" max="7936" width="9.140625" style="664"/>
    <col min="7937" max="7937" width="38.42578125" style="664" customWidth="1"/>
    <col min="7938" max="7938" width="12.85546875" style="664" customWidth="1"/>
    <col min="7939" max="7997" width="7.7109375" style="664" customWidth="1"/>
    <col min="7998" max="8009" width="9" style="664" customWidth="1"/>
    <col min="8010" max="8018" width="7.7109375" style="664" customWidth="1"/>
    <col min="8019" max="8192" width="9.140625" style="664"/>
    <col min="8193" max="8193" width="38.42578125" style="664" customWidth="1"/>
    <col min="8194" max="8194" width="12.85546875" style="664" customWidth="1"/>
    <col min="8195" max="8253" width="7.7109375" style="664" customWidth="1"/>
    <col min="8254" max="8265" width="9" style="664" customWidth="1"/>
    <col min="8266" max="8274" width="7.7109375" style="664" customWidth="1"/>
    <col min="8275" max="8448" width="9.140625" style="664"/>
    <col min="8449" max="8449" width="38.42578125" style="664" customWidth="1"/>
    <col min="8450" max="8450" width="12.85546875" style="664" customWidth="1"/>
    <col min="8451" max="8509" width="7.7109375" style="664" customWidth="1"/>
    <col min="8510" max="8521" width="9" style="664" customWidth="1"/>
    <col min="8522" max="8530" width="7.7109375" style="664" customWidth="1"/>
    <col min="8531" max="8704" width="9.140625" style="664"/>
    <col min="8705" max="8705" width="38.42578125" style="664" customWidth="1"/>
    <col min="8706" max="8706" width="12.85546875" style="664" customWidth="1"/>
    <col min="8707" max="8765" width="7.7109375" style="664" customWidth="1"/>
    <col min="8766" max="8777" width="9" style="664" customWidth="1"/>
    <col min="8778" max="8786" width="7.7109375" style="664" customWidth="1"/>
    <col min="8787" max="8960" width="9.140625" style="664"/>
    <col min="8961" max="8961" width="38.42578125" style="664" customWidth="1"/>
    <col min="8962" max="8962" width="12.85546875" style="664" customWidth="1"/>
    <col min="8963" max="9021" width="7.7109375" style="664" customWidth="1"/>
    <col min="9022" max="9033" width="9" style="664" customWidth="1"/>
    <col min="9034" max="9042" width="7.7109375" style="664" customWidth="1"/>
    <col min="9043" max="9216" width="9.140625" style="664"/>
    <col min="9217" max="9217" width="38.42578125" style="664" customWidth="1"/>
    <col min="9218" max="9218" width="12.85546875" style="664" customWidth="1"/>
    <col min="9219" max="9277" width="7.7109375" style="664" customWidth="1"/>
    <col min="9278" max="9289" width="9" style="664" customWidth="1"/>
    <col min="9290" max="9298" width="7.7109375" style="664" customWidth="1"/>
    <col min="9299" max="9472" width="9.140625" style="664"/>
    <col min="9473" max="9473" width="38.42578125" style="664" customWidth="1"/>
    <col min="9474" max="9474" width="12.85546875" style="664" customWidth="1"/>
    <col min="9475" max="9533" width="7.7109375" style="664" customWidth="1"/>
    <col min="9534" max="9545" width="9" style="664" customWidth="1"/>
    <col min="9546" max="9554" width="7.7109375" style="664" customWidth="1"/>
    <col min="9555" max="9728" width="9.140625" style="664"/>
    <col min="9729" max="9729" width="38.42578125" style="664" customWidth="1"/>
    <col min="9730" max="9730" width="12.85546875" style="664" customWidth="1"/>
    <col min="9731" max="9789" width="7.7109375" style="664" customWidth="1"/>
    <col min="9790" max="9801" width="9" style="664" customWidth="1"/>
    <col min="9802" max="9810" width="7.7109375" style="664" customWidth="1"/>
    <col min="9811" max="9984" width="9.140625" style="664"/>
    <col min="9985" max="9985" width="38.42578125" style="664" customWidth="1"/>
    <col min="9986" max="9986" width="12.85546875" style="664" customWidth="1"/>
    <col min="9987" max="10045" width="7.7109375" style="664" customWidth="1"/>
    <col min="10046" max="10057" width="9" style="664" customWidth="1"/>
    <col min="10058" max="10066" width="7.7109375" style="664" customWidth="1"/>
    <col min="10067" max="10240" width="9.140625" style="664"/>
    <col min="10241" max="10241" width="38.42578125" style="664" customWidth="1"/>
    <col min="10242" max="10242" width="12.85546875" style="664" customWidth="1"/>
    <col min="10243" max="10301" width="7.7109375" style="664" customWidth="1"/>
    <col min="10302" max="10313" width="9" style="664" customWidth="1"/>
    <col min="10314" max="10322" width="7.7109375" style="664" customWidth="1"/>
    <col min="10323" max="10496" width="9.140625" style="664"/>
    <col min="10497" max="10497" width="38.42578125" style="664" customWidth="1"/>
    <col min="10498" max="10498" width="12.85546875" style="664" customWidth="1"/>
    <col min="10499" max="10557" width="7.7109375" style="664" customWidth="1"/>
    <col min="10558" max="10569" width="9" style="664" customWidth="1"/>
    <col min="10570" max="10578" width="7.7109375" style="664" customWidth="1"/>
    <col min="10579" max="10752" width="9.140625" style="664"/>
    <col min="10753" max="10753" width="38.42578125" style="664" customWidth="1"/>
    <col min="10754" max="10754" width="12.85546875" style="664" customWidth="1"/>
    <col min="10755" max="10813" width="7.7109375" style="664" customWidth="1"/>
    <col min="10814" max="10825" width="9" style="664" customWidth="1"/>
    <col min="10826" max="10834" width="7.7109375" style="664" customWidth="1"/>
    <col min="10835" max="11008" width="9.140625" style="664"/>
    <col min="11009" max="11009" width="38.42578125" style="664" customWidth="1"/>
    <col min="11010" max="11010" width="12.85546875" style="664" customWidth="1"/>
    <col min="11011" max="11069" width="7.7109375" style="664" customWidth="1"/>
    <col min="11070" max="11081" width="9" style="664" customWidth="1"/>
    <col min="11082" max="11090" width="7.7109375" style="664" customWidth="1"/>
    <col min="11091" max="11264" width="9.140625" style="664"/>
    <col min="11265" max="11265" width="38.42578125" style="664" customWidth="1"/>
    <col min="11266" max="11266" width="12.85546875" style="664" customWidth="1"/>
    <col min="11267" max="11325" width="7.7109375" style="664" customWidth="1"/>
    <col min="11326" max="11337" width="9" style="664" customWidth="1"/>
    <col min="11338" max="11346" width="7.7109375" style="664" customWidth="1"/>
    <col min="11347" max="11520" width="9.140625" style="664"/>
    <col min="11521" max="11521" width="38.42578125" style="664" customWidth="1"/>
    <col min="11522" max="11522" width="12.85546875" style="664" customWidth="1"/>
    <col min="11523" max="11581" width="7.7109375" style="664" customWidth="1"/>
    <col min="11582" max="11593" width="9" style="664" customWidth="1"/>
    <col min="11594" max="11602" width="7.7109375" style="664" customWidth="1"/>
    <col min="11603" max="11776" width="9.140625" style="664"/>
    <col min="11777" max="11777" width="38.42578125" style="664" customWidth="1"/>
    <col min="11778" max="11778" width="12.85546875" style="664" customWidth="1"/>
    <col min="11779" max="11837" width="7.7109375" style="664" customWidth="1"/>
    <col min="11838" max="11849" width="9" style="664" customWidth="1"/>
    <col min="11850" max="11858" width="7.7109375" style="664" customWidth="1"/>
    <col min="11859" max="12032" width="9.140625" style="664"/>
    <col min="12033" max="12033" width="38.42578125" style="664" customWidth="1"/>
    <col min="12034" max="12034" width="12.85546875" style="664" customWidth="1"/>
    <col min="12035" max="12093" width="7.7109375" style="664" customWidth="1"/>
    <col min="12094" max="12105" width="9" style="664" customWidth="1"/>
    <col min="12106" max="12114" width="7.7109375" style="664" customWidth="1"/>
    <col min="12115" max="12288" width="9.140625" style="664"/>
    <col min="12289" max="12289" width="38.42578125" style="664" customWidth="1"/>
    <col min="12290" max="12290" width="12.85546875" style="664" customWidth="1"/>
    <col min="12291" max="12349" width="7.7109375" style="664" customWidth="1"/>
    <col min="12350" max="12361" width="9" style="664" customWidth="1"/>
    <col min="12362" max="12370" width="7.7109375" style="664" customWidth="1"/>
    <col min="12371" max="12544" width="9.140625" style="664"/>
    <col min="12545" max="12545" width="38.42578125" style="664" customWidth="1"/>
    <col min="12546" max="12546" width="12.85546875" style="664" customWidth="1"/>
    <col min="12547" max="12605" width="7.7109375" style="664" customWidth="1"/>
    <col min="12606" max="12617" width="9" style="664" customWidth="1"/>
    <col min="12618" max="12626" width="7.7109375" style="664" customWidth="1"/>
    <col min="12627" max="12800" width="9.140625" style="664"/>
    <col min="12801" max="12801" width="38.42578125" style="664" customWidth="1"/>
    <col min="12802" max="12802" width="12.85546875" style="664" customWidth="1"/>
    <col min="12803" max="12861" width="7.7109375" style="664" customWidth="1"/>
    <col min="12862" max="12873" width="9" style="664" customWidth="1"/>
    <col min="12874" max="12882" width="7.7109375" style="664" customWidth="1"/>
    <col min="12883" max="13056" width="9.140625" style="664"/>
    <col min="13057" max="13057" width="38.42578125" style="664" customWidth="1"/>
    <col min="13058" max="13058" width="12.85546875" style="664" customWidth="1"/>
    <col min="13059" max="13117" width="7.7109375" style="664" customWidth="1"/>
    <col min="13118" max="13129" width="9" style="664" customWidth="1"/>
    <col min="13130" max="13138" width="7.7109375" style="664" customWidth="1"/>
    <col min="13139" max="13312" width="9.140625" style="664"/>
    <col min="13313" max="13313" width="38.42578125" style="664" customWidth="1"/>
    <col min="13314" max="13314" width="12.85546875" style="664" customWidth="1"/>
    <col min="13315" max="13373" width="7.7109375" style="664" customWidth="1"/>
    <col min="13374" max="13385" width="9" style="664" customWidth="1"/>
    <col min="13386" max="13394" width="7.7109375" style="664" customWidth="1"/>
    <col min="13395" max="13568" width="9.140625" style="664"/>
    <col min="13569" max="13569" width="38.42578125" style="664" customWidth="1"/>
    <col min="13570" max="13570" width="12.85546875" style="664" customWidth="1"/>
    <col min="13571" max="13629" width="7.7109375" style="664" customWidth="1"/>
    <col min="13630" max="13641" width="9" style="664" customWidth="1"/>
    <col min="13642" max="13650" width="7.7109375" style="664" customWidth="1"/>
    <col min="13651" max="13824" width="9.140625" style="664"/>
    <col min="13825" max="13825" width="38.42578125" style="664" customWidth="1"/>
    <col min="13826" max="13826" width="12.85546875" style="664" customWidth="1"/>
    <col min="13827" max="13885" width="7.7109375" style="664" customWidth="1"/>
    <col min="13886" max="13897" width="9" style="664" customWidth="1"/>
    <col min="13898" max="13906" width="7.7109375" style="664" customWidth="1"/>
    <col min="13907" max="14080" width="9.140625" style="664"/>
    <col min="14081" max="14081" width="38.42578125" style="664" customWidth="1"/>
    <col min="14082" max="14082" width="12.85546875" style="664" customWidth="1"/>
    <col min="14083" max="14141" width="7.7109375" style="664" customWidth="1"/>
    <col min="14142" max="14153" width="9" style="664" customWidth="1"/>
    <col min="14154" max="14162" width="7.7109375" style="664" customWidth="1"/>
    <col min="14163" max="14336" width="9.140625" style="664"/>
    <col min="14337" max="14337" width="38.42578125" style="664" customWidth="1"/>
    <col min="14338" max="14338" width="12.85546875" style="664" customWidth="1"/>
    <col min="14339" max="14397" width="7.7109375" style="664" customWidth="1"/>
    <col min="14398" max="14409" width="9" style="664" customWidth="1"/>
    <col min="14410" max="14418" width="7.7109375" style="664" customWidth="1"/>
    <col min="14419" max="14592" width="9.140625" style="664"/>
    <col min="14593" max="14593" width="38.42578125" style="664" customWidth="1"/>
    <col min="14594" max="14594" width="12.85546875" style="664" customWidth="1"/>
    <col min="14595" max="14653" width="7.7109375" style="664" customWidth="1"/>
    <col min="14654" max="14665" width="9" style="664" customWidth="1"/>
    <col min="14666" max="14674" width="7.7109375" style="664" customWidth="1"/>
    <col min="14675" max="14848" width="9.140625" style="664"/>
    <col min="14849" max="14849" width="38.42578125" style="664" customWidth="1"/>
    <col min="14850" max="14850" width="12.85546875" style="664" customWidth="1"/>
    <col min="14851" max="14909" width="7.7109375" style="664" customWidth="1"/>
    <col min="14910" max="14921" width="9" style="664" customWidth="1"/>
    <col min="14922" max="14930" width="7.7109375" style="664" customWidth="1"/>
    <col min="14931" max="15104" width="9.140625" style="664"/>
    <col min="15105" max="15105" width="38.42578125" style="664" customWidth="1"/>
    <col min="15106" max="15106" width="12.85546875" style="664" customWidth="1"/>
    <col min="15107" max="15165" width="7.7109375" style="664" customWidth="1"/>
    <col min="15166" max="15177" width="9" style="664" customWidth="1"/>
    <col min="15178" max="15186" width="7.7109375" style="664" customWidth="1"/>
    <col min="15187" max="15360" width="9.140625" style="664"/>
    <col min="15361" max="15361" width="38.42578125" style="664" customWidth="1"/>
    <col min="15362" max="15362" width="12.85546875" style="664" customWidth="1"/>
    <col min="15363" max="15421" width="7.7109375" style="664" customWidth="1"/>
    <col min="15422" max="15433" width="9" style="664" customWidth="1"/>
    <col min="15434" max="15442" width="7.7109375" style="664" customWidth="1"/>
    <col min="15443" max="15616" width="9.140625" style="664"/>
    <col min="15617" max="15617" width="38.42578125" style="664" customWidth="1"/>
    <col min="15618" max="15618" width="12.85546875" style="664" customWidth="1"/>
    <col min="15619" max="15677" width="7.7109375" style="664" customWidth="1"/>
    <col min="15678" max="15689" width="9" style="664" customWidth="1"/>
    <col min="15690" max="15698" width="7.7109375" style="664" customWidth="1"/>
    <col min="15699" max="15872" width="9.140625" style="664"/>
    <col min="15873" max="15873" width="38.42578125" style="664" customWidth="1"/>
    <col min="15874" max="15874" width="12.85546875" style="664" customWidth="1"/>
    <col min="15875" max="15933" width="7.7109375" style="664" customWidth="1"/>
    <col min="15934" max="15945" width="9" style="664" customWidth="1"/>
    <col min="15946" max="15954" width="7.7109375" style="664" customWidth="1"/>
    <col min="15955" max="16128" width="9.140625" style="664"/>
    <col min="16129" max="16129" width="38.42578125" style="664" customWidth="1"/>
    <col min="16130" max="16130" width="12.85546875" style="664" customWidth="1"/>
    <col min="16131" max="16189" width="7.7109375" style="664" customWidth="1"/>
    <col min="16190" max="16201" width="9" style="664" customWidth="1"/>
    <col min="16202" max="16210" width="7.7109375" style="664" customWidth="1"/>
    <col min="16211" max="16384" width="9.140625" style="664"/>
  </cols>
  <sheetData>
    <row r="1" spans="1:83" ht="18">
      <c r="A1" s="662" t="s">
        <v>154</v>
      </c>
      <c r="B1" s="663"/>
    </row>
    <row r="2" spans="1:83" ht="15.75">
      <c r="A2" s="665" t="s">
        <v>260</v>
      </c>
      <c r="B2" s="666"/>
    </row>
    <row r="3" spans="1:83" ht="15.75" thickBot="1">
      <c r="A3" s="667" t="s">
        <v>156</v>
      </c>
      <c r="B3" s="668"/>
    </row>
    <row r="6" spans="1:83">
      <c r="BA6" s="670" t="s">
        <v>261</v>
      </c>
      <c r="BB6" s="670" t="s">
        <v>261</v>
      </c>
      <c r="BC6" s="670" t="s">
        <v>261</v>
      </c>
      <c r="BD6" s="670" t="s">
        <v>261</v>
      </c>
      <c r="BE6" s="670" t="s">
        <v>262</v>
      </c>
      <c r="BF6" s="670" t="s">
        <v>262</v>
      </c>
      <c r="BG6" s="670" t="s">
        <v>262</v>
      </c>
      <c r="BH6" s="670" t="s">
        <v>262</v>
      </c>
      <c r="BI6" s="633" t="s">
        <v>157</v>
      </c>
      <c r="BJ6" s="633" t="s">
        <v>157</v>
      </c>
      <c r="BK6" s="633" t="s">
        <v>157</v>
      </c>
      <c r="BL6" s="633" t="s">
        <v>157</v>
      </c>
      <c r="BM6" s="634" t="s">
        <v>158</v>
      </c>
      <c r="BN6" s="634" t="s">
        <v>158</v>
      </c>
      <c r="BO6" s="634" t="s">
        <v>158</v>
      </c>
      <c r="BP6" s="634" t="s">
        <v>158</v>
      </c>
      <c r="BQ6" s="635" t="s">
        <v>159</v>
      </c>
      <c r="BR6" s="635" t="s">
        <v>159</v>
      </c>
      <c r="BS6" s="635" t="s">
        <v>159</v>
      </c>
      <c r="BT6" s="635" t="s">
        <v>159</v>
      </c>
      <c r="BU6" s="671" t="s">
        <v>160</v>
      </c>
      <c r="BV6" s="671" t="s">
        <v>160</v>
      </c>
      <c r="BW6" s="671" t="s">
        <v>160</v>
      </c>
      <c r="BX6" s="671" t="s">
        <v>160</v>
      </c>
      <c r="BY6" s="672" t="s">
        <v>161</v>
      </c>
      <c r="BZ6" s="672" t="s">
        <v>161</v>
      </c>
      <c r="CA6" s="672" t="s">
        <v>161</v>
      </c>
      <c r="CB6" s="672" t="s">
        <v>161</v>
      </c>
    </row>
    <row r="7" spans="1:83" s="669" customFormat="1">
      <c r="B7" s="669" t="s">
        <v>162</v>
      </c>
      <c r="C7" s="673" t="s">
        <v>163</v>
      </c>
      <c r="D7" s="673" t="s">
        <v>164</v>
      </c>
      <c r="E7" s="673" t="s">
        <v>165</v>
      </c>
      <c r="F7" s="673" t="s">
        <v>166</v>
      </c>
      <c r="G7" s="673" t="s">
        <v>167</v>
      </c>
      <c r="H7" s="673" t="s">
        <v>168</v>
      </c>
      <c r="I7" s="673" t="s">
        <v>169</v>
      </c>
      <c r="J7" s="673" t="s">
        <v>170</v>
      </c>
      <c r="K7" s="673" t="s">
        <v>171</v>
      </c>
      <c r="L7" s="673" t="s">
        <v>172</v>
      </c>
      <c r="M7" s="673" t="s">
        <v>173</v>
      </c>
      <c r="N7" s="673" t="s">
        <v>174</v>
      </c>
      <c r="O7" s="673" t="s">
        <v>175</v>
      </c>
      <c r="P7" s="673" t="s">
        <v>176</v>
      </c>
      <c r="Q7" s="673" t="s">
        <v>177</v>
      </c>
      <c r="R7" s="673" t="s">
        <v>178</v>
      </c>
      <c r="S7" s="673" t="s">
        <v>179</v>
      </c>
      <c r="T7" s="673" t="s">
        <v>180</v>
      </c>
      <c r="U7" s="673" t="s">
        <v>181</v>
      </c>
      <c r="V7" s="673" t="s">
        <v>182</v>
      </c>
      <c r="W7" s="673" t="s">
        <v>183</v>
      </c>
      <c r="X7" s="673" t="s">
        <v>184</v>
      </c>
      <c r="Y7" s="673" t="s">
        <v>185</v>
      </c>
      <c r="Z7" s="673" t="s">
        <v>186</v>
      </c>
      <c r="AA7" s="673" t="s">
        <v>187</v>
      </c>
      <c r="AB7" s="673" t="s">
        <v>188</v>
      </c>
      <c r="AC7" s="673" t="s">
        <v>189</v>
      </c>
      <c r="AD7" s="673" t="s">
        <v>190</v>
      </c>
      <c r="AE7" s="673" t="s">
        <v>191</v>
      </c>
      <c r="AF7" s="673" t="s">
        <v>192</v>
      </c>
      <c r="AG7" s="673" t="s">
        <v>193</v>
      </c>
      <c r="AH7" s="673" t="s">
        <v>194</v>
      </c>
      <c r="AI7" s="673" t="s">
        <v>195</v>
      </c>
      <c r="AJ7" s="673" t="s">
        <v>196</v>
      </c>
      <c r="AK7" s="673" t="s">
        <v>197</v>
      </c>
      <c r="AL7" s="673" t="s">
        <v>198</v>
      </c>
      <c r="AM7" s="673" t="s">
        <v>199</v>
      </c>
      <c r="AN7" s="673" t="s">
        <v>200</v>
      </c>
      <c r="AO7" s="673" t="s">
        <v>201</v>
      </c>
      <c r="AP7" s="673" t="s">
        <v>202</v>
      </c>
      <c r="AQ7" s="673" t="s">
        <v>203</v>
      </c>
      <c r="AR7" s="673" t="s">
        <v>204</v>
      </c>
      <c r="AS7" s="673" t="s">
        <v>205</v>
      </c>
      <c r="AT7" s="673" t="s">
        <v>206</v>
      </c>
      <c r="AU7" s="669" t="s">
        <v>207</v>
      </c>
      <c r="AV7" s="669" t="s">
        <v>208</v>
      </c>
      <c r="AW7" s="669" t="s">
        <v>209</v>
      </c>
      <c r="AX7" s="669" t="s">
        <v>210</v>
      </c>
      <c r="AY7" s="669" t="s">
        <v>211</v>
      </c>
      <c r="AZ7" s="669" t="s">
        <v>212</v>
      </c>
      <c r="BA7" s="669" t="s">
        <v>213</v>
      </c>
      <c r="BB7" s="669" t="s">
        <v>214</v>
      </c>
      <c r="BC7" s="669" t="s">
        <v>215</v>
      </c>
      <c r="BD7" s="669" t="s">
        <v>216</v>
      </c>
      <c r="BE7" s="669" t="s">
        <v>217</v>
      </c>
      <c r="BF7" s="669" t="s">
        <v>218</v>
      </c>
      <c r="BG7" s="669" t="s">
        <v>219</v>
      </c>
      <c r="BH7" s="669" t="s">
        <v>220</v>
      </c>
      <c r="BI7" s="669" t="s">
        <v>221</v>
      </c>
      <c r="BJ7" s="669" t="s">
        <v>222</v>
      </c>
      <c r="BK7" s="669" t="s">
        <v>223</v>
      </c>
      <c r="BL7" s="669" t="s">
        <v>224</v>
      </c>
      <c r="BM7" s="669" t="s">
        <v>225</v>
      </c>
      <c r="BN7" s="669" t="s">
        <v>226</v>
      </c>
      <c r="BO7" s="669" t="s">
        <v>227</v>
      </c>
      <c r="BP7" s="669" t="s">
        <v>228</v>
      </c>
      <c r="BQ7" s="669" t="s">
        <v>229</v>
      </c>
      <c r="BR7" s="669" t="s">
        <v>230</v>
      </c>
      <c r="BS7" s="669" t="s">
        <v>231</v>
      </c>
      <c r="BT7" s="669" t="s">
        <v>232</v>
      </c>
      <c r="BU7" s="669" t="s">
        <v>233</v>
      </c>
      <c r="BV7" s="669" t="s">
        <v>234</v>
      </c>
      <c r="BW7" s="669" t="s">
        <v>235</v>
      </c>
      <c r="BX7" s="669" t="s">
        <v>236</v>
      </c>
      <c r="BY7" s="669" t="s">
        <v>237</v>
      </c>
      <c r="BZ7" s="669" t="s">
        <v>238</v>
      </c>
      <c r="CA7" s="669" t="s">
        <v>239</v>
      </c>
      <c r="CB7" s="669" t="s">
        <v>240</v>
      </c>
      <c r="CC7" s="669" t="s">
        <v>241</v>
      </c>
      <c r="CD7" s="669" t="s">
        <v>242</v>
      </c>
      <c r="CE7" s="669" t="s">
        <v>243</v>
      </c>
    </row>
    <row r="8" spans="1:83">
      <c r="A8" s="669" t="s">
        <v>244</v>
      </c>
      <c r="B8" s="669" t="s">
        <v>245</v>
      </c>
      <c r="C8" s="674">
        <v>2.0350000000000001</v>
      </c>
      <c r="D8" s="674">
        <v>2.06</v>
      </c>
      <c r="E8" s="674">
        <v>2.0649999999999999</v>
      </c>
      <c r="F8" s="674">
        <v>2.0870000000000002</v>
      </c>
      <c r="G8" s="674">
        <v>2.1040000000000001</v>
      </c>
      <c r="H8" s="674">
        <v>2.1150000000000002</v>
      </c>
      <c r="I8" s="674">
        <v>2.1509999999999998</v>
      </c>
      <c r="J8" s="674">
        <v>2.17</v>
      </c>
      <c r="K8" s="674">
        <v>2.1869999999999998</v>
      </c>
      <c r="L8" s="674">
        <v>2.2120000000000002</v>
      </c>
      <c r="M8" s="674">
        <v>2.2349999999999999</v>
      </c>
      <c r="N8" s="674">
        <v>2.2210000000000001</v>
      </c>
      <c r="O8" s="674">
        <v>2.2320000000000002</v>
      </c>
      <c r="P8" s="674">
        <v>2.258</v>
      </c>
      <c r="Q8" s="674">
        <v>2.2759999999999998</v>
      </c>
      <c r="R8" s="674">
        <v>2.302</v>
      </c>
      <c r="S8" s="674">
        <v>2.3199999999999998</v>
      </c>
      <c r="T8" s="674">
        <v>2.3639999999999999</v>
      </c>
      <c r="U8" s="674">
        <v>2.4049999999999998</v>
      </c>
      <c r="V8" s="674">
        <v>2.351</v>
      </c>
      <c r="W8" s="674">
        <v>2.34</v>
      </c>
      <c r="X8" s="674">
        <v>2.347</v>
      </c>
      <c r="Y8" s="674">
        <v>2.367</v>
      </c>
      <c r="Z8" s="674">
        <v>2.3809999999999998</v>
      </c>
      <c r="AA8" s="674">
        <v>2.379</v>
      </c>
      <c r="AB8" s="674">
        <v>2.383</v>
      </c>
      <c r="AC8" s="674">
        <v>2.3980000000000001</v>
      </c>
      <c r="AD8" s="674">
        <v>2.4220000000000002</v>
      </c>
      <c r="AE8" s="674">
        <v>2.4319999999999999</v>
      </c>
      <c r="AF8" s="674">
        <v>2.4769999999999999</v>
      </c>
      <c r="AG8" s="674">
        <v>2.4889999999999999</v>
      </c>
      <c r="AH8" s="674">
        <v>2.4969999999999999</v>
      </c>
      <c r="AI8" s="674">
        <v>2.5129999999999999</v>
      </c>
      <c r="AJ8" s="674">
        <v>2.5190000000000001</v>
      </c>
      <c r="AK8" s="674">
        <v>2.5299999999999998</v>
      </c>
      <c r="AL8" s="674">
        <v>2.5499999999999998</v>
      </c>
      <c r="AM8" s="674">
        <v>2.5569999999999999</v>
      </c>
      <c r="AN8" s="674">
        <v>2.5550000000000002</v>
      </c>
      <c r="AO8" s="674">
        <v>2.5739999999999998</v>
      </c>
      <c r="AP8" s="674">
        <v>2.589</v>
      </c>
      <c r="AQ8" s="674">
        <v>2.597</v>
      </c>
      <c r="AR8" s="674">
        <v>2.6080000000000001</v>
      </c>
      <c r="AS8" s="674">
        <v>2.6139999999999999</v>
      </c>
      <c r="AT8" s="674">
        <v>2.617</v>
      </c>
      <c r="AU8" s="664">
        <v>2.6120000000000001</v>
      </c>
      <c r="AV8" s="664">
        <v>2.6230000000000002</v>
      </c>
      <c r="AW8" s="664">
        <v>2.6190000000000002</v>
      </c>
      <c r="AX8" s="664">
        <v>2.6269999999999998</v>
      </c>
      <c r="AY8" s="664">
        <v>2.621</v>
      </c>
      <c r="AZ8" s="664">
        <v>2.6419999999999999</v>
      </c>
      <c r="BA8" s="664">
        <v>2.6629999999999998</v>
      </c>
      <c r="BB8" s="664">
        <v>2.6779999999999999</v>
      </c>
      <c r="BC8" s="664">
        <v>2.694</v>
      </c>
      <c r="BD8" s="664">
        <v>2.6960000000000002</v>
      </c>
      <c r="BE8" s="664">
        <v>2.7080000000000002</v>
      </c>
      <c r="BF8" s="664">
        <v>2.72</v>
      </c>
      <c r="BG8" s="664">
        <v>2.7589999999999999</v>
      </c>
      <c r="BH8" s="664">
        <v>2.7719999999999998</v>
      </c>
      <c r="BI8" s="664">
        <v>2.7810000000000001</v>
      </c>
      <c r="BJ8" s="664">
        <v>2.7879999999999998</v>
      </c>
      <c r="BK8" s="664">
        <v>2.794</v>
      </c>
      <c r="BL8" s="664">
        <v>2.8210000000000002</v>
      </c>
      <c r="BM8" s="664">
        <v>2.843</v>
      </c>
      <c r="BN8" s="664">
        <v>2.8580000000000001</v>
      </c>
      <c r="BO8" s="664">
        <v>2.87</v>
      </c>
      <c r="BP8" s="664">
        <v>2.879</v>
      </c>
      <c r="BQ8" s="664">
        <v>2.8940000000000001</v>
      </c>
      <c r="BR8" s="664">
        <v>2.9039999999999999</v>
      </c>
      <c r="BS8" s="664">
        <v>2.927</v>
      </c>
      <c r="BT8" s="664">
        <v>2.9470000000000001</v>
      </c>
      <c r="BU8" s="664">
        <v>2.9670000000000001</v>
      </c>
      <c r="BV8" s="664">
        <v>2.9849999999999999</v>
      </c>
      <c r="BW8" s="664">
        <v>3.004</v>
      </c>
      <c r="BX8" s="664">
        <v>3.0209999999999999</v>
      </c>
      <c r="BY8" s="664">
        <v>3.0390000000000001</v>
      </c>
      <c r="BZ8" s="664">
        <v>3.0590000000000002</v>
      </c>
      <c r="CA8" s="664">
        <v>3.0779999999999998</v>
      </c>
      <c r="CB8" s="664">
        <v>3.0939999999999999</v>
      </c>
      <c r="CC8" s="664">
        <v>3.1139999999999999</v>
      </c>
      <c r="CD8" s="664">
        <v>3.1339999999999999</v>
      </c>
    </row>
    <row r="9" spans="1:83">
      <c r="A9" s="669" t="s">
        <v>246</v>
      </c>
      <c r="B9" s="669" t="s">
        <v>247</v>
      </c>
      <c r="C9" s="674">
        <v>2.0350000000000001</v>
      </c>
      <c r="D9" s="674">
        <v>2.06</v>
      </c>
      <c r="E9" s="674">
        <v>2.0649999999999999</v>
      </c>
      <c r="F9" s="674">
        <v>2.0870000000000002</v>
      </c>
      <c r="G9" s="674">
        <v>2.1040000000000001</v>
      </c>
      <c r="H9" s="674">
        <v>2.1150000000000002</v>
      </c>
      <c r="I9" s="674">
        <v>2.1509999999999998</v>
      </c>
      <c r="J9" s="674">
        <v>2.17</v>
      </c>
      <c r="K9" s="674">
        <v>2.1869999999999998</v>
      </c>
      <c r="L9" s="674">
        <v>2.2120000000000002</v>
      </c>
      <c r="M9" s="674">
        <v>2.2349999999999999</v>
      </c>
      <c r="N9" s="674">
        <v>2.2210000000000001</v>
      </c>
      <c r="O9" s="674">
        <v>2.2320000000000002</v>
      </c>
      <c r="P9" s="674">
        <v>2.258</v>
      </c>
      <c r="Q9" s="674">
        <v>2.2759999999999998</v>
      </c>
      <c r="R9" s="674">
        <v>2.302</v>
      </c>
      <c r="S9" s="674">
        <v>2.3199999999999998</v>
      </c>
      <c r="T9" s="674">
        <v>2.3639999999999999</v>
      </c>
      <c r="U9" s="674">
        <v>2.4049999999999998</v>
      </c>
      <c r="V9" s="674">
        <v>2.351</v>
      </c>
      <c r="W9" s="674">
        <v>2.34</v>
      </c>
      <c r="X9" s="674">
        <v>2.347</v>
      </c>
      <c r="Y9" s="674">
        <v>2.367</v>
      </c>
      <c r="Z9" s="674">
        <v>2.3809999999999998</v>
      </c>
      <c r="AA9" s="674">
        <v>2.379</v>
      </c>
      <c r="AB9" s="674">
        <v>2.383</v>
      </c>
      <c r="AC9" s="674">
        <v>2.3980000000000001</v>
      </c>
      <c r="AD9" s="674">
        <v>2.4220000000000002</v>
      </c>
      <c r="AE9" s="674">
        <v>2.4319999999999999</v>
      </c>
      <c r="AF9" s="674">
        <v>2.4769999999999999</v>
      </c>
      <c r="AG9" s="674">
        <v>2.4889999999999999</v>
      </c>
      <c r="AH9" s="674">
        <v>2.4969999999999999</v>
      </c>
      <c r="AI9" s="674">
        <v>2.5129999999999999</v>
      </c>
      <c r="AJ9" s="674">
        <v>2.5190000000000001</v>
      </c>
      <c r="AK9" s="674">
        <v>2.5299999999999998</v>
      </c>
      <c r="AL9" s="674">
        <v>2.5499999999999998</v>
      </c>
      <c r="AM9" s="674">
        <v>2.5569999999999999</v>
      </c>
      <c r="AN9" s="674">
        <v>2.5550000000000002</v>
      </c>
      <c r="AO9" s="674">
        <v>2.5739999999999998</v>
      </c>
      <c r="AP9" s="674">
        <v>2.589</v>
      </c>
      <c r="AQ9" s="674">
        <v>2.597</v>
      </c>
      <c r="AR9" s="674">
        <v>2.6080000000000001</v>
      </c>
      <c r="AS9" s="674">
        <v>2.6139999999999999</v>
      </c>
      <c r="AT9" s="674">
        <v>2.617</v>
      </c>
      <c r="AU9" s="664">
        <v>2.6120000000000001</v>
      </c>
      <c r="AV9" s="664">
        <v>2.6230000000000002</v>
      </c>
      <c r="AW9" s="664">
        <v>2.6190000000000002</v>
      </c>
      <c r="AX9" s="664">
        <v>2.6269999999999998</v>
      </c>
      <c r="AY9" s="664">
        <v>2.621</v>
      </c>
      <c r="AZ9" s="664">
        <v>2.6419999999999999</v>
      </c>
      <c r="BA9" s="664">
        <v>2.6629999999999998</v>
      </c>
      <c r="BB9" s="664">
        <v>2.6779999999999999</v>
      </c>
      <c r="BC9" s="664">
        <v>2.694</v>
      </c>
      <c r="BD9" s="664">
        <v>2.6960000000000002</v>
      </c>
      <c r="BE9" s="664">
        <v>2.7080000000000002</v>
      </c>
      <c r="BF9" s="664">
        <v>2.72</v>
      </c>
      <c r="BG9" s="664">
        <v>2.7589999999999999</v>
      </c>
      <c r="BH9" s="664">
        <v>2.7719999999999998</v>
      </c>
      <c r="BI9" s="664">
        <v>2.7810000000000001</v>
      </c>
      <c r="BJ9" s="664">
        <v>2.7879999999999998</v>
      </c>
      <c r="BK9" s="664">
        <v>2.794</v>
      </c>
      <c r="BL9" s="664">
        <v>2.8180000000000001</v>
      </c>
      <c r="BM9" s="664">
        <v>2.8359999999999999</v>
      </c>
      <c r="BN9" s="664">
        <v>2.8490000000000002</v>
      </c>
      <c r="BO9" s="664">
        <v>2.86</v>
      </c>
      <c r="BP9" s="664">
        <v>2.8660000000000001</v>
      </c>
      <c r="BQ9" s="664">
        <v>2.8780000000000001</v>
      </c>
      <c r="BR9" s="664">
        <v>2.8860000000000001</v>
      </c>
      <c r="BS9" s="664">
        <v>2.9049999999999998</v>
      </c>
      <c r="BT9" s="664">
        <v>2.9220000000000002</v>
      </c>
      <c r="BU9" s="664">
        <v>2.9369999999999998</v>
      </c>
      <c r="BV9" s="664">
        <v>2.9510000000000001</v>
      </c>
      <c r="BW9" s="664">
        <v>2.964</v>
      </c>
      <c r="BX9" s="664">
        <v>2.976</v>
      </c>
      <c r="BY9" s="664">
        <v>2.99</v>
      </c>
      <c r="BZ9" s="664">
        <v>3.0030000000000001</v>
      </c>
      <c r="CA9" s="664">
        <v>3.0179999999999998</v>
      </c>
      <c r="CB9" s="664">
        <v>3.0289999999999999</v>
      </c>
      <c r="CC9" s="664">
        <v>3.0449999999999999</v>
      </c>
      <c r="CD9" s="664">
        <v>3.0609999999999999</v>
      </c>
    </row>
    <row r="10" spans="1:83">
      <c r="A10" s="669" t="s">
        <v>248</v>
      </c>
      <c r="B10" s="669" t="s">
        <v>249</v>
      </c>
      <c r="C10" s="674">
        <v>2.0350000000000001</v>
      </c>
      <c r="D10" s="674">
        <v>2.06</v>
      </c>
      <c r="E10" s="674">
        <v>2.0649999999999999</v>
      </c>
      <c r="F10" s="674">
        <v>2.0870000000000002</v>
      </c>
      <c r="G10" s="674">
        <v>2.1040000000000001</v>
      </c>
      <c r="H10" s="674">
        <v>2.1150000000000002</v>
      </c>
      <c r="I10" s="674">
        <v>2.1509999999999998</v>
      </c>
      <c r="J10" s="674">
        <v>2.17</v>
      </c>
      <c r="K10" s="674">
        <v>2.1869999999999998</v>
      </c>
      <c r="L10" s="674">
        <v>2.2120000000000002</v>
      </c>
      <c r="M10" s="674">
        <v>2.2349999999999999</v>
      </c>
      <c r="N10" s="674">
        <v>2.2210000000000001</v>
      </c>
      <c r="O10" s="674">
        <v>2.2320000000000002</v>
      </c>
      <c r="P10" s="674">
        <v>2.258</v>
      </c>
      <c r="Q10" s="674">
        <v>2.2759999999999998</v>
      </c>
      <c r="R10" s="674">
        <v>2.302</v>
      </c>
      <c r="S10" s="674">
        <v>2.3199999999999998</v>
      </c>
      <c r="T10" s="674">
        <v>2.3639999999999999</v>
      </c>
      <c r="U10" s="674">
        <v>2.4049999999999998</v>
      </c>
      <c r="V10" s="674">
        <v>2.351</v>
      </c>
      <c r="W10" s="674">
        <v>2.34</v>
      </c>
      <c r="X10" s="674">
        <v>2.347</v>
      </c>
      <c r="Y10" s="674">
        <v>2.367</v>
      </c>
      <c r="Z10" s="674">
        <v>2.3809999999999998</v>
      </c>
      <c r="AA10" s="674">
        <v>2.379</v>
      </c>
      <c r="AB10" s="674">
        <v>2.383</v>
      </c>
      <c r="AC10" s="674">
        <v>2.3980000000000001</v>
      </c>
      <c r="AD10" s="674">
        <v>2.4220000000000002</v>
      </c>
      <c r="AE10" s="674">
        <v>2.4319999999999999</v>
      </c>
      <c r="AF10" s="674">
        <v>2.4769999999999999</v>
      </c>
      <c r="AG10" s="674">
        <v>2.4889999999999999</v>
      </c>
      <c r="AH10" s="674">
        <v>2.4969999999999999</v>
      </c>
      <c r="AI10" s="674">
        <v>2.5129999999999999</v>
      </c>
      <c r="AJ10" s="674">
        <v>2.5190000000000001</v>
      </c>
      <c r="AK10" s="674">
        <v>2.5299999999999998</v>
      </c>
      <c r="AL10" s="674">
        <v>2.5499999999999998</v>
      </c>
      <c r="AM10" s="674">
        <v>2.5569999999999999</v>
      </c>
      <c r="AN10" s="674">
        <v>2.5550000000000002</v>
      </c>
      <c r="AO10" s="674">
        <v>2.5739999999999998</v>
      </c>
      <c r="AP10" s="674">
        <v>2.589</v>
      </c>
      <c r="AQ10" s="674">
        <v>2.597</v>
      </c>
      <c r="AR10" s="674">
        <v>2.6080000000000001</v>
      </c>
      <c r="AS10" s="674">
        <v>2.6139999999999999</v>
      </c>
      <c r="AT10" s="674">
        <v>2.617</v>
      </c>
      <c r="AU10" s="664">
        <v>2.6120000000000001</v>
      </c>
      <c r="AV10" s="664">
        <v>2.6230000000000002</v>
      </c>
      <c r="AW10" s="664">
        <v>2.6190000000000002</v>
      </c>
      <c r="AX10" s="664">
        <v>2.6269999999999998</v>
      </c>
      <c r="AY10" s="664">
        <v>2.621</v>
      </c>
      <c r="AZ10" s="664">
        <v>2.6419999999999999</v>
      </c>
      <c r="BA10" s="664">
        <v>2.6629999999999998</v>
      </c>
      <c r="BB10" s="664">
        <v>2.6779999999999999</v>
      </c>
      <c r="BC10" s="664">
        <v>2.694</v>
      </c>
      <c r="BD10" s="664">
        <v>2.6960000000000002</v>
      </c>
      <c r="BE10" s="664">
        <v>2.7080000000000002</v>
      </c>
      <c r="BF10" s="664">
        <v>2.72</v>
      </c>
      <c r="BG10" s="664">
        <v>2.7589999999999999</v>
      </c>
      <c r="BH10" s="664">
        <v>2.7719999999999998</v>
      </c>
      <c r="BI10" s="664">
        <v>2.7810000000000001</v>
      </c>
      <c r="BJ10" s="664">
        <v>2.7879999999999998</v>
      </c>
      <c r="BK10" s="664">
        <v>2.794</v>
      </c>
      <c r="BL10" s="664">
        <v>2.8239999999999998</v>
      </c>
      <c r="BM10" s="664">
        <v>2.8479999999999999</v>
      </c>
      <c r="BN10" s="664">
        <v>2.867</v>
      </c>
      <c r="BO10" s="664">
        <v>2.8839999999999999</v>
      </c>
      <c r="BP10" s="664">
        <v>2.8959999999999999</v>
      </c>
      <c r="BQ10" s="664">
        <v>2.9169999999999998</v>
      </c>
      <c r="BR10" s="664">
        <v>2.9319999999999999</v>
      </c>
      <c r="BS10" s="664">
        <v>2.96</v>
      </c>
      <c r="BT10" s="664">
        <v>2.9870000000000001</v>
      </c>
      <c r="BU10" s="664">
        <v>3.0129999999999999</v>
      </c>
      <c r="BV10" s="664">
        <v>3.0369999999999999</v>
      </c>
      <c r="BW10" s="664">
        <v>3.0619999999999998</v>
      </c>
      <c r="BX10" s="664">
        <v>3.0859999999999999</v>
      </c>
      <c r="BY10" s="664">
        <v>3.1120000000000001</v>
      </c>
      <c r="BZ10" s="664">
        <v>3.1389999999999998</v>
      </c>
      <c r="CA10" s="664">
        <v>3.1669999999999998</v>
      </c>
      <c r="CB10" s="664">
        <v>3.19</v>
      </c>
      <c r="CC10" s="664">
        <v>3.218</v>
      </c>
      <c r="CD10" s="664">
        <v>3.246</v>
      </c>
    </row>
    <row r="12" spans="1:83"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5"/>
      <c r="AK12" s="675"/>
      <c r="AL12" s="675"/>
      <c r="AM12" s="675"/>
      <c r="AN12" s="675"/>
      <c r="AO12" s="675"/>
      <c r="AP12" s="675"/>
      <c r="AQ12" s="675"/>
      <c r="AR12" s="675"/>
      <c r="AS12" s="675"/>
      <c r="AT12" s="675"/>
    </row>
    <row r="13" spans="1:83">
      <c r="C13" s="675"/>
      <c r="D13" s="675"/>
      <c r="E13" s="675"/>
      <c r="F13" s="675"/>
      <c r="G13" s="675"/>
      <c r="H13" s="675"/>
      <c r="I13" s="675"/>
      <c r="J13" s="675"/>
      <c r="K13" s="675"/>
      <c r="L13" s="675"/>
      <c r="M13" s="675"/>
      <c r="N13" s="675"/>
      <c r="O13" s="675"/>
      <c r="P13" s="675"/>
      <c r="Q13" s="675"/>
      <c r="R13" s="675"/>
      <c r="S13" s="675"/>
      <c r="T13" s="675"/>
      <c r="U13" s="675"/>
      <c r="V13" s="675"/>
      <c r="W13" s="675"/>
      <c r="X13" s="675"/>
      <c r="Y13" s="675"/>
      <c r="Z13" s="675"/>
      <c r="AA13" s="675"/>
      <c r="AB13" s="675"/>
      <c r="AC13" s="675"/>
      <c r="AD13" s="675"/>
      <c r="AE13" s="675"/>
      <c r="AF13" s="675"/>
      <c r="AG13" s="675"/>
      <c r="AH13" s="675"/>
      <c r="AI13" s="675"/>
      <c r="AJ13" s="675"/>
      <c r="AK13" s="675"/>
      <c r="AL13" s="675"/>
      <c r="AM13" s="675"/>
      <c r="AN13" s="675"/>
      <c r="AO13" s="675"/>
      <c r="AP13" s="675"/>
      <c r="AQ13" s="675"/>
      <c r="AR13" s="675"/>
      <c r="AS13" s="675"/>
      <c r="AT13" s="675"/>
    </row>
    <row r="14" spans="1:83">
      <c r="C14" s="674"/>
      <c r="D14" s="674"/>
      <c r="E14" s="674"/>
      <c r="F14" s="674"/>
      <c r="G14" s="674"/>
      <c r="H14" s="674"/>
      <c r="I14" s="674"/>
      <c r="J14" s="674"/>
      <c r="K14" s="674"/>
      <c r="L14" s="674"/>
      <c r="M14" s="674"/>
      <c r="N14" s="674"/>
      <c r="O14" s="674"/>
      <c r="P14" s="674"/>
      <c r="Q14" s="674"/>
      <c r="R14" s="674"/>
      <c r="S14" s="674"/>
      <c r="T14" s="674"/>
      <c r="U14" s="674"/>
      <c r="V14" s="674"/>
      <c r="W14" s="674"/>
      <c r="X14" s="674"/>
      <c r="Y14" s="674"/>
      <c r="Z14" s="674"/>
      <c r="AA14" s="674"/>
      <c r="AB14" s="674"/>
      <c r="AC14" s="674"/>
      <c r="AD14" s="674"/>
      <c r="AE14" s="674"/>
      <c r="AF14" s="674"/>
      <c r="AG14" s="674"/>
      <c r="AH14" s="674"/>
      <c r="AI14" s="674"/>
      <c r="AJ14" s="674"/>
      <c r="AK14" s="674"/>
      <c r="AL14" s="674"/>
      <c r="AM14" s="674"/>
      <c r="AN14" s="674"/>
      <c r="AO14" s="674"/>
      <c r="AP14" s="674"/>
      <c r="AQ14" s="674"/>
      <c r="AR14" s="674"/>
      <c r="AS14" s="674"/>
      <c r="AT14" s="674"/>
    </row>
    <row r="15" spans="1:83">
      <c r="C15" s="674"/>
      <c r="D15" s="674"/>
      <c r="E15" s="674"/>
      <c r="F15" s="674"/>
      <c r="G15" s="674"/>
      <c r="H15" s="674"/>
      <c r="I15" s="674"/>
      <c r="J15" s="674"/>
      <c r="K15" s="674"/>
      <c r="L15" s="674"/>
      <c r="M15" s="674"/>
      <c r="N15" s="674"/>
      <c r="O15" s="674"/>
      <c r="P15" s="674"/>
      <c r="Q15" s="674"/>
      <c r="R15" s="674"/>
      <c r="S15" s="674"/>
      <c r="T15" s="674"/>
      <c r="U15" s="674"/>
      <c r="V15" s="674"/>
      <c r="W15" s="674"/>
      <c r="X15" s="674"/>
      <c r="Y15" s="674"/>
      <c r="Z15" s="674"/>
      <c r="AA15" s="674"/>
      <c r="AB15" s="674"/>
      <c r="AC15" s="674"/>
      <c r="AD15" s="674"/>
      <c r="AE15" s="674"/>
      <c r="AF15" s="674"/>
      <c r="AG15" s="674"/>
      <c r="AH15" s="674"/>
      <c r="AI15" s="674"/>
      <c r="AJ15" s="674"/>
      <c r="AK15" s="674"/>
      <c r="AL15" s="674"/>
      <c r="AM15" s="674"/>
      <c r="AN15" s="674"/>
      <c r="AO15" s="674"/>
      <c r="AP15" s="674"/>
      <c r="AQ15" s="674"/>
      <c r="AR15" s="674"/>
      <c r="AS15" s="674"/>
      <c r="AT15" s="674"/>
      <c r="BJ15" s="640" t="s">
        <v>250</v>
      </c>
      <c r="BK15" s="641"/>
      <c r="BL15" s="641"/>
      <c r="BM15" s="642" t="s">
        <v>263</v>
      </c>
      <c r="BN15" s="643"/>
      <c r="BO15" s="643"/>
      <c r="BP15" s="643"/>
      <c r="BQ15" s="643"/>
      <c r="BR15" s="643"/>
      <c r="BS15" s="641"/>
      <c r="BT15" s="641"/>
      <c r="BU15" s="641"/>
    </row>
    <row r="16" spans="1:83">
      <c r="C16" s="674"/>
      <c r="D16" s="674"/>
      <c r="E16" s="674"/>
      <c r="F16" s="674"/>
      <c r="G16" s="674"/>
      <c r="H16" s="674"/>
      <c r="I16" s="674"/>
      <c r="J16" s="674"/>
      <c r="K16" s="674"/>
      <c r="L16" s="674"/>
      <c r="M16" s="674"/>
      <c r="N16" s="674"/>
      <c r="O16" s="674"/>
      <c r="P16" s="674"/>
      <c r="Q16" s="674"/>
      <c r="R16" s="674"/>
      <c r="S16" s="674"/>
      <c r="T16" s="674"/>
      <c r="U16" s="674"/>
      <c r="V16" s="674"/>
      <c r="W16" s="674"/>
      <c r="X16" s="674"/>
      <c r="Y16" s="674"/>
      <c r="Z16" s="674"/>
      <c r="AA16" s="674"/>
      <c r="AB16" s="674"/>
      <c r="AC16" s="674"/>
      <c r="AD16" s="674"/>
      <c r="AE16" s="674"/>
      <c r="AF16" s="674"/>
      <c r="AG16" s="674"/>
      <c r="AH16" s="674"/>
      <c r="AI16" s="674"/>
      <c r="AJ16" s="674"/>
      <c r="AK16" s="674"/>
      <c r="AL16" s="674"/>
      <c r="AM16" s="674"/>
      <c r="AN16" s="674"/>
      <c r="AO16" s="674"/>
      <c r="AP16" s="674"/>
      <c r="AQ16" s="674"/>
      <c r="AR16" s="674"/>
      <c r="AS16" s="674"/>
      <c r="AT16" s="674"/>
      <c r="BJ16" s="644"/>
      <c r="BK16" s="645"/>
      <c r="BL16" s="645"/>
      <c r="BM16" s="645"/>
      <c r="BN16" s="645"/>
      <c r="BO16" s="645"/>
      <c r="BP16" s="645"/>
      <c r="BQ16" s="645"/>
      <c r="BR16" s="645"/>
      <c r="BS16" s="645"/>
      <c r="BT16" s="645"/>
      <c r="BU16" s="646"/>
    </row>
    <row r="17" spans="3:73">
      <c r="C17" s="676"/>
      <c r="D17" s="676"/>
      <c r="E17" s="676"/>
      <c r="F17" s="676"/>
      <c r="G17" s="676"/>
      <c r="H17" s="676"/>
      <c r="I17" s="676"/>
      <c r="J17" s="676"/>
      <c r="K17" s="676"/>
      <c r="L17" s="676"/>
      <c r="M17" s="676"/>
      <c r="N17" s="676"/>
      <c r="O17" s="676"/>
      <c r="P17" s="676"/>
      <c r="Q17" s="676"/>
      <c r="R17" s="676"/>
      <c r="S17" s="676"/>
      <c r="T17" s="676"/>
      <c r="U17" s="676"/>
      <c r="V17" s="676"/>
      <c r="W17" s="676"/>
      <c r="X17" s="676"/>
      <c r="Y17" s="676"/>
      <c r="Z17" s="676"/>
      <c r="AA17" s="676"/>
      <c r="AB17" s="676"/>
      <c r="AC17" s="676"/>
      <c r="AD17" s="676"/>
      <c r="AE17" s="676"/>
      <c r="AF17" s="676"/>
      <c r="AG17" s="676"/>
      <c r="AH17" s="676"/>
      <c r="AI17" s="676"/>
      <c r="AJ17" s="676"/>
      <c r="AK17" s="676"/>
      <c r="AL17" s="676"/>
      <c r="AM17" s="676"/>
      <c r="AN17" s="676"/>
      <c r="AO17" s="676"/>
      <c r="AP17" s="676"/>
      <c r="BJ17" s="647"/>
      <c r="BK17" s="648" t="s">
        <v>252</v>
      </c>
      <c r="BL17" s="649" t="s">
        <v>258</v>
      </c>
      <c r="BM17" s="649"/>
      <c r="BN17" s="649"/>
      <c r="BO17" s="649"/>
      <c r="BP17" s="649"/>
      <c r="BQ17" s="649"/>
      <c r="BR17" s="649"/>
      <c r="BS17" s="649"/>
      <c r="BT17" s="649"/>
      <c r="BU17" s="650"/>
    </row>
    <row r="18" spans="3:73">
      <c r="BJ18" s="647"/>
      <c r="BK18" s="649"/>
      <c r="BL18" s="673" t="s">
        <v>226</v>
      </c>
      <c r="BM18" s="649"/>
      <c r="BN18" s="649"/>
      <c r="BO18" s="649"/>
      <c r="BP18" s="649"/>
      <c r="BQ18" s="649"/>
      <c r="BR18" s="649"/>
      <c r="BS18" s="649"/>
      <c r="BT18" s="649"/>
      <c r="BU18" s="651" t="s">
        <v>45</v>
      </c>
    </row>
    <row r="19" spans="3:73">
      <c r="BJ19" s="647"/>
      <c r="BK19" s="649"/>
      <c r="BL19" s="674">
        <f>BN9</f>
        <v>2.8490000000000002</v>
      </c>
      <c r="BM19" s="649"/>
      <c r="BN19" s="649"/>
      <c r="BO19" s="649"/>
      <c r="BP19" s="649"/>
      <c r="BQ19" s="649"/>
      <c r="BR19" s="649"/>
      <c r="BS19" s="649"/>
      <c r="BT19" s="649"/>
      <c r="BU19" s="653">
        <f>BL19</f>
        <v>2.8490000000000002</v>
      </c>
    </row>
    <row r="20" spans="3:73">
      <c r="BJ20" s="647"/>
      <c r="BK20" s="649"/>
      <c r="BL20" s="649"/>
      <c r="BM20" s="649"/>
      <c r="BN20" s="649"/>
      <c r="BO20" s="649"/>
      <c r="BP20" s="649"/>
      <c r="BQ20" s="649"/>
      <c r="BR20" s="649"/>
      <c r="BS20" s="649"/>
      <c r="BT20" s="649"/>
      <c r="BU20" s="654"/>
    </row>
    <row r="21" spans="3:73">
      <c r="BJ21" s="823" t="s">
        <v>264</v>
      </c>
      <c r="BK21" s="824"/>
      <c r="BL21" s="824"/>
      <c r="BM21" s="649"/>
      <c r="BN21" s="649"/>
      <c r="BO21" s="649"/>
      <c r="BP21" s="649"/>
      <c r="BQ21" s="649"/>
      <c r="BR21" s="649"/>
      <c r="BS21" s="649"/>
      <c r="BT21" s="649"/>
      <c r="BU21" s="654"/>
    </row>
    <row r="22" spans="3:73">
      <c r="BJ22" s="647"/>
      <c r="BK22" s="649"/>
      <c r="BL22" s="669" t="s">
        <v>227</v>
      </c>
      <c r="BM22" s="669" t="str">
        <f>BP7</f>
        <v>2020Q2</v>
      </c>
      <c r="BN22" s="669" t="str">
        <f t="shared" ref="BN22:BS22" si="0">BQ7</f>
        <v>2020Q3</v>
      </c>
      <c r="BO22" s="669" t="str">
        <f t="shared" si="0"/>
        <v>2020Q4</v>
      </c>
      <c r="BP22" s="669" t="str">
        <f t="shared" si="0"/>
        <v>2021Q1</v>
      </c>
      <c r="BQ22" s="669" t="str">
        <f t="shared" si="0"/>
        <v>2021Q2</v>
      </c>
      <c r="BR22" s="669" t="str">
        <f t="shared" si="0"/>
        <v>2021Q3</v>
      </c>
      <c r="BS22" s="669" t="str">
        <f t="shared" si="0"/>
        <v>2021Q4</v>
      </c>
      <c r="BT22" s="649"/>
      <c r="BU22" s="654"/>
    </row>
    <row r="23" spans="3:73">
      <c r="BJ23" s="647"/>
      <c r="BK23" s="649"/>
      <c r="BL23" s="674">
        <f>BO9</f>
        <v>2.86</v>
      </c>
      <c r="BM23" s="674">
        <f t="shared" ref="BM23:BS23" si="1">BP9</f>
        <v>2.8660000000000001</v>
      </c>
      <c r="BN23" s="674">
        <f t="shared" si="1"/>
        <v>2.8780000000000001</v>
      </c>
      <c r="BO23" s="674">
        <f t="shared" si="1"/>
        <v>2.8860000000000001</v>
      </c>
      <c r="BP23" s="674">
        <f t="shared" si="1"/>
        <v>2.9049999999999998</v>
      </c>
      <c r="BQ23" s="674">
        <f t="shared" si="1"/>
        <v>2.9220000000000002</v>
      </c>
      <c r="BR23" s="674">
        <f t="shared" si="1"/>
        <v>2.9369999999999998</v>
      </c>
      <c r="BS23" s="674">
        <f t="shared" si="1"/>
        <v>2.9510000000000001</v>
      </c>
      <c r="BT23" s="649"/>
      <c r="BU23" s="653">
        <f>AVERAGE(BL23:BS23)</f>
        <v>2.9006249999999998</v>
      </c>
    </row>
    <row r="24" spans="3:73">
      <c r="BJ24" s="647"/>
      <c r="BK24" s="649"/>
      <c r="BL24" s="649"/>
      <c r="BM24" s="649"/>
      <c r="BN24" s="649"/>
      <c r="BO24" s="649"/>
      <c r="BP24" s="649"/>
      <c r="BQ24" s="649"/>
      <c r="BR24" s="649"/>
      <c r="BS24" s="649"/>
      <c r="BT24" s="649"/>
      <c r="BU24" s="654"/>
    </row>
    <row r="25" spans="3:73">
      <c r="BJ25" s="647"/>
      <c r="BK25" s="649"/>
      <c r="BL25" s="649"/>
      <c r="BM25" s="649"/>
      <c r="BN25" s="649"/>
      <c r="BO25" s="649"/>
      <c r="BP25" s="649"/>
      <c r="BQ25" s="649"/>
      <c r="BR25" s="649"/>
      <c r="BS25" s="649"/>
      <c r="BT25" s="656" t="s">
        <v>256</v>
      </c>
      <c r="BU25" s="657">
        <f>(BU23-BU19)/BU19</f>
        <v>1.8120393120392975E-2</v>
      </c>
    </row>
    <row r="26" spans="3:73">
      <c r="BJ26" s="658"/>
      <c r="BK26" s="659"/>
      <c r="BL26" s="659"/>
      <c r="BM26" s="659"/>
      <c r="BN26" s="659"/>
      <c r="BO26" s="659"/>
      <c r="BP26" s="659"/>
      <c r="BQ26" s="659"/>
      <c r="BR26" s="659"/>
      <c r="BS26" s="659"/>
      <c r="BT26" s="659"/>
      <c r="BU26" s="660"/>
    </row>
  </sheetData>
  <mergeCells count="1">
    <mergeCell ref="BJ21:BL21"/>
  </mergeCells>
  <pageMargins left="0.25" right="0.25" top="1" bottom="1" header="0.5" footer="0.5"/>
  <pageSetup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topLeftCell="B1" workbookViewId="0">
      <selection activeCell="I27" sqref="I27"/>
    </sheetView>
  </sheetViews>
  <sheetFormatPr defaultRowHeight="15"/>
  <cols>
    <col min="1" max="1" width="0" hidden="1" customWidth="1"/>
    <col min="3" max="3" width="21.42578125" bestFit="1" customWidth="1"/>
    <col min="4" max="4" width="13" customWidth="1"/>
    <col min="5" max="5" width="43.140625" bestFit="1" customWidth="1"/>
    <col min="9" max="9" width="33.28515625" customWidth="1"/>
    <col min="11" max="11" width="16.42578125" customWidth="1"/>
  </cols>
  <sheetData>
    <row r="1" spans="1:11" ht="15.75" thickBot="1"/>
    <row r="2" spans="1:11" ht="15.75" thickBot="1">
      <c r="C2" s="825" t="s">
        <v>274</v>
      </c>
      <c r="D2" s="826"/>
      <c r="E2" s="827"/>
      <c r="I2" s="834" t="s">
        <v>303</v>
      </c>
      <c r="J2" s="835"/>
      <c r="K2" s="836"/>
    </row>
    <row r="3" spans="1:11" ht="15.75" thickBot="1">
      <c r="C3" s="687" t="s">
        <v>272</v>
      </c>
      <c r="D3" s="686" t="s">
        <v>273</v>
      </c>
      <c r="E3" s="688" t="s">
        <v>279</v>
      </c>
      <c r="I3" s="677" t="s">
        <v>272</v>
      </c>
      <c r="J3" s="678" t="s">
        <v>120</v>
      </c>
      <c r="K3" s="679" t="s">
        <v>121</v>
      </c>
    </row>
    <row r="4" spans="1:11">
      <c r="A4" s="164" t="s">
        <v>265</v>
      </c>
      <c r="B4" s="164"/>
      <c r="C4" s="812" t="s">
        <v>9</v>
      </c>
      <c r="D4" s="813">
        <v>60559.656682517481</v>
      </c>
      <c r="E4" s="173" t="s">
        <v>282</v>
      </c>
      <c r="I4" s="312" t="s">
        <v>67</v>
      </c>
      <c r="J4" s="759">
        <v>66.3</v>
      </c>
      <c r="K4" s="757">
        <f>(J4*$D$26)+J4</f>
        <v>67.501382063882048</v>
      </c>
    </row>
    <row r="5" spans="1:11">
      <c r="A5" s="164"/>
      <c r="B5" s="164"/>
      <c r="C5" s="685" t="s">
        <v>18</v>
      </c>
      <c r="D5" s="747">
        <v>55253.493359440552</v>
      </c>
      <c r="E5" s="179" t="s">
        <v>282</v>
      </c>
      <c r="I5" s="312" t="s">
        <v>68</v>
      </c>
      <c r="J5" s="760">
        <v>162.59</v>
      </c>
      <c r="K5" s="757">
        <f t="shared" ref="K5:K8" si="0">(J5*$D$26)+J5</f>
        <v>165.53619471744469</v>
      </c>
    </row>
    <row r="6" spans="1:11">
      <c r="A6" s="164"/>
      <c r="B6" s="164"/>
      <c r="C6" s="816" t="s">
        <v>19</v>
      </c>
      <c r="D6" s="817">
        <v>38677.022212587406</v>
      </c>
      <c r="E6" s="179" t="s">
        <v>282</v>
      </c>
      <c r="I6" s="312" t="s">
        <v>69</v>
      </c>
      <c r="J6" s="760">
        <v>46.88</v>
      </c>
      <c r="K6" s="757">
        <f t="shared" si="0"/>
        <v>47.729484029484027</v>
      </c>
    </row>
    <row r="7" spans="1:11">
      <c r="A7" s="164"/>
      <c r="B7" s="164"/>
      <c r="C7" s="814" t="s">
        <v>20</v>
      </c>
      <c r="D7" s="815">
        <v>32954.066953846152</v>
      </c>
      <c r="E7" s="179" t="s">
        <v>282</v>
      </c>
      <c r="I7" s="312" t="s">
        <v>119</v>
      </c>
      <c r="J7" s="760">
        <v>132.22999999999999</v>
      </c>
      <c r="K7" s="757">
        <f t="shared" si="0"/>
        <v>134.62605958230955</v>
      </c>
    </row>
    <row r="8" spans="1:11" ht="15.75" thickBot="1">
      <c r="A8" s="164" t="s">
        <v>266</v>
      </c>
      <c r="B8" s="164"/>
      <c r="C8" s="808" t="s">
        <v>9</v>
      </c>
      <c r="D8" s="809">
        <v>60560.690060298351</v>
      </c>
      <c r="E8" s="179" t="s">
        <v>282</v>
      </c>
      <c r="I8" s="682" t="s">
        <v>70</v>
      </c>
      <c r="J8" s="761">
        <v>158.68</v>
      </c>
      <c r="K8" s="758">
        <f t="shared" si="0"/>
        <v>161.55534398034396</v>
      </c>
    </row>
    <row r="9" spans="1:11">
      <c r="A9" s="164"/>
      <c r="B9" s="164"/>
      <c r="C9" s="685" t="s">
        <v>50</v>
      </c>
      <c r="D9" s="747">
        <v>77356.702494574842</v>
      </c>
      <c r="E9" s="179" t="s">
        <v>282</v>
      </c>
    </row>
    <row r="10" spans="1:11">
      <c r="A10" s="164"/>
      <c r="B10" s="164"/>
      <c r="C10" s="816" t="s">
        <v>19</v>
      </c>
      <c r="D10" s="817">
        <v>51938</v>
      </c>
      <c r="E10" s="179" t="s">
        <v>282</v>
      </c>
    </row>
    <row r="11" spans="1:11">
      <c r="A11" s="164"/>
      <c r="B11" s="164"/>
      <c r="C11" s="814" t="s">
        <v>20</v>
      </c>
      <c r="D11" s="815">
        <v>32954.746747397279</v>
      </c>
      <c r="E11" s="179" t="s">
        <v>282</v>
      </c>
    </row>
    <row r="12" spans="1:11">
      <c r="A12" s="164" t="s">
        <v>267</v>
      </c>
      <c r="B12" s="164"/>
      <c r="C12" s="810" t="s">
        <v>78</v>
      </c>
      <c r="D12" s="811">
        <v>58086.498786186043</v>
      </c>
      <c r="E12" s="179" t="s">
        <v>282</v>
      </c>
    </row>
    <row r="13" spans="1:11">
      <c r="A13" s="164"/>
      <c r="B13" s="164"/>
      <c r="C13" s="816" t="s">
        <v>125</v>
      </c>
      <c r="D13" s="817">
        <v>51937.508057937601</v>
      </c>
      <c r="E13" s="179" t="s">
        <v>282</v>
      </c>
    </row>
    <row r="14" spans="1:11">
      <c r="A14" s="164" t="s">
        <v>268</v>
      </c>
      <c r="B14" s="164"/>
      <c r="C14" s="810" t="s">
        <v>78</v>
      </c>
      <c r="D14" s="811">
        <v>58086.024969307065</v>
      </c>
      <c r="E14" s="179" t="s">
        <v>282</v>
      </c>
    </row>
    <row r="15" spans="1:11">
      <c r="A15" s="164"/>
      <c r="B15" s="164"/>
      <c r="C15" s="816" t="s">
        <v>131</v>
      </c>
      <c r="D15" s="817">
        <v>51937.508057937601</v>
      </c>
      <c r="E15" s="179" t="s">
        <v>282</v>
      </c>
    </row>
    <row r="16" spans="1:11">
      <c r="A16" s="164" t="s">
        <v>269</v>
      </c>
      <c r="B16" s="164"/>
      <c r="C16" s="810" t="s">
        <v>126</v>
      </c>
      <c r="D16" s="811">
        <v>58086.024969307065</v>
      </c>
      <c r="E16" s="179" t="s">
        <v>282</v>
      </c>
    </row>
    <row r="17" spans="1:5">
      <c r="A17" s="164"/>
      <c r="B17" s="164"/>
      <c r="C17" s="816" t="s">
        <v>125</v>
      </c>
      <c r="D17" s="817">
        <v>51937.508057937601</v>
      </c>
      <c r="E17" s="179" t="s">
        <v>282</v>
      </c>
    </row>
    <row r="18" spans="1:5">
      <c r="A18" s="164" t="s">
        <v>270</v>
      </c>
      <c r="B18" s="164"/>
      <c r="C18" s="685" t="s">
        <v>271</v>
      </c>
      <c r="D18" s="747">
        <v>36865.745036892295</v>
      </c>
      <c r="E18" s="179" t="s">
        <v>282</v>
      </c>
    </row>
    <row r="19" spans="1:5" ht="15.75" thickBot="1">
      <c r="A19" s="164"/>
      <c r="B19" s="164"/>
      <c r="C19" s="819" t="s">
        <v>308</v>
      </c>
      <c r="D19" s="818">
        <v>44685.751559869437</v>
      </c>
      <c r="E19" s="711" t="s">
        <v>282</v>
      </c>
    </row>
    <row r="20" spans="1:5" ht="15.75" thickBot="1">
      <c r="C20" s="161"/>
      <c r="D20" s="161"/>
      <c r="E20" s="161"/>
    </row>
    <row r="21" spans="1:5" ht="15.75" thickBot="1">
      <c r="C21" s="831" t="s">
        <v>278</v>
      </c>
      <c r="D21" s="832"/>
      <c r="E21" s="833"/>
    </row>
    <row r="22" spans="1:5" ht="15.75" thickBot="1">
      <c r="C22" s="754" t="s">
        <v>272</v>
      </c>
      <c r="D22" s="755" t="s">
        <v>277</v>
      </c>
      <c r="E22" s="756" t="s">
        <v>279</v>
      </c>
    </row>
    <row r="23" spans="1:5">
      <c r="C23" s="681" t="s">
        <v>26</v>
      </c>
      <c r="D23" s="751">
        <v>0.12</v>
      </c>
      <c r="E23" s="179" t="s">
        <v>281</v>
      </c>
    </row>
    <row r="24" spans="1:5">
      <c r="C24" s="681" t="s">
        <v>24</v>
      </c>
      <c r="D24" s="751">
        <v>0.24</v>
      </c>
      <c r="E24" s="179" t="s">
        <v>280</v>
      </c>
    </row>
    <row r="25" spans="1:5">
      <c r="C25" s="689" t="s">
        <v>275</v>
      </c>
      <c r="D25" s="752">
        <v>6.3E-3</v>
      </c>
      <c r="E25" s="749" t="s">
        <v>283</v>
      </c>
    </row>
    <row r="26" spans="1:5" ht="15.75" thickBot="1">
      <c r="C26" s="690" t="s">
        <v>276</v>
      </c>
      <c r="D26" s="753">
        <f>'Spring 2019 CAF'!BU25</f>
        <v>1.8120393120392975E-2</v>
      </c>
      <c r="E26" s="750" t="s">
        <v>56</v>
      </c>
    </row>
    <row r="28" spans="1:5" ht="15.75" thickBot="1"/>
    <row r="29" spans="1:5" ht="15.75" thickBot="1">
      <c r="C29" s="828" t="s">
        <v>289</v>
      </c>
      <c r="D29" s="829"/>
      <c r="E29" s="830"/>
    </row>
    <row r="30" spans="1:5">
      <c r="C30" s="312" t="s">
        <v>83</v>
      </c>
      <c r="D30" s="746">
        <v>5155.4902174195804</v>
      </c>
      <c r="E30" s="179" t="s">
        <v>290</v>
      </c>
    </row>
    <row r="31" spans="1:5">
      <c r="C31" s="312" t="s">
        <v>86</v>
      </c>
      <c r="D31" s="747">
        <v>3229.3870573998524</v>
      </c>
      <c r="E31" s="179" t="s">
        <v>291</v>
      </c>
    </row>
    <row r="32" spans="1:5">
      <c r="C32" s="312" t="s">
        <v>86</v>
      </c>
      <c r="D32" s="747">
        <v>596.89</v>
      </c>
      <c r="E32" s="179" t="s">
        <v>292</v>
      </c>
    </row>
    <row r="33" spans="3:5">
      <c r="C33" s="312" t="s">
        <v>287</v>
      </c>
      <c r="D33" s="747">
        <v>178.16741415351552</v>
      </c>
      <c r="E33" s="179" t="s">
        <v>293</v>
      </c>
    </row>
    <row r="34" spans="3:5">
      <c r="C34" s="312" t="s">
        <v>294</v>
      </c>
      <c r="D34" s="747">
        <v>1806.89</v>
      </c>
      <c r="E34" s="179" t="s">
        <v>295</v>
      </c>
    </row>
    <row r="35" spans="3:5">
      <c r="C35" s="312" t="s">
        <v>288</v>
      </c>
      <c r="D35" s="747">
        <v>654.42999999999995</v>
      </c>
      <c r="E35" s="179" t="s">
        <v>296</v>
      </c>
    </row>
    <row r="36" spans="3:5">
      <c r="C36" s="312" t="s">
        <v>297</v>
      </c>
      <c r="D36" s="747">
        <v>1931.3117999999999</v>
      </c>
      <c r="E36" s="179" t="s">
        <v>298</v>
      </c>
    </row>
    <row r="37" spans="3:5">
      <c r="C37" s="312" t="s">
        <v>299</v>
      </c>
      <c r="D37" s="747">
        <v>22750</v>
      </c>
      <c r="E37" s="179" t="s">
        <v>300</v>
      </c>
    </row>
    <row r="38" spans="3:5">
      <c r="C38" s="312" t="s">
        <v>301</v>
      </c>
      <c r="D38" s="747">
        <v>31050</v>
      </c>
      <c r="E38" s="179" t="s">
        <v>300</v>
      </c>
    </row>
    <row r="39" spans="3:5" ht="15.75" thickBot="1">
      <c r="C39" s="682" t="s">
        <v>302</v>
      </c>
      <c r="D39" s="748">
        <v>39350</v>
      </c>
      <c r="E39" s="711" t="s">
        <v>300</v>
      </c>
    </row>
  </sheetData>
  <sortState ref="C21:E31">
    <sortCondition ref="D21:D31"/>
  </sortState>
  <mergeCells count="4">
    <mergeCell ref="C2:E2"/>
    <mergeCell ref="C29:E29"/>
    <mergeCell ref="C21:E21"/>
    <mergeCell ref="I2:K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V291"/>
  <sheetViews>
    <sheetView topLeftCell="A37" zoomScale="80" zoomScaleNormal="80" workbookViewId="0">
      <selection activeCell="R21" sqref="R21"/>
    </sheetView>
  </sheetViews>
  <sheetFormatPr defaultRowHeight="15"/>
  <cols>
    <col min="1" max="1" width="30.5703125" customWidth="1"/>
    <col min="2" max="2" width="11.85546875" customWidth="1"/>
    <col min="3" max="3" width="10.5703125" customWidth="1"/>
    <col min="7" max="7" width="33.140625" customWidth="1"/>
    <col min="8" max="8" width="10" customWidth="1"/>
    <col min="9" max="9" width="11.140625" customWidth="1"/>
    <col min="10" max="10" width="9.5703125" customWidth="1"/>
    <col min="11" max="11" width="11" customWidth="1"/>
    <col min="12" max="12" width="9.85546875" customWidth="1"/>
    <col min="13" max="13" width="32.42578125" customWidth="1"/>
    <col min="14" max="14" width="12.28515625" bestFit="1" customWidth="1"/>
    <col min="16" max="16" width="11" customWidth="1"/>
    <col min="17" max="18" width="10" customWidth="1"/>
    <col min="19" max="19" width="10.140625" customWidth="1"/>
    <col min="21" max="21" width="9.42578125" bestFit="1" customWidth="1"/>
    <col min="23" max="23" width="28" bestFit="1" customWidth="1"/>
    <col min="24" max="24" width="11.5703125" customWidth="1"/>
    <col min="244" max="244" width="22.140625" bestFit="1" customWidth="1"/>
    <col min="245" max="245" width="6.85546875" customWidth="1"/>
    <col min="246" max="246" width="7.140625" customWidth="1"/>
    <col min="247" max="247" width="10.42578125" customWidth="1"/>
    <col min="253" max="253" width="22.140625" bestFit="1" customWidth="1"/>
    <col min="254" max="254" width="5.140625" bestFit="1" customWidth="1"/>
    <col min="255" max="255" width="7.140625" customWidth="1"/>
    <col min="256" max="256" width="11.42578125" customWidth="1"/>
    <col min="260" max="260" width="9.85546875" customWidth="1"/>
    <col min="262" max="262" width="22.28515625" customWidth="1"/>
    <col min="263" max="263" width="5.140625" bestFit="1" customWidth="1"/>
    <col min="264" max="264" width="6.85546875" customWidth="1"/>
    <col min="265" max="265" width="8.140625" bestFit="1" customWidth="1"/>
    <col min="267" max="267" width="9.42578125" bestFit="1" customWidth="1"/>
    <col min="269" max="269" width="10.5703125" customWidth="1"/>
    <col min="271" max="271" width="22.140625" bestFit="1" customWidth="1"/>
    <col min="278" max="278" width="38.7109375" customWidth="1"/>
    <col min="279" max="279" width="28" bestFit="1" customWidth="1"/>
    <col min="280" max="280" width="11.5703125" customWidth="1"/>
    <col min="500" max="500" width="22.140625" bestFit="1" customWidth="1"/>
    <col min="501" max="501" width="6.85546875" customWidth="1"/>
    <col min="502" max="502" width="7.140625" customWidth="1"/>
    <col min="503" max="503" width="10.42578125" customWidth="1"/>
    <col min="509" max="509" width="22.140625" bestFit="1" customWidth="1"/>
    <col min="510" max="510" width="5.140625" bestFit="1" customWidth="1"/>
    <col min="511" max="511" width="7.140625" customWidth="1"/>
    <col min="512" max="512" width="11.42578125" customWidth="1"/>
    <col min="516" max="516" width="9.85546875" customWidth="1"/>
    <col min="518" max="518" width="22.28515625" customWidth="1"/>
    <col min="519" max="519" width="5.140625" bestFit="1" customWidth="1"/>
    <col min="520" max="520" width="6.85546875" customWidth="1"/>
    <col min="521" max="521" width="8.140625" bestFit="1" customWidth="1"/>
    <col min="523" max="523" width="9.42578125" bestFit="1" customWidth="1"/>
    <col min="525" max="525" width="10.5703125" customWidth="1"/>
    <col min="527" max="527" width="22.140625" bestFit="1" customWidth="1"/>
    <col min="534" max="534" width="38.7109375" customWidth="1"/>
    <col min="535" max="535" width="28" bestFit="1" customWidth="1"/>
    <col min="536" max="536" width="11.5703125" customWidth="1"/>
    <col min="756" max="756" width="22.140625" bestFit="1" customWidth="1"/>
    <col min="757" max="757" width="6.85546875" customWidth="1"/>
    <col min="758" max="758" width="7.140625" customWidth="1"/>
    <col min="759" max="759" width="10.42578125" customWidth="1"/>
    <col min="765" max="765" width="22.140625" bestFit="1" customWidth="1"/>
    <col min="766" max="766" width="5.140625" bestFit="1" customWidth="1"/>
    <col min="767" max="767" width="7.140625" customWidth="1"/>
    <col min="768" max="768" width="11.42578125" customWidth="1"/>
    <col min="772" max="772" width="9.85546875" customWidth="1"/>
    <col min="774" max="774" width="22.28515625" customWidth="1"/>
    <col min="775" max="775" width="5.140625" bestFit="1" customWidth="1"/>
    <col min="776" max="776" width="6.85546875" customWidth="1"/>
    <col min="777" max="777" width="8.140625" bestFit="1" customWidth="1"/>
    <col min="779" max="779" width="9.42578125" bestFit="1" customWidth="1"/>
    <col min="781" max="781" width="10.5703125" customWidth="1"/>
    <col min="783" max="783" width="22.140625" bestFit="1" customWidth="1"/>
    <col min="790" max="790" width="38.7109375" customWidth="1"/>
    <col min="791" max="791" width="28" bestFit="1" customWidth="1"/>
    <col min="792" max="792" width="11.5703125" customWidth="1"/>
    <col min="1012" max="1012" width="22.140625" bestFit="1" customWidth="1"/>
    <col min="1013" max="1013" width="6.85546875" customWidth="1"/>
    <col min="1014" max="1014" width="7.140625" customWidth="1"/>
    <col min="1015" max="1015" width="10.42578125" customWidth="1"/>
    <col min="1021" max="1021" width="22.140625" bestFit="1" customWidth="1"/>
    <col min="1022" max="1022" width="5.140625" bestFit="1" customWidth="1"/>
    <col min="1023" max="1023" width="7.140625" customWidth="1"/>
    <col min="1024" max="1024" width="11.42578125" customWidth="1"/>
    <col min="1028" max="1028" width="9.85546875" customWidth="1"/>
    <col min="1030" max="1030" width="22.28515625" customWidth="1"/>
    <col min="1031" max="1031" width="5.140625" bestFit="1" customWidth="1"/>
    <col min="1032" max="1032" width="6.85546875" customWidth="1"/>
    <col min="1033" max="1033" width="8.140625" bestFit="1" customWidth="1"/>
    <col min="1035" max="1035" width="9.42578125" bestFit="1" customWidth="1"/>
    <col min="1037" max="1037" width="10.5703125" customWidth="1"/>
    <col min="1039" max="1039" width="22.140625" bestFit="1" customWidth="1"/>
    <col min="1046" max="1046" width="38.7109375" customWidth="1"/>
    <col min="1047" max="1047" width="28" bestFit="1" customWidth="1"/>
    <col min="1048" max="1048" width="11.5703125" customWidth="1"/>
    <col min="1268" max="1268" width="22.140625" bestFit="1" customWidth="1"/>
    <col min="1269" max="1269" width="6.85546875" customWidth="1"/>
    <col min="1270" max="1270" width="7.140625" customWidth="1"/>
    <col min="1271" max="1271" width="10.42578125" customWidth="1"/>
    <col min="1277" max="1277" width="22.140625" bestFit="1" customWidth="1"/>
    <col min="1278" max="1278" width="5.140625" bestFit="1" customWidth="1"/>
    <col min="1279" max="1279" width="7.140625" customWidth="1"/>
    <col min="1280" max="1280" width="11.42578125" customWidth="1"/>
    <col min="1284" max="1284" width="9.85546875" customWidth="1"/>
    <col min="1286" max="1286" width="22.28515625" customWidth="1"/>
    <col min="1287" max="1287" width="5.140625" bestFit="1" customWidth="1"/>
    <col min="1288" max="1288" width="6.85546875" customWidth="1"/>
    <col min="1289" max="1289" width="8.140625" bestFit="1" customWidth="1"/>
    <col min="1291" max="1291" width="9.42578125" bestFit="1" customWidth="1"/>
    <col min="1293" max="1293" width="10.5703125" customWidth="1"/>
    <col min="1295" max="1295" width="22.140625" bestFit="1" customWidth="1"/>
    <col min="1302" max="1302" width="38.7109375" customWidth="1"/>
    <col min="1303" max="1303" width="28" bestFit="1" customWidth="1"/>
    <col min="1304" max="1304" width="11.5703125" customWidth="1"/>
    <col min="1524" max="1524" width="22.140625" bestFit="1" customWidth="1"/>
    <col min="1525" max="1525" width="6.85546875" customWidth="1"/>
    <col min="1526" max="1526" width="7.140625" customWidth="1"/>
    <col min="1527" max="1527" width="10.42578125" customWidth="1"/>
    <col min="1533" max="1533" width="22.140625" bestFit="1" customWidth="1"/>
    <col min="1534" max="1534" width="5.140625" bestFit="1" customWidth="1"/>
    <col min="1535" max="1535" width="7.140625" customWidth="1"/>
    <col min="1536" max="1536" width="11.42578125" customWidth="1"/>
    <col min="1540" max="1540" width="9.85546875" customWidth="1"/>
    <col min="1542" max="1542" width="22.28515625" customWidth="1"/>
    <col min="1543" max="1543" width="5.140625" bestFit="1" customWidth="1"/>
    <col min="1544" max="1544" width="6.85546875" customWidth="1"/>
    <col min="1545" max="1545" width="8.140625" bestFit="1" customWidth="1"/>
    <col min="1547" max="1547" width="9.42578125" bestFit="1" customWidth="1"/>
    <col min="1549" max="1549" width="10.5703125" customWidth="1"/>
    <col min="1551" max="1551" width="22.140625" bestFit="1" customWidth="1"/>
    <col min="1558" max="1558" width="38.7109375" customWidth="1"/>
    <col min="1559" max="1559" width="28" bestFit="1" customWidth="1"/>
    <col min="1560" max="1560" width="11.5703125" customWidth="1"/>
    <col min="1780" max="1780" width="22.140625" bestFit="1" customWidth="1"/>
    <col min="1781" max="1781" width="6.85546875" customWidth="1"/>
    <col min="1782" max="1782" width="7.140625" customWidth="1"/>
    <col min="1783" max="1783" width="10.42578125" customWidth="1"/>
    <col min="1789" max="1789" width="22.140625" bestFit="1" customWidth="1"/>
    <col min="1790" max="1790" width="5.140625" bestFit="1" customWidth="1"/>
    <col min="1791" max="1791" width="7.140625" customWidth="1"/>
    <col min="1792" max="1792" width="11.42578125" customWidth="1"/>
    <col min="1796" max="1796" width="9.85546875" customWidth="1"/>
    <col min="1798" max="1798" width="22.28515625" customWidth="1"/>
    <col min="1799" max="1799" width="5.140625" bestFit="1" customWidth="1"/>
    <col min="1800" max="1800" width="6.85546875" customWidth="1"/>
    <col min="1801" max="1801" width="8.140625" bestFit="1" customWidth="1"/>
    <col min="1803" max="1803" width="9.42578125" bestFit="1" customWidth="1"/>
    <col min="1805" max="1805" width="10.5703125" customWidth="1"/>
    <col min="1807" max="1807" width="22.140625" bestFit="1" customWidth="1"/>
    <col min="1814" max="1814" width="38.7109375" customWidth="1"/>
    <col min="1815" max="1815" width="28" bestFit="1" customWidth="1"/>
    <col min="1816" max="1816" width="11.5703125" customWidth="1"/>
    <col min="2036" max="2036" width="22.140625" bestFit="1" customWidth="1"/>
    <col min="2037" max="2037" width="6.85546875" customWidth="1"/>
    <col min="2038" max="2038" width="7.140625" customWidth="1"/>
    <col min="2039" max="2039" width="10.42578125" customWidth="1"/>
    <col min="2045" max="2045" width="22.140625" bestFit="1" customWidth="1"/>
    <col min="2046" max="2046" width="5.140625" bestFit="1" customWidth="1"/>
    <col min="2047" max="2047" width="7.140625" customWidth="1"/>
    <col min="2048" max="2048" width="11.42578125" customWidth="1"/>
    <col min="2052" max="2052" width="9.85546875" customWidth="1"/>
    <col min="2054" max="2054" width="22.28515625" customWidth="1"/>
    <col min="2055" max="2055" width="5.140625" bestFit="1" customWidth="1"/>
    <col min="2056" max="2056" width="6.85546875" customWidth="1"/>
    <col min="2057" max="2057" width="8.140625" bestFit="1" customWidth="1"/>
    <col min="2059" max="2059" width="9.42578125" bestFit="1" customWidth="1"/>
    <col min="2061" max="2061" width="10.5703125" customWidth="1"/>
    <col min="2063" max="2063" width="22.140625" bestFit="1" customWidth="1"/>
    <col min="2070" max="2070" width="38.7109375" customWidth="1"/>
    <col min="2071" max="2071" width="28" bestFit="1" customWidth="1"/>
    <col min="2072" max="2072" width="11.5703125" customWidth="1"/>
    <col min="2292" max="2292" width="22.140625" bestFit="1" customWidth="1"/>
    <col min="2293" max="2293" width="6.85546875" customWidth="1"/>
    <col min="2294" max="2294" width="7.140625" customWidth="1"/>
    <col min="2295" max="2295" width="10.42578125" customWidth="1"/>
    <col min="2301" max="2301" width="22.140625" bestFit="1" customWidth="1"/>
    <col min="2302" max="2302" width="5.140625" bestFit="1" customWidth="1"/>
    <col min="2303" max="2303" width="7.140625" customWidth="1"/>
    <col min="2304" max="2304" width="11.42578125" customWidth="1"/>
    <col min="2308" max="2308" width="9.85546875" customWidth="1"/>
    <col min="2310" max="2310" width="22.28515625" customWidth="1"/>
    <col min="2311" max="2311" width="5.140625" bestFit="1" customWidth="1"/>
    <col min="2312" max="2312" width="6.85546875" customWidth="1"/>
    <col min="2313" max="2313" width="8.140625" bestFit="1" customWidth="1"/>
    <col min="2315" max="2315" width="9.42578125" bestFit="1" customWidth="1"/>
    <col min="2317" max="2317" width="10.5703125" customWidth="1"/>
    <col min="2319" max="2319" width="22.140625" bestFit="1" customWidth="1"/>
    <col min="2326" max="2326" width="38.7109375" customWidth="1"/>
    <col min="2327" max="2327" width="28" bestFit="1" customWidth="1"/>
    <col min="2328" max="2328" width="11.5703125" customWidth="1"/>
    <col min="2548" max="2548" width="22.140625" bestFit="1" customWidth="1"/>
    <col min="2549" max="2549" width="6.85546875" customWidth="1"/>
    <col min="2550" max="2550" width="7.140625" customWidth="1"/>
    <col min="2551" max="2551" width="10.42578125" customWidth="1"/>
    <col min="2557" max="2557" width="22.140625" bestFit="1" customWidth="1"/>
    <col min="2558" max="2558" width="5.140625" bestFit="1" customWidth="1"/>
    <col min="2559" max="2559" width="7.140625" customWidth="1"/>
    <col min="2560" max="2560" width="11.42578125" customWidth="1"/>
    <col min="2564" max="2564" width="9.85546875" customWidth="1"/>
    <col min="2566" max="2566" width="22.28515625" customWidth="1"/>
    <col min="2567" max="2567" width="5.140625" bestFit="1" customWidth="1"/>
    <col min="2568" max="2568" width="6.85546875" customWidth="1"/>
    <col min="2569" max="2569" width="8.140625" bestFit="1" customWidth="1"/>
    <col min="2571" max="2571" width="9.42578125" bestFit="1" customWidth="1"/>
    <col min="2573" max="2573" width="10.5703125" customWidth="1"/>
    <col min="2575" max="2575" width="22.140625" bestFit="1" customWidth="1"/>
    <col min="2582" max="2582" width="38.7109375" customWidth="1"/>
    <col min="2583" max="2583" width="28" bestFit="1" customWidth="1"/>
    <col min="2584" max="2584" width="11.5703125" customWidth="1"/>
    <col min="2804" max="2804" width="22.140625" bestFit="1" customWidth="1"/>
    <col min="2805" max="2805" width="6.85546875" customWidth="1"/>
    <col min="2806" max="2806" width="7.140625" customWidth="1"/>
    <col min="2807" max="2807" width="10.42578125" customWidth="1"/>
    <col min="2813" max="2813" width="22.140625" bestFit="1" customWidth="1"/>
    <col min="2814" max="2814" width="5.140625" bestFit="1" customWidth="1"/>
    <col min="2815" max="2815" width="7.140625" customWidth="1"/>
    <col min="2816" max="2816" width="11.42578125" customWidth="1"/>
    <col min="2820" max="2820" width="9.85546875" customWidth="1"/>
    <col min="2822" max="2822" width="22.28515625" customWidth="1"/>
    <col min="2823" max="2823" width="5.140625" bestFit="1" customWidth="1"/>
    <col min="2824" max="2824" width="6.85546875" customWidth="1"/>
    <col min="2825" max="2825" width="8.140625" bestFit="1" customWidth="1"/>
    <col min="2827" max="2827" width="9.42578125" bestFit="1" customWidth="1"/>
    <col min="2829" max="2829" width="10.5703125" customWidth="1"/>
    <col min="2831" max="2831" width="22.140625" bestFit="1" customWidth="1"/>
    <col min="2838" max="2838" width="38.7109375" customWidth="1"/>
    <col min="2839" max="2839" width="28" bestFit="1" customWidth="1"/>
    <col min="2840" max="2840" width="11.5703125" customWidth="1"/>
    <col min="3060" max="3060" width="22.140625" bestFit="1" customWidth="1"/>
    <col min="3061" max="3061" width="6.85546875" customWidth="1"/>
    <col min="3062" max="3062" width="7.140625" customWidth="1"/>
    <col min="3063" max="3063" width="10.42578125" customWidth="1"/>
    <col min="3069" max="3069" width="22.140625" bestFit="1" customWidth="1"/>
    <col min="3070" max="3070" width="5.140625" bestFit="1" customWidth="1"/>
    <col min="3071" max="3071" width="7.140625" customWidth="1"/>
    <col min="3072" max="3072" width="11.42578125" customWidth="1"/>
    <col min="3076" max="3076" width="9.85546875" customWidth="1"/>
    <col min="3078" max="3078" width="22.28515625" customWidth="1"/>
    <col min="3079" max="3079" width="5.140625" bestFit="1" customWidth="1"/>
    <col min="3080" max="3080" width="6.85546875" customWidth="1"/>
    <col min="3081" max="3081" width="8.140625" bestFit="1" customWidth="1"/>
    <col min="3083" max="3083" width="9.42578125" bestFit="1" customWidth="1"/>
    <col min="3085" max="3085" width="10.5703125" customWidth="1"/>
    <col min="3087" max="3087" width="22.140625" bestFit="1" customWidth="1"/>
    <col min="3094" max="3094" width="38.7109375" customWidth="1"/>
    <col min="3095" max="3095" width="28" bestFit="1" customWidth="1"/>
    <col min="3096" max="3096" width="11.5703125" customWidth="1"/>
    <col min="3316" max="3316" width="22.140625" bestFit="1" customWidth="1"/>
    <col min="3317" max="3317" width="6.85546875" customWidth="1"/>
    <col min="3318" max="3318" width="7.140625" customWidth="1"/>
    <col min="3319" max="3319" width="10.42578125" customWidth="1"/>
    <col min="3325" max="3325" width="22.140625" bestFit="1" customWidth="1"/>
    <col min="3326" max="3326" width="5.140625" bestFit="1" customWidth="1"/>
    <col min="3327" max="3327" width="7.140625" customWidth="1"/>
    <col min="3328" max="3328" width="11.42578125" customWidth="1"/>
    <col min="3332" max="3332" width="9.85546875" customWidth="1"/>
    <col min="3334" max="3334" width="22.28515625" customWidth="1"/>
    <col min="3335" max="3335" width="5.140625" bestFit="1" customWidth="1"/>
    <col min="3336" max="3336" width="6.85546875" customWidth="1"/>
    <col min="3337" max="3337" width="8.140625" bestFit="1" customWidth="1"/>
    <col min="3339" max="3339" width="9.42578125" bestFit="1" customWidth="1"/>
    <col min="3341" max="3341" width="10.5703125" customWidth="1"/>
    <col min="3343" max="3343" width="22.140625" bestFit="1" customWidth="1"/>
    <col min="3350" max="3350" width="38.7109375" customWidth="1"/>
    <col min="3351" max="3351" width="28" bestFit="1" customWidth="1"/>
    <col min="3352" max="3352" width="11.5703125" customWidth="1"/>
    <col min="3572" max="3572" width="22.140625" bestFit="1" customWidth="1"/>
    <col min="3573" max="3573" width="6.85546875" customWidth="1"/>
    <col min="3574" max="3574" width="7.140625" customWidth="1"/>
    <col min="3575" max="3575" width="10.42578125" customWidth="1"/>
    <col min="3581" max="3581" width="22.140625" bestFit="1" customWidth="1"/>
    <col min="3582" max="3582" width="5.140625" bestFit="1" customWidth="1"/>
    <col min="3583" max="3583" width="7.140625" customWidth="1"/>
    <col min="3584" max="3584" width="11.42578125" customWidth="1"/>
    <col min="3588" max="3588" width="9.85546875" customWidth="1"/>
    <col min="3590" max="3590" width="22.28515625" customWidth="1"/>
    <col min="3591" max="3591" width="5.140625" bestFit="1" customWidth="1"/>
    <col min="3592" max="3592" width="6.85546875" customWidth="1"/>
    <col min="3593" max="3593" width="8.140625" bestFit="1" customWidth="1"/>
    <col min="3595" max="3595" width="9.42578125" bestFit="1" customWidth="1"/>
    <col min="3597" max="3597" width="10.5703125" customWidth="1"/>
    <col min="3599" max="3599" width="22.140625" bestFit="1" customWidth="1"/>
    <col min="3606" max="3606" width="38.7109375" customWidth="1"/>
    <col min="3607" max="3607" width="28" bestFit="1" customWidth="1"/>
    <col min="3608" max="3608" width="11.5703125" customWidth="1"/>
    <col min="3828" max="3828" width="22.140625" bestFit="1" customWidth="1"/>
    <col min="3829" max="3829" width="6.85546875" customWidth="1"/>
    <col min="3830" max="3830" width="7.140625" customWidth="1"/>
    <col min="3831" max="3831" width="10.42578125" customWidth="1"/>
    <col min="3837" max="3837" width="22.140625" bestFit="1" customWidth="1"/>
    <col min="3838" max="3838" width="5.140625" bestFit="1" customWidth="1"/>
    <col min="3839" max="3839" width="7.140625" customWidth="1"/>
    <col min="3840" max="3840" width="11.42578125" customWidth="1"/>
    <col min="3844" max="3844" width="9.85546875" customWidth="1"/>
    <col min="3846" max="3846" width="22.28515625" customWidth="1"/>
    <col min="3847" max="3847" width="5.140625" bestFit="1" customWidth="1"/>
    <col min="3848" max="3848" width="6.85546875" customWidth="1"/>
    <col min="3849" max="3849" width="8.140625" bestFit="1" customWidth="1"/>
    <col min="3851" max="3851" width="9.42578125" bestFit="1" customWidth="1"/>
    <col min="3853" max="3853" width="10.5703125" customWidth="1"/>
    <col min="3855" max="3855" width="22.140625" bestFit="1" customWidth="1"/>
    <col min="3862" max="3862" width="38.7109375" customWidth="1"/>
    <col min="3863" max="3863" width="28" bestFit="1" customWidth="1"/>
    <col min="3864" max="3864" width="11.5703125" customWidth="1"/>
    <col min="4084" max="4084" width="22.140625" bestFit="1" customWidth="1"/>
    <col min="4085" max="4085" width="6.85546875" customWidth="1"/>
    <col min="4086" max="4086" width="7.140625" customWidth="1"/>
    <col min="4087" max="4087" width="10.42578125" customWidth="1"/>
    <col min="4093" max="4093" width="22.140625" bestFit="1" customWidth="1"/>
    <col min="4094" max="4094" width="5.140625" bestFit="1" customWidth="1"/>
    <col min="4095" max="4095" width="7.140625" customWidth="1"/>
    <col min="4096" max="4096" width="11.42578125" customWidth="1"/>
    <col min="4100" max="4100" width="9.85546875" customWidth="1"/>
    <col min="4102" max="4102" width="22.28515625" customWidth="1"/>
    <col min="4103" max="4103" width="5.140625" bestFit="1" customWidth="1"/>
    <col min="4104" max="4104" width="6.85546875" customWidth="1"/>
    <col min="4105" max="4105" width="8.140625" bestFit="1" customWidth="1"/>
    <col min="4107" max="4107" width="9.42578125" bestFit="1" customWidth="1"/>
    <col min="4109" max="4109" width="10.5703125" customWidth="1"/>
    <col min="4111" max="4111" width="22.140625" bestFit="1" customWidth="1"/>
    <col min="4118" max="4118" width="38.7109375" customWidth="1"/>
    <col min="4119" max="4119" width="28" bestFit="1" customWidth="1"/>
    <col min="4120" max="4120" width="11.5703125" customWidth="1"/>
    <col min="4340" max="4340" width="22.140625" bestFit="1" customWidth="1"/>
    <col min="4341" max="4341" width="6.85546875" customWidth="1"/>
    <col min="4342" max="4342" width="7.140625" customWidth="1"/>
    <col min="4343" max="4343" width="10.42578125" customWidth="1"/>
    <col min="4349" max="4349" width="22.140625" bestFit="1" customWidth="1"/>
    <col min="4350" max="4350" width="5.140625" bestFit="1" customWidth="1"/>
    <col min="4351" max="4351" width="7.140625" customWidth="1"/>
    <col min="4352" max="4352" width="11.42578125" customWidth="1"/>
    <col min="4356" max="4356" width="9.85546875" customWidth="1"/>
    <col min="4358" max="4358" width="22.28515625" customWidth="1"/>
    <col min="4359" max="4359" width="5.140625" bestFit="1" customWidth="1"/>
    <col min="4360" max="4360" width="6.85546875" customWidth="1"/>
    <col min="4361" max="4361" width="8.140625" bestFit="1" customWidth="1"/>
    <col min="4363" max="4363" width="9.42578125" bestFit="1" customWidth="1"/>
    <col min="4365" max="4365" width="10.5703125" customWidth="1"/>
    <col min="4367" max="4367" width="22.140625" bestFit="1" customWidth="1"/>
    <col min="4374" max="4374" width="38.7109375" customWidth="1"/>
    <col min="4375" max="4375" width="28" bestFit="1" customWidth="1"/>
    <col min="4376" max="4376" width="11.5703125" customWidth="1"/>
    <col min="4596" max="4596" width="22.140625" bestFit="1" customWidth="1"/>
    <col min="4597" max="4597" width="6.85546875" customWidth="1"/>
    <col min="4598" max="4598" width="7.140625" customWidth="1"/>
    <col min="4599" max="4599" width="10.42578125" customWidth="1"/>
    <col min="4605" max="4605" width="22.140625" bestFit="1" customWidth="1"/>
    <col min="4606" max="4606" width="5.140625" bestFit="1" customWidth="1"/>
    <col min="4607" max="4607" width="7.140625" customWidth="1"/>
    <col min="4608" max="4608" width="11.42578125" customWidth="1"/>
    <col min="4612" max="4612" width="9.85546875" customWidth="1"/>
    <col min="4614" max="4614" width="22.28515625" customWidth="1"/>
    <col min="4615" max="4615" width="5.140625" bestFit="1" customWidth="1"/>
    <col min="4616" max="4616" width="6.85546875" customWidth="1"/>
    <col min="4617" max="4617" width="8.140625" bestFit="1" customWidth="1"/>
    <col min="4619" max="4619" width="9.42578125" bestFit="1" customWidth="1"/>
    <col min="4621" max="4621" width="10.5703125" customWidth="1"/>
    <col min="4623" max="4623" width="22.140625" bestFit="1" customWidth="1"/>
    <col min="4630" max="4630" width="38.7109375" customWidth="1"/>
    <col min="4631" max="4631" width="28" bestFit="1" customWidth="1"/>
    <col min="4632" max="4632" width="11.5703125" customWidth="1"/>
    <col min="4852" max="4852" width="22.140625" bestFit="1" customWidth="1"/>
    <col min="4853" max="4853" width="6.85546875" customWidth="1"/>
    <col min="4854" max="4854" width="7.140625" customWidth="1"/>
    <col min="4855" max="4855" width="10.42578125" customWidth="1"/>
    <col min="4861" max="4861" width="22.140625" bestFit="1" customWidth="1"/>
    <col min="4862" max="4862" width="5.140625" bestFit="1" customWidth="1"/>
    <col min="4863" max="4863" width="7.140625" customWidth="1"/>
    <col min="4864" max="4864" width="11.42578125" customWidth="1"/>
    <col min="4868" max="4868" width="9.85546875" customWidth="1"/>
    <col min="4870" max="4870" width="22.28515625" customWidth="1"/>
    <col min="4871" max="4871" width="5.140625" bestFit="1" customWidth="1"/>
    <col min="4872" max="4872" width="6.85546875" customWidth="1"/>
    <col min="4873" max="4873" width="8.140625" bestFit="1" customWidth="1"/>
    <col min="4875" max="4875" width="9.42578125" bestFit="1" customWidth="1"/>
    <col min="4877" max="4877" width="10.5703125" customWidth="1"/>
    <col min="4879" max="4879" width="22.140625" bestFit="1" customWidth="1"/>
    <col min="4886" max="4886" width="38.7109375" customWidth="1"/>
    <col min="4887" max="4887" width="28" bestFit="1" customWidth="1"/>
    <col min="4888" max="4888" width="11.5703125" customWidth="1"/>
    <col min="5108" max="5108" width="22.140625" bestFit="1" customWidth="1"/>
    <col min="5109" max="5109" width="6.85546875" customWidth="1"/>
    <col min="5110" max="5110" width="7.140625" customWidth="1"/>
    <col min="5111" max="5111" width="10.42578125" customWidth="1"/>
    <col min="5117" max="5117" width="22.140625" bestFit="1" customWidth="1"/>
    <col min="5118" max="5118" width="5.140625" bestFit="1" customWidth="1"/>
    <col min="5119" max="5119" width="7.140625" customWidth="1"/>
    <col min="5120" max="5120" width="11.42578125" customWidth="1"/>
    <col min="5124" max="5124" width="9.85546875" customWidth="1"/>
    <col min="5126" max="5126" width="22.28515625" customWidth="1"/>
    <col min="5127" max="5127" width="5.140625" bestFit="1" customWidth="1"/>
    <col min="5128" max="5128" width="6.85546875" customWidth="1"/>
    <col min="5129" max="5129" width="8.140625" bestFit="1" customWidth="1"/>
    <col min="5131" max="5131" width="9.42578125" bestFit="1" customWidth="1"/>
    <col min="5133" max="5133" width="10.5703125" customWidth="1"/>
    <col min="5135" max="5135" width="22.140625" bestFit="1" customWidth="1"/>
    <col min="5142" max="5142" width="38.7109375" customWidth="1"/>
    <col min="5143" max="5143" width="28" bestFit="1" customWidth="1"/>
    <col min="5144" max="5144" width="11.5703125" customWidth="1"/>
    <col min="5364" max="5364" width="22.140625" bestFit="1" customWidth="1"/>
    <col min="5365" max="5365" width="6.85546875" customWidth="1"/>
    <col min="5366" max="5366" width="7.140625" customWidth="1"/>
    <col min="5367" max="5367" width="10.42578125" customWidth="1"/>
    <col min="5373" max="5373" width="22.140625" bestFit="1" customWidth="1"/>
    <col min="5374" max="5374" width="5.140625" bestFit="1" customWidth="1"/>
    <col min="5375" max="5375" width="7.140625" customWidth="1"/>
    <col min="5376" max="5376" width="11.42578125" customWidth="1"/>
    <col min="5380" max="5380" width="9.85546875" customWidth="1"/>
    <col min="5382" max="5382" width="22.28515625" customWidth="1"/>
    <col min="5383" max="5383" width="5.140625" bestFit="1" customWidth="1"/>
    <col min="5384" max="5384" width="6.85546875" customWidth="1"/>
    <col min="5385" max="5385" width="8.140625" bestFit="1" customWidth="1"/>
    <col min="5387" max="5387" width="9.42578125" bestFit="1" customWidth="1"/>
    <col min="5389" max="5389" width="10.5703125" customWidth="1"/>
    <col min="5391" max="5391" width="22.140625" bestFit="1" customWidth="1"/>
    <col min="5398" max="5398" width="38.7109375" customWidth="1"/>
    <col min="5399" max="5399" width="28" bestFit="1" customWidth="1"/>
    <col min="5400" max="5400" width="11.5703125" customWidth="1"/>
    <col min="5620" max="5620" width="22.140625" bestFit="1" customWidth="1"/>
    <col min="5621" max="5621" width="6.85546875" customWidth="1"/>
    <col min="5622" max="5622" width="7.140625" customWidth="1"/>
    <col min="5623" max="5623" width="10.42578125" customWidth="1"/>
    <col min="5629" max="5629" width="22.140625" bestFit="1" customWidth="1"/>
    <col min="5630" max="5630" width="5.140625" bestFit="1" customWidth="1"/>
    <col min="5631" max="5631" width="7.140625" customWidth="1"/>
    <col min="5632" max="5632" width="11.42578125" customWidth="1"/>
    <col min="5636" max="5636" width="9.85546875" customWidth="1"/>
    <col min="5638" max="5638" width="22.28515625" customWidth="1"/>
    <col min="5639" max="5639" width="5.140625" bestFit="1" customWidth="1"/>
    <col min="5640" max="5640" width="6.85546875" customWidth="1"/>
    <col min="5641" max="5641" width="8.140625" bestFit="1" customWidth="1"/>
    <col min="5643" max="5643" width="9.42578125" bestFit="1" customWidth="1"/>
    <col min="5645" max="5645" width="10.5703125" customWidth="1"/>
    <col min="5647" max="5647" width="22.140625" bestFit="1" customWidth="1"/>
    <col min="5654" max="5654" width="38.7109375" customWidth="1"/>
    <col min="5655" max="5655" width="28" bestFit="1" customWidth="1"/>
    <col min="5656" max="5656" width="11.5703125" customWidth="1"/>
    <col min="5876" max="5876" width="22.140625" bestFit="1" customWidth="1"/>
    <col min="5877" max="5877" width="6.85546875" customWidth="1"/>
    <col min="5878" max="5878" width="7.140625" customWidth="1"/>
    <col min="5879" max="5879" width="10.42578125" customWidth="1"/>
    <col min="5885" max="5885" width="22.140625" bestFit="1" customWidth="1"/>
    <col min="5886" max="5886" width="5.140625" bestFit="1" customWidth="1"/>
    <col min="5887" max="5887" width="7.140625" customWidth="1"/>
    <col min="5888" max="5888" width="11.42578125" customWidth="1"/>
    <col min="5892" max="5892" width="9.85546875" customWidth="1"/>
    <col min="5894" max="5894" width="22.28515625" customWidth="1"/>
    <col min="5895" max="5895" width="5.140625" bestFit="1" customWidth="1"/>
    <col min="5896" max="5896" width="6.85546875" customWidth="1"/>
    <col min="5897" max="5897" width="8.140625" bestFit="1" customWidth="1"/>
    <col min="5899" max="5899" width="9.42578125" bestFit="1" customWidth="1"/>
    <col min="5901" max="5901" width="10.5703125" customWidth="1"/>
    <col min="5903" max="5903" width="22.140625" bestFit="1" customWidth="1"/>
    <col min="5910" max="5910" width="38.7109375" customWidth="1"/>
    <col min="5911" max="5911" width="28" bestFit="1" customWidth="1"/>
    <col min="5912" max="5912" width="11.5703125" customWidth="1"/>
    <col min="6132" max="6132" width="22.140625" bestFit="1" customWidth="1"/>
    <col min="6133" max="6133" width="6.85546875" customWidth="1"/>
    <col min="6134" max="6134" width="7.140625" customWidth="1"/>
    <col min="6135" max="6135" width="10.42578125" customWidth="1"/>
    <col min="6141" max="6141" width="22.140625" bestFit="1" customWidth="1"/>
    <col min="6142" max="6142" width="5.140625" bestFit="1" customWidth="1"/>
    <col min="6143" max="6143" width="7.140625" customWidth="1"/>
    <col min="6144" max="6144" width="11.42578125" customWidth="1"/>
    <col min="6148" max="6148" width="9.85546875" customWidth="1"/>
    <col min="6150" max="6150" width="22.28515625" customWidth="1"/>
    <col min="6151" max="6151" width="5.140625" bestFit="1" customWidth="1"/>
    <col min="6152" max="6152" width="6.85546875" customWidth="1"/>
    <col min="6153" max="6153" width="8.140625" bestFit="1" customWidth="1"/>
    <col min="6155" max="6155" width="9.42578125" bestFit="1" customWidth="1"/>
    <col min="6157" max="6157" width="10.5703125" customWidth="1"/>
    <col min="6159" max="6159" width="22.140625" bestFit="1" customWidth="1"/>
    <col min="6166" max="6166" width="38.7109375" customWidth="1"/>
    <col min="6167" max="6167" width="28" bestFit="1" customWidth="1"/>
    <col min="6168" max="6168" width="11.5703125" customWidth="1"/>
    <col min="6388" max="6388" width="22.140625" bestFit="1" customWidth="1"/>
    <col min="6389" max="6389" width="6.85546875" customWidth="1"/>
    <col min="6390" max="6390" width="7.140625" customWidth="1"/>
    <col min="6391" max="6391" width="10.42578125" customWidth="1"/>
    <col min="6397" max="6397" width="22.140625" bestFit="1" customWidth="1"/>
    <col min="6398" max="6398" width="5.140625" bestFit="1" customWidth="1"/>
    <col min="6399" max="6399" width="7.140625" customWidth="1"/>
    <col min="6400" max="6400" width="11.42578125" customWidth="1"/>
    <col min="6404" max="6404" width="9.85546875" customWidth="1"/>
    <col min="6406" max="6406" width="22.28515625" customWidth="1"/>
    <col min="6407" max="6407" width="5.140625" bestFit="1" customWidth="1"/>
    <col min="6408" max="6408" width="6.85546875" customWidth="1"/>
    <col min="6409" max="6409" width="8.140625" bestFit="1" customWidth="1"/>
    <col min="6411" max="6411" width="9.42578125" bestFit="1" customWidth="1"/>
    <col min="6413" max="6413" width="10.5703125" customWidth="1"/>
    <col min="6415" max="6415" width="22.140625" bestFit="1" customWidth="1"/>
    <col min="6422" max="6422" width="38.7109375" customWidth="1"/>
    <col min="6423" max="6423" width="28" bestFit="1" customWidth="1"/>
    <col min="6424" max="6424" width="11.5703125" customWidth="1"/>
    <col min="6644" max="6644" width="22.140625" bestFit="1" customWidth="1"/>
    <col min="6645" max="6645" width="6.85546875" customWidth="1"/>
    <col min="6646" max="6646" width="7.140625" customWidth="1"/>
    <col min="6647" max="6647" width="10.42578125" customWidth="1"/>
    <col min="6653" max="6653" width="22.140625" bestFit="1" customWidth="1"/>
    <col min="6654" max="6654" width="5.140625" bestFit="1" customWidth="1"/>
    <col min="6655" max="6655" width="7.140625" customWidth="1"/>
    <col min="6656" max="6656" width="11.42578125" customWidth="1"/>
    <col min="6660" max="6660" width="9.85546875" customWidth="1"/>
    <col min="6662" max="6662" width="22.28515625" customWidth="1"/>
    <col min="6663" max="6663" width="5.140625" bestFit="1" customWidth="1"/>
    <col min="6664" max="6664" width="6.85546875" customWidth="1"/>
    <col min="6665" max="6665" width="8.140625" bestFit="1" customWidth="1"/>
    <col min="6667" max="6667" width="9.42578125" bestFit="1" customWidth="1"/>
    <col min="6669" max="6669" width="10.5703125" customWidth="1"/>
    <col min="6671" max="6671" width="22.140625" bestFit="1" customWidth="1"/>
    <col min="6678" max="6678" width="38.7109375" customWidth="1"/>
    <col min="6679" max="6679" width="28" bestFit="1" customWidth="1"/>
    <col min="6680" max="6680" width="11.5703125" customWidth="1"/>
    <col min="6900" max="6900" width="22.140625" bestFit="1" customWidth="1"/>
    <col min="6901" max="6901" width="6.85546875" customWidth="1"/>
    <col min="6902" max="6902" width="7.140625" customWidth="1"/>
    <col min="6903" max="6903" width="10.42578125" customWidth="1"/>
    <col min="6909" max="6909" width="22.140625" bestFit="1" customWidth="1"/>
    <col min="6910" max="6910" width="5.140625" bestFit="1" customWidth="1"/>
    <col min="6911" max="6911" width="7.140625" customWidth="1"/>
    <col min="6912" max="6912" width="11.42578125" customWidth="1"/>
    <col min="6916" max="6916" width="9.85546875" customWidth="1"/>
    <col min="6918" max="6918" width="22.28515625" customWidth="1"/>
    <col min="6919" max="6919" width="5.140625" bestFit="1" customWidth="1"/>
    <col min="6920" max="6920" width="6.85546875" customWidth="1"/>
    <col min="6921" max="6921" width="8.140625" bestFit="1" customWidth="1"/>
    <col min="6923" max="6923" width="9.42578125" bestFit="1" customWidth="1"/>
    <col min="6925" max="6925" width="10.5703125" customWidth="1"/>
    <col min="6927" max="6927" width="22.140625" bestFit="1" customWidth="1"/>
    <col min="6934" max="6934" width="38.7109375" customWidth="1"/>
    <col min="6935" max="6935" width="28" bestFit="1" customWidth="1"/>
    <col min="6936" max="6936" width="11.5703125" customWidth="1"/>
    <col min="7156" max="7156" width="22.140625" bestFit="1" customWidth="1"/>
    <col min="7157" max="7157" width="6.85546875" customWidth="1"/>
    <col min="7158" max="7158" width="7.140625" customWidth="1"/>
    <col min="7159" max="7159" width="10.42578125" customWidth="1"/>
    <col min="7165" max="7165" width="22.140625" bestFit="1" customWidth="1"/>
    <col min="7166" max="7166" width="5.140625" bestFit="1" customWidth="1"/>
    <col min="7167" max="7167" width="7.140625" customWidth="1"/>
    <col min="7168" max="7168" width="11.42578125" customWidth="1"/>
    <col min="7172" max="7172" width="9.85546875" customWidth="1"/>
    <col min="7174" max="7174" width="22.28515625" customWidth="1"/>
    <col min="7175" max="7175" width="5.140625" bestFit="1" customWidth="1"/>
    <col min="7176" max="7176" width="6.85546875" customWidth="1"/>
    <col min="7177" max="7177" width="8.140625" bestFit="1" customWidth="1"/>
    <col min="7179" max="7179" width="9.42578125" bestFit="1" customWidth="1"/>
    <col min="7181" max="7181" width="10.5703125" customWidth="1"/>
    <col min="7183" max="7183" width="22.140625" bestFit="1" customWidth="1"/>
    <col min="7190" max="7190" width="38.7109375" customWidth="1"/>
    <col min="7191" max="7191" width="28" bestFit="1" customWidth="1"/>
    <col min="7192" max="7192" width="11.5703125" customWidth="1"/>
    <col min="7412" max="7412" width="22.140625" bestFit="1" customWidth="1"/>
    <col min="7413" max="7413" width="6.85546875" customWidth="1"/>
    <col min="7414" max="7414" width="7.140625" customWidth="1"/>
    <col min="7415" max="7415" width="10.42578125" customWidth="1"/>
    <col min="7421" max="7421" width="22.140625" bestFit="1" customWidth="1"/>
    <col min="7422" max="7422" width="5.140625" bestFit="1" customWidth="1"/>
    <col min="7423" max="7423" width="7.140625" customWidth="1"/>
    <col min="7424" max="7424" width="11.42578125" customWidth="1"/>
    <col min="7428" max="7428" width="9.85546875" customWidth="1"/>
    <col min="7430" max="7430" width="22.28515625" customWidth="1"/>
    <col min="7431" max="7431" width="5.140625" bestFit="1" customWidth="1"/>
    <col min="7432" max="7432" width="6.85546875" customWidth="1"/>
    <col min="7433" max="7433" width="8.140625" bestFit="1" customWidth="1"/>
    <col min="7435" max="7435" width="9.42578125" bestFit="1" customWidth="1"/>
    <col min="7437" max="7437" width="10.5703125" customWidth="1"/>
    <col min="7439" max="7439" width="22.140625" bestFit="1" customWidth="1"/>
    <col min="7446" max="7446" width="38.7109375" customWidth="1"/>
    <col min="7447" max="7447" width="28" bestFit="1" customWidth="1"/>
    <col min="7448" max="7448" width="11.5703125" customWidth="1"/>
    <col min="7668" max="7668" width="22.140625" bestFit="1" customWidth="1"/>
    <col min="7669" max="7669" width="6.85546875" customWidth="1"/>
    <col min="7670" max="7670" width="7.140625" customWidth="1"/>
    <col min="7671" max="7671" width="10.42578125" customWidth="1"/>
    <col min="7677" max="7677" width="22.140625" bestFit="1" customWidth="1"/>
    <col min="7678" max="7678" width="5.140625" bestFit="1" customWidth="1"/>
    <col min="7679" max="7679" width="7.140625" customWidth="1"/>
    <col min="7680" max="7680" width="11.42578125" customWidth="1"/>
    <col min="7684" max="7684" width="9.85546875" customWidth="1"/>
    <col min="7686" max="7686" width="22.28515625" customWidth="1"/>
    <col min="7687" max="7687" width="5.140625" bestFit="1" customWidth="1"/>
    <col min="7688" max="7688" width="6.85546875" customWidth="1"/>
    <col min="7689" max="7689" width="8.140625" bestFit="1" customWidth="1"/>
    <col min="7691" max="7691" width="9.42578125" bestFit="1" customWidth="1"/>
    <col min="7693" max="7693" width="10.5703125" customWidth="1"/>
    <col min="7695" max="7695" width="22.140625" bestFit="1" customWidth="1"/>
    <col min="7702" max="7702" width="38.7109375" customWidth="1"/>
    <col min="7703" max="7703" width="28" bestFit="1" customWidth="1"/>
    <col min="7704" max="7704" width="11.5703125" customWidth="1"/>
    <col min="7924" max="7924" width="22.140625" bestFit="1" customWidth="1"/>
    <col min="7925" max="7925" width="6.85546875" customWidth="1"/>
    <col min="7926" max="7926" width="7.140625" customWidth="1"/>
    <col min="7927" max="7927" width="10.42578125" customWidth="1"/>
    <col min="7933" max="7933" width="22.140625" bestFit="1" customWidth="1"/>
    <col min="7934" max="7934" width="5.140625" bestFit="1" customWidth="1"/>
    <col min="7935" max="7935" width="7.140625" customWidth="1"/>
    <col min="7936" max="7936" width="11.42578125" customWidth="1"/>
    <col min="7940" max="7940" width="9.85546875" customWidth="1"/>
    <col min="7942" max="7942" width="22.28515625" customWidth="1"/>
    <col min="7943" max="7943" width="5.140625" bestFit="1" customWidth="1"/>
    <col min="7944" max="7944" width="6.85546875" customWidth="1"/>
    <col min="7945" max="7945" width="8.140625" bestFit="1" customWidth="1"/>
    <col min="7947" max="7947" width="9.42578125" bestFit="1" customWidth="1"/>
    <col min="7949" max="7949" width="10.5703125" customWidth="1"/>
    <col min="7951" max="7951" width="22.140625" bestFit="1" customWidth="1"/>
    <col min="7958" max="7958" width="38.7109375" customWidth="1"/>
    <col min="7959" max="7959" width="28" bestFit="1" customWidth="1"/>
    <col min="7960" max="7960" width="11.5703125" customWidth="1"/>
    <col min="8180" max="8180" width="22.140625" bestFit="1" customWidth="1"/>
    <col min="8181" max="8181" width="6.85546875" customWidth="1"/>
    <col min="8182" max="8182" width="7.140625" customWidth="1"/>
    <col min="8183" max="8183" width="10.42578125" customWidth="1"/>
    <col min="8189" max="8189" width="22.140625" bestFit="1" customWidth="1"/>
    <col min="8190" max="8190" width="5.140625" bestFit="1" customWidth="1"/>
    <col min="8191" max="8191" width="7.140625" customWidth="1"/>
    <col min="8192" max="8192" width="11.42578125" customWidth="1"/>
    <col min="8196" max="8196" width="9.85546875" customWidth="1"/>
    <col min="8198" max="8198" width="22.28515625" customWidth="1"/>
    <col min="8199" max="8199" width="5.140625" bestFit="1" customWidth="1"/>
    <col min="8200" max="8200" width="6.85546875" customWidth="1"/>
    <col min="8201" max="8201" width="8.140625" bestFit="1" customWidth="1"/>
    <col min="8203" max="8203" width="9.42578125" bestFit="1" customWidth="1"/>
    <col min="8205" max="8205" width="10.5703125" customWidth="1"/>
    <col min="8207" max="8207" width="22.140625" bestFit="1" customWidth="1"/>
    <col min="8214" max="8214" width="38.7109375" customWidth="1"/>
    <col min="8215" max="8215" width="28" bestFit="1" customWidth="1"/>
    <col min="8216" max="8216" width="11.5703125" customWidth="1"/>
    <col min="8436" max="8436" width="22.140625" bestFit="1" customWidth="1"/>
    <col min="8437" max="8437" width="6.85546875" customWidth="1"/>
    <col min="8438" max="8438" width="7.140625" customWidth="1"/>
    <col min="8439" max="8439" width="10.42578125" customWidth="1"/>
    <col min="8445" max="8445" width="22.140625" bestFit="1" customWidth="1"/>
    <col min="8446" max="8446" width="5.140625" bestFit="1" customWidth="1"/>
    <col min="8447" max="8447" width="7.140625" customWidth="1"/>
    <col min="8448" max="8448" width="11.42578125" customWidth="1"/>
    <col min="8452" max="8452" width="9.85546875" customWidth="1"/>
    <col min="8454" max="8454" width="22.28515625" customWidth="1"/>
    <col min="8455" max="8455" width="5.140625" bestFit="1" customWidth="1"/>
    <col min="8456" max="8456" width="6.85546875" customWidth="1"/>
    <col min="8457" max="8457" width="8.140625" bestFit="1" customWidth="1"/>
    <col min="8459" max="8459" width="9.42578125" bestFit="1" customWidth="1"/>
    <col min="8461" max="8461" width="10.5703125" customWidth="1"/>
    <col min="8463" max="8463" width="22.140625" bestFit="1" customWidth="1"/>
    <col min="8470" max="8470" width="38.7109375" customWidth="1"/>
    <col min="8471" max="8471" width="28" bestFit="1" customWidth="1"/>
    <col min="8472" max="8472" width="11.5703125" customWidth="1"/>
    <col min="8692" max="8692" width="22.140625" bestFit="1" customWidth="1"/>
    <col min="8693" max="8693" width="6.85546875" customWidth="1"/>
    <col min="8694" max="8694" width="7.140625" customWidth="1"/>
    <col min="8695" max="8695" width="10.42578125" customWidth="1"/>
    <col min="8701" max="8701" width="22.140625" bestFit="1" customWidth="1"/>
    <col min="8702" max="8702" width="5.140625" bestFit="1" customWidth="1"/>
    <col min="8703" max="8703" width="7.140625" customWidth="1"/>
    <col min="8704" max="8704" width="11.42578125" customWidth="1"/>
    <col min="8708" max="8708" width="9.85546875" customWidth="1"/>
    <col min="8710" max="8710" width="22.28515625" customWidth="1"/>
    <col min="8711" max="8711" width="5.140625" bestFit="1" customWidth="1"/>
    <col min="8712" max="8712" width="6.85546875" customWidth="1"/>
    <col min="8713" max="8713" width="8.140625" bestFit="1" customWidth="1"/>
    <col min="8715" max="8715" width="9.42578125" bestFit="1" customWidth="1"/>
    <col min="8717" max="8717" width="10.5703125" customWidth="1"/>
    <col min="8719" max="8719" width="22.140625" bestFit="1" customWidth="1"/>
    <col min="8726" max="8726" width="38.7109375" customWidth="1"/>
    <col min="8727" max="8727" width="28" bestFit="1" customWidth="1"/>
    <col min="8728" max="8728" width="11.5703125" customWidth="1"/>
    <col min="8948" max="8948" width="22.140625" bestFit="1" customWidth="1"/>
    <col min="8949" max="8949" width="6.85546875" customWidth="1"/>
    <col min="8950" max="8950" width="7.140625" customWidth="1"/>
    <col min="8951" max="8951" width="10.42578125" customWidth="1"/>
    <col min="8957" max="8957" width="22.140625" bestFit="1" customWidth="1"/>
    <col min="8958" max="8958" width="5.140625" bestFit="1" customWidth="1"/>
    <col min="8959" max="8959" width="7.140625" customWidth="1"/>
    <col min="8960" max="8960" width="11.42578125" customWidth="1"/>
    <col min="8964" max="8964" width="9.85546875" customWidth="1"/>
    <col min="8966" max="8966" width="22.28515625" customWidth="1"/>
    <col min="8967" max="8967" width="5.140625" bestFit="1" customWidth="1"/>
    <col min="8968" max="8968" width="6.85546875" customWidth="1"/>
    <col min="8969" max="8969" width="8.140625" bestFit="1" customWidth="1"/>
    <col min="8971" max="8971" width="9.42578125" bestFit="1" customWidth="1"/>
    <col min="8973" max="8973" width="10.5703125" customWidth="1"/>
    <col min="8975" max="8975" width="22.140625" bestFit="1" customWidth="1"/>
    <col min="8982" max="8982" width="38.7109375" customWidth="1"/>
    <col min="8983" max="8983" width="28" bestFit="1" customWidth="1"/>
    <col min="8984" max="8984" width="11.5703125" customWidth="1"/>
    <col min="9204" max="9204" width="22.140625" bestFit="1" customWidth="1"/>
    <col min="9205" max="9205" width="6.85546875" customWidth="1"/>
    <col min="9206" max="9206" width="7.140625" customWidth="1"/>
    <col min="9207" max="9207" width="10.42578125" customWidth="1"/>
    <col min="9213" max="9213" width="22.140625" bestFit="1" customWidth="1"/>
    <col min="9214" max="9214" width="5.140625" bestFit="1" customWidth="1"/>
    <col min="9215" max="9215" width="7.140625" customWidth="1"/>
    <col min="9216" max="9216" width="11.42578125" customWidth="1"/>
    <col min="9220" max="9220" width="9.85546875" customWidth="1"/>
    <col min="9222" max="9222" width="22.28515625" customWidth="1"/>
    <col min="9223" max="9223" width="5.140625" bestFit="1" customWidth="1"/>
    <col min="9224" max="9224" width="6.85546875" customWidth="1"/>
    <col min="9225" max="9225" width="8.140625" bestFit="1" customWidth="1"/>
    <col min="9227" max="9227" width="9.42578125" bestFit="1" customWidth="1"/>
    <col min="9229" max="9229" width="10.5703125" customWidth="1"/>
    <col min="9231" max="9231" width="22.140625" bestFit="1" customWidth="1"/>
    <col min="9238" max="9238" width="38.7109375" customWidth="1"/>
    <col min="9239" max="9239" width="28" bestFit="1" customWidth="1"/>
    <col min="9240" max="9240" width="11.5703125" customWidth="1"/>
    <col min="9460" max="9460" width="22.140625" bestFit="1" customWidth="1"/>
    <col min="9461" max="9461" width="6.85546875" customWidth="1"/>
    <col min="9462" max="9462" width="7.140625" customWidth="1"/>
    <col min="9463" max="9463" width="10.42578125" customWidth="1"/>
    <col min="9469" max="9469" width="22.140625" bestFit="1" customWidth="1"/>
    <col min="9470" max="9470" width="5.140625" bestFit="1" customWidth="1"/>
    <col min="9471" max="9471" width="7.140625" customWidth="1"/>
    <col min="9472" max="9472" width="11.42578125" customWidth="1"/>
    <col min="9476" max="9476" width="9.85546875" customWidth="1"/>
    <col min="9478" max="9478" width="22.28515625" customWidth="1"/>
    <col min="9479" max="9479" width="5.140625" bestFit="1" customWidth="1"/>
    <col min="9480" max="9480" width="6.85546875" customWidth="1"/>
    <col min="9481" max="9481" width="8.140625" bestFit="1" customWidth="1"/>
    <col min="9483" max="9483" width="9.42578125" bestFit="1" customWidth="1"/>
    <col min="9485" max="9485" width="10.5703125" customWidth="1"/>
    <col min="9487" max="9487" width="22.140625" bestFit="1" customWidth="1"/>
    <col min="9494" max="9494" width="38.7109375" customWidth="1"/>
    <col min="9495" max="9495" width="28" bestFit="1" customWidth="1"/>
    <col min="9496" max="9496" width="11.5703125" customWidth="1"/>
    <col min="9716" max="9716" width="22.140625" bestFit="1" customWidth="1"/>
    <col min="9717" max="9717" width="6.85546875" customWidth="1"/>
    <col min="9718" max="9718" width="7.140625" customWidth="1"/>
    <col min="9719" max="9719" width="10.42578125" customWidth="1"/>
    <col min="9725" max="9725" width="22.140625" bestFit="1" customWidth="1"/>
    <col min="9726" max="9726" width="5.140625" bestFit="1" customWidth="1"/>
    <col min="9727" max="9727" width="7.140625" customWidth="1"/>
    <col min="9728" max="9728" width="11.42578125" customWidth="1"/>
    <col min="9732" max="9732" width="9.85546875" customWidth="1"/>
    <col min="9734" max="9734" width="22.28515625" customWidth="1"/>
    <col min="9735" max="9735" width="5.140625" bestFit="1" customWidth="1"/>
    <col min="9736" max="9736" width="6.85546875" customWidth="1"/>
    <col min="9737" max="9737" width="8.140625" bestFit="1" customWidth="1"/>
    <col min="9739" max="9739" width="9.42578125" bestFit="1" customWidth="1"/>
    <col min="9741" max="9741" width="10.5703125" customWidth="1"/>
    <col min="9743" max="9743" width="22.140625" bestFit="1" customWidth="1"/>
    <col min="9750" max="9750" width="38.7109375" customWidth="1"/>
    <col min="9751" max="9751" width="28" bestFit="1" customWidth="1"/>
    <col min="9752" max="9752" width="11.5703125" customWidth="1"/>
    <col min="9972" max="9972" width="22.140625" bestFit="1" customWidth="1"/>
    <col min="9973" max="9973" width="6.85546875" customWidth="1"/>
    <col min="9974" max="9974" width="7.140625" customWidth="1"/>
    <col min="9975" max="9975" width="10.42578125" customWidth="1"/>
    <col min="9981" max="9981" width="22.140625" bestFit="1" customWidth="1"/>
    <col min="9982" max="9982" width="5.140625" bestFit="1" customWidth="1"/>
    <col min="9983" max="9983" width="7.140625" customWidth="1"/>
    <col min="9984" max="9984" width="11.42578125" customWidth="1"/>
    <col min="9988" max="9988" width="9.85546875" customWidth="1"/>
    <col min="9990" max="9990" width="22.28515625" customWidth="1"/>
    <col min="9991" max="9991" width="5.140625" bestFit="1" customWidth="1"/>
    <col min="9992" max="9992" width="6.85546875" customWidth="1"/>
    <col min="9993" max="9993" width="8.140625" bestFit="1" customWidth="1"/>
    <col min="9995" max="9995" width="9.42578125" bestFit="1" customWidth="1"/>
    <col min="9997" max="9997" width="10.5703125" customWidth="1"/>
    <col min="9999" max="9999" width="22.140625" bestFit="1" customWidth="1"/>
    <col min="10006" max="10006" width="38.7109375" customWidth="1"/>
    <col min="10007" max="10007" width="28" bestFit="1" customWidth="1"/>
    <col min="10008" max="10008" width="11.5703125" customWidth="1"/>
    <col min="10228" max="10228" width="22.140625" bestFit="1" customWidth="1"/>
    <col min="10229" max="10229" width="6.85546875" customWidth="1"/>
    <col min="10230" max="10230" width="7.140625" customWidth="1"/>
    <col min="10231" max="10231" width="10.42578125" customWidth="1"/>
    <col min="10237" max="10237" width="22.140625" bestFit="1" customWidth="1"/>
    <col min="10238" max="10238" width="5.140625" bestFit="1" customWidth="1"/>
    <col min="10239" max="10239" width="7.140625" customWidth="1"/>
    <col min="10240" max="10240" width="11.42578125" customWidth="1"/>
    <col min="10244" max="10244" width="9.85546875" customWidth="1"/>
    <col min="10246" max="10246" width="22.28515625" customWidth="1"/>
    <col min="10247" max="10247" width="5.140625" bestFit="1" customWidth="1"/>
    <col min="10248" max="10248" width="6.85546875" customWidth="1"/>
    <col min="10249" max="10249" width="8.140625" bestFit="1" customWidth="1"/>
    <col min="10251" max="10251" width="9.42578125" bestFit="1" customWidth="1"/>
    <col min="10253" max="10253" width="10.5703125" customWidth="1"/>
    <col min="10255" max="10255" width="22.140625" bestFit="1" customWidth="1"/>
    <col min="10262" max="10262" width="38.7109375" customWidth="1"/>
    <col min="10263" max="10263" width="28" bestFit="1" customWidth="1"/>
    <col min="10264" max="10264" width="11.5703125" customWidth="1"/>
    <col min="10484" max="10484" width="22.140625" bestFit="1" customWidth="1"/>
    <col min="10485" max="10485" width="6.85546875" customWidth="1"/>
    <col min="10486" max="10486" width="7.140625" customWidth="1"/>
    <col min="10487" max="10487" width="10.42578125" customWidth="1"/>
    <col min="10493" max="10493" width="22.140625" bestFit="1" customWidth="1"/>
    <col min="10494" max="10494" width="5.140625" bestFit="1" customWidth="1"/>
    <col min="10495" max="10495" width="7.140625" customWidth="1"/>
    <col min="10496" max="10496" width="11.42578125" customWidth="1"/>
    <col min="10500" max="10500" width="9.85546875" customWidth="1"/>
    <col min="10502" max="10502" width="22.28515625" customWidth="1"/>
    <col min="10503" max="10503" width="5.140625" bestFit="1" customWidth="1"/>
    <col min="10504" max="10504" width="6.85546875" customWidth="1"/>
    <col min="10505" max="10505" width="8.140625" bestFit="1" customWidth="1"/>
    <col min="10507" max="10507" width="9.42578125" bestFit="1" customWidth="1"/>
    <col min="10509" max="10509" width="10.5703125" customWidth="1"/>
    <col min="10511" max="10511" width="22.140625" bestFit="1" customWidth="1"/>
    <col min="10518" max="10518" width="38.7109375" customWidth="1"/>
    <col min="10519" max="10519" width="28" bestFit="1" customWidth="1"/>
    <col min="10520" max="10520" width="11.5703125" customWidth="1"/>
    <col min="10740" max="10740" width="22.140625" bestFit="1" customWidth="1"/>
    <col min="10741" max="10741" width="6.85546875" customWidth="1"/>
    <col min="10742" max="10742" width="7.140625" customWidth="1"/>
    <col min="10743" max="10743" width="10.42578125" customWidth="1"/>
    <col min="10749" max="10749" width="22.140625" bestFit="1" customWidth="1"/>
    <col min="10750" max="10750" width="5.140625" bestFit="1" customWidth="1"/>
    <col min="10751" max="10751" width="7.140625" customWidth="1"/>
    <col min="10752" max="10752" width="11.42578125" customWidth="1"/>
    <col min="10756" max="10756" width="9.85546875" customWidth="1"/>
    <col min="10758" max="10758" width="22.28515625" customWidth="1"/>
    <col min="10759" max="10759" width="5.140625" bestFit="1" customWidth="1"/>
    <col min="10760" max="10760" width="6.85546875" customWidth="1"/>
    <col min="10761" max="10761" width="8.140625" bestFit="1" customWidth="1"/>
    <col min="10763" max="10763" width="9.42578125" bestFit="1" customWidth="1"/>
    <col min="10765" max="10765" width="10.5703125" customWidth="1"/>
    <col min="10767" max="10767" width="22.140625" bestFit="1" customWidth="1"/>
    <col min="10774" max="10774" width="38.7109375" customWidth="1"/>
    <col min="10775" max="10775" width="28" bestFit="1" customWidth="1"/>
    <col min="10776" max="10776" width="11.5703125" customWidth="1"/>
    <col min="10996" max="10996" width="22.140625" bestFit="1" customWidth="1"/>
    <col min="10997" max="10997" width="6.85546875" customWidth="1"/>
    <col min="10998" max="10998" width="7.140625" customWidth="1"/>
    <col min="10999" max="10999" width="10.42578125" customWidth="1"/>
    <col min="11005" max="11005" width="22.140625" bestFit="1" customWidth="1"/>
    <col min="11006" max="11006" width="5.140625" bestFit="1" customWidth="1"/>
    <col min="11007" max="11007" width="7.140625" customWidth="1"/>
    <col min="11008" max="11008" width="11.42578125" customWidth="1"/>
    <col min="11012" max="11012" width="9.85546875" customWidth="1"/>
    <col min="11014" max="11014" width="22.28515625" customWidth="1"/>
    <col min="11015" max="11015" width="5.140625" bestFit="1" customWidth="1"/>
    <col min="11016" max="11016" width="6.85546875" customWidth="1"/>
    <col min="11017" max="11017" width="8.140625" bestFit="1" customWidth="1"/>
    <col min="11019" max="11019" width="9.42578125" bestFit="1" customWidth="1"/>
    <col min="11021" max="11021" width="10.5703125" customWidth="1"/>
    <col min="11023" max="11023" width="22.140625" bestFit="1" customWidth="1"/>
    <col min="11030" max="11030" width="38.7109375" customWidth="1"/>
    <col min="11031" max="11031" width="28" bestFit="1" customWidth="1"/>
    <col min="11032" max="11032" width="11.5703125" customWidth="1"/>
    <col min="11252" max="11252" width="22.140625" bestFit="1" customWidth="1"/>
    <col min="11253" max="11253" width="6.85546875" customWidth="1"/>
    <col min="11254" max="11254" width="7.140625" customWidth="1"/>
    <col min="11255" max="11255" width="10.42578125" customWidth="1"/>
    <col min="11261" max="11261" width="22.140625" bestFit="1" customWidth="1"/>
    <col min="11262" max="11262" width="5.140625" bestFit="1" customWidth="1"/>
    <col min="11263" max="11263" width="7.140625" customWidth="1"/>
    <col min="11264" max="11264" width="11.42578125" customWidth="1"/>
    <col min="11268" max="11268" width="9.85546875" customWidth="1"/>
    <col min="11270" max="11270" width="22.28515625" customWidth="1"/>
    <col min="11271" max="11271" width="5.140625" bestFit="1" customWidth="1"/>
    <col min="11272" max="11272" width="6.85546875" customWidth="1"/>
    <col min="11273" max="11273" width="8.140625" bestFit="1" customWidth="1"/>
    <col min="11275" max="11275" width="9.42578125" bestFit="1" customWidth="1"/>
    <col min="11277" max="11277" width="10.5703125" customWidth="1"/>
    <col min="11279" max="11279" width="22.140625" bestFit="1" customWidth="1"/>
    <col min="11286" max="11286" width="38.7109375" customWidth="1"/>
    <col min="11287" max="11287" width="28" bestFit="1" customWidth="1"/>
    <col min="11288" max="11288" width="11.5703125" customWidth="1"/>
    <col min="11508" max="11508" width="22.140625" bestFit="1" customWidth="1"/>
    <col min="11509" max="11509" width="6.85546875" customWidth="1"/>
    <col min="11510" max="11510" width="7.140625" customWidth="1"/>
    <col min="11511" max="11511" width="10.42578125" customWidth="1"/>
    <col min="11517" max="11517" width="22.140625" bestFit="1" customWidth="1"/>
    <col min="11518" max="11518" width="5.140625" bestFit="1" customWidth="1"/>
    <col min="11519" max="11519" width="7.140625" customWidth="1"/>
    <col min="11520" max="11520" width="11.42578125" customWidth="1"/>
    <col min="11524" max="11524" width="9.85546875" customWidth="1"/>
    <col min="11526" max="11526" width="22.28515625" customWidth="1"/>
    <col min="11527" max="11527" width="5.140625" bestFit="1" customWidth="1"/>
    <col min="11528" max="11528" width="6.85546875" customWidth="1"/>
    <col min="11529" max="11529" width="8.140625" bestFit="1" customWidth="1"/>
    <col min="11531" max="11531" width="9.42578125" bestFit="1" customWidth="1"/>
    <col min="11533" max="11533" width="10.5703125" customWidth="1"/>
    <col min="11535" max="11535" width="22.140625" bestFit="1" customWidth="1"/>
    <col min="11542" max="11542" width="38.7109375" customWidth="1"/>
    <col min="11543" max="11543" width="28" bestFit="1" customWidth="1"/>
    <col min="11544" max="11544" width="11.5703125" customWidth="1"/>
    <col min="11764" max="11764" width="22.140625" bestFit="1" customWidth="1"/>
    <col min="11765" max="11765" width="6.85546875" customWidth="1"/>
    <col min="11766" max="11766" width="7.140625" customWidth="1"/>
    <col min="11767" max="11767" width="10.42578125" customWidth="1"/>
    <col min="11773" max="11773" width="22.140625" bestFit="1" customWidth="1"/>
    <col min="11774" max="11774" width="5.140625" bestFit="1" customWidth="1"/>
    <col min="11775" max="11775" width="7.140625" customWidth="1"/>
    <col min="11776" max="11776" width="11.42578125" customWidth="1"/>
    <col min="11780" max="11780" width="9.85546875" customWidth="1"/>
    <col min="11782" max="11782" width="22.28515625" customWidth="1"/>
    <col min="11783" max="11783" width="5.140625" bestFit="1" customWidth="1"/>
    <col min="11784" max="11784" width="6.85546875" customWidth="1"/>
    <col min="11785" max="11785" width="8.140625" bestFit="1" customWidth="1"/>
    <col min="11787" max="11787" width="9.42578125" bestFit="1" customWidth="1"/>
    <col min="11789" max="11789" width="10.5703125" customWidth="1"/>
    <col min="11791" max="11791" width="22.140625" bestFit="1" customWidth="1"/>
    <col min="11798" max="11798" width="38.7109375" customWidth="1"/>
    <col min="11799" max="11799" width="28" bestFit="1" customWidth="1"/>
    <col min="11800" max="11800" width="11.5703125" customWidth="1"/>
    <col min="12020" max="12020" width="22.140625" bestFit="1" customWidth="1"/>
    <col min="12021" max="12021" width="6.85546875" customWidth="1"/>
    <col min="12022" max="12022" width="7.140625" customWidth="1"/>
    <col min="12023" max="12023" width="10.42578125" customWidth="1"/>
    <col min="12029" max="12029" width="22.140625" bestFit="1" customWidth="1"/>
    <col min="12030" max="12030" width="5.140625" bestFit="1" customWidth="1"/>
    <col min="12031" max="12031" width="7.140625" customWidth="1"/>
    <col min="12032" max="12032" width="11.42578125" customWidth="1"/>
    <col min="12036" max="12036" width="9.85546875" customWidth="1"/>
    <col min="12038" max="12038" width="22.28515625" customWidth="1"/>
    <col min="12039" max="12039" width="5.140625" bestFit="1" customWidth="1"/>
    <col min="12040" max="12040" width="6.85546875" customWidth="1"/>
    <col min="12041" max="12041" width="8.140625" bestFit="1" customWidth="1"/>
    <col min="12043" max="12043" width="9.42578125" bestFit="1" customWidth="1"/>
    <col min="12045" max="12045" width="10.5703125" customWidth="1"/>
    <col min="12047" max="12047" width="22.140625" bestFit="1" customWidth="1"/>
    <col min="12054" max="12054" width="38.7109375" customWidth="1"/>
    <col min="12055" max="12055" width="28" bestFit="1" customWidth="1"/>
    <col min="12056" max="12056" width="11.5703125" customWidth="1"/>
    <col min="12276" max="12276" width="22.140625" bestFit="1" customWidth="1"/>
    <col min="12277" max="12277" width="6.85546875" customWidth="1"/>
    <col min="12278" max="12278" width="7.140625" customWidth="1"/>
    <col min="12279" max="12279" width="10.42578125" customWidth="1"/>
    <col min="12285" max="12285" width="22.140625" bestFit="1" customWidth="1"/>
    <col min="12286" max="12286" width="5.140625" bestFit="1" customWidth="1"/>
    <col min="12287" max="12287" width="7.140625" customWidth="1"/>
    <col min="12288" max="12288" width="11.42578125" customWidth="1"/>
    <col min="12292" max="12292" width="9.85546875" customWidth="1"/>
    <col min="12294" max="12294" width="22.28515625" customWidth="1"/>
    <col min="12295" max="12295" width="5.140625" bestFit="1" customWidth="1"/>
    <col min="12296" max="12296" width="6.85546875" customWidth="1"/>
    <col min="12297" max="12297" width="8.140625" bestFit="1" customWidth="1"/>
    <col min="12299" max="12299" width="9.42578125" bestFit="1" customWidth="1"/>
    <col min="12301" max="12301" width="10.5703125" customWidth="1"/>
    <col min="12303" max="12303" width="22.140625" bestFit="1" customWidth="1"/>
    <col min="12310" max="12310" width="38.7109375" customWidth="1"/>
    <col min="12311" max="12311" width="28" bestFit="1" customWidth="1"/>
    <col min="12312" max="12312" width="11.5703125" customWidth="1"/>
    <col min="12532" max="12532" width="22.140625" bestFit="1" customWidth="1"/>
    <col min="12533" max="12533" width="6.85546875" customWidth="1"/>
    <col min="12534" max="12534" width="7.140625" customWidth="1"/>
    <col min="12535" max="12535" width="10.42578125" customWidth="1"/>
    <col min="12541" max="12541" width="22.140625" bestFit="1" customWidth="1"/>
    <col min="12542" max="12542" width="5.140625" bestFit="1" customWidth="1"/>
    <col min="12543" max="12543" width="7.140625" customWidth="1"/>
    <col min="12544" max="12544" width="11.42578125" customWidth="1"/>
    <col min="12548" max="12548" width="9.85546875" customWidth="1"/>
    <col min="12550" max="12550" width="22.28515625" customWidth="1"/>
    <col min="12551" max="12551" width="5.140625" bestFit="1" customWidth="1"/>
    <col min="12552" max="12552" width="6.85546875" customWidth="1"/>
    <col min="12553" max="12553" width="8.140625" bestFit="1" customWidth="1"/>
    <col min="12555" max="12555" width="9.42578125" bestFit="1" customWidth="1"/>
    <col min="12557" max="12557" width="10.5703125" customWidth="1"/>
    <col min="12559" max="12559" width="22.140625" bestFit="1" customWidth="1"/>
    <col min="12566" max="12566" width="38.7109375" customWidth="1"/>
    <col min="12567" max="12567" width="28" bestFit="1" customWidth="1"/>
    <col min="12568" max="12568" width="11.5703125" customWidth="1"/>
    <col min="12788" max="12788" width="22.140625" bestFit="1" customWidth="1"/>
    <col min="12789" max="12789" width="6.85546875" customWidth="1"/>
    <col min="12790" max="12790" width="7.140625" customWidth="1"/>
    <col min="12791" max="12791" width="10.42578125" customWidth="1"/>
    <col min="12797" max="12797" width="22.140625" bestFit="1" customWidth="1"/>
    <col min="12798" max="12798" width="5.140625" bestFit="1" customWidth="1"/>
    <col min="12799" max="12799" width="7.140625" customWidth="1"/>
    <col min="12800" max="12800" width="11.42578125" customWidth="1"/>
    <col min="12804" max="12804" width="9.85546875" customWidth="1"/>
    <col min="12806" max="12806" width="22.28515625" customWidth="1"/>
    <col min="12807" max="12807" width="5.140625" bestFit="1" customWidth="1"/>
    <col min="12808" max="12808" width="6.85546875" customWidth="1"/>
    <col min="12809" max="12809" width="8.140625" bestFit="1" customWidth="1"/>
    <col min="12811" max="12811" width="9.42578125" bestFit="1" customWidth="1"/>
    <col min="12813" max="12813" width="10.5703125" customWidth="1"/>
    <col min="12815" max="12815" width="22.140625" bestFit="1" customWidth="1"/>
    <col min="12822" max="12822" width="38.7109375" customWidth="1"/>
    <col min="12823" max="12823" width="28" bestFit="1" customWidth="1"/>
    <col min="12824" max="12824" width="11.5703125" customWidth="1"/>
    <col min="13044" max="13044" width="22.140625" bestFit="1" customWidth="1"/>
    <col min="13045" max="13045" width="6.85546875" customWidth="1"/>
    <col min="13046" max="13046" width="7.140625" customWidth="1"/>
    <col min="13047" max="13047" width="10.42578125" customWidth="1"/>
    <col min="13053" max="13053" width="22.140625" bestFit="1" customWidth="1"/>
    <col min="13054" max="13054" width="5.140625" bestFit="1" customWidth="1"/>
    <col min="13055" max="13055" width="7.140625" customWidth="1"/>
    <col min="13056" max="13056" width="11.42578125" customWidth="1"/>
    <col min="13060" max="13060" width="9.85546875" customWidth="1"/>
    <col min="13062" max="13062" width="22.28515625" customWidth="1"/>
    <col min="13063" max="13063" width="5.140625" bestFit="1" customWidth="1"/>
    <col min="13064" max="13064" width="6.85546875" customWidth="1"/>
    <col min="13065" max="13065" width="8.140625" bestFit="1" customWidth="1"/>
    <col min="13067" max="13067" width="9.42578125" bestFit="1" customWidth="1"/>
    <col min="13069" max="13069" width="10.5703125" customWidth="1"/>
    <col min="13071" max="13071" width="22.140625" bestFit="1" customWidth="1"/>
    <col min="13078" max="13078" width="38.7109375" customWidth="1"/>
    <col min="13079" max="13079" width="28" bestFit="1" customWidth="1"/>
    <col min="13080" max="13080" width="11.5703125" customWidth="1"/>
    <col min="13300" max="13300" width="22.140625" bestFit="1" customWidth="1"/>
    <col min="13301" max="13301" width="6.85546875" customWidth="1"/>
    <col min="13302" max="13302" width="7.140625" customWidth="1"/>
    <col min="13303" max="13303" width="10.42578125" customWidth="1"/>
    <col min="13309" max="13309" width="22.140625" bestFit="1" customWidth="1"/>
    <col min="13310" max="13310" width="5.140625" bestFit="1" customWidth="1"/>
    <col min="13311" max="13311" width="7.140625" customWidth="1"/>
    <col min="13312" max="13312" width="11.42578125" customWidth="1"/>
    <col min="13316" max="13316" width="9.85546875" customWidth="1"/>
    <col min="13318" max="13318" width="22.28515625" customWidth="1"/>
    <col min="13319" max="13319" width="5.140625" bestFit="1" customWidth="1"/>
    <col min="13320" max="13320" width="6.85546875" customWidth="1"/>
    <col min="13321" max="13321" width="8.140625" bestFit="1" customWidth="1"/>
    <col min="13323" max="13323" width="9.42578125" bestFit="1" customWidth="1"/>
    <col min="13325" max="13325" width="10.5703125" customWidth="1"/>
    <col min="13327" max="13327" width="22.140625" bestFit="1" customWidth="1"/>
    <col min="13334" max="13334" width="38.7109375" customWidth="1"/>
    <col min="13335" max="13335" width="28" bestFit="1" customWidth="1"/>
    <col min="13336" max="13336" width="11.5703125" customWidth="1"/>
    <col min="13556" max="13556" width="22.140625" bestFit="1" customWidth="1"/>
    <col min="13557" max="13557" width="6.85546875" customWidth="1"/>
    <col min="13558" max="13558" width="7.140625" customWidth="1"/>
    <col min="13559" max="13559" width="10.42578125" customWidth="1"/>
    <col min="13565" max="13565" width="22.140625" bestFit="1" customWidth="1"/>
    <col min="13566" max="13566" width="5.140625" bestFit="1" customWidth="1"/>
    <col min="13567" max="13567" width="7.140625" customWidth="1"/>
    <col min="13568" max="13568" width="11.42578125" customWidth="1"/>
    <col min="13572" max="13572" width="9.85546875" customWidth="1"/>
    <col min="13574" max="13574" width="22.28515625" customWidth="1"/>
    <col min="13575" max="13575" width="5.140625" bestFit="1" customWidth="1"/>
    <col min="13576" max="13576" width="6.85546875" customWidth="1"/>
    <col min="13577" max="13577" width="8.140625" bestFit="1" customWidth="1"/>
    <col min="13579" max="13579" width="9.42578125" bestFit="1" customWidth="1"/>
    <col min="13581" max="13581" width="10.5703125" customWidth="1"/>
    <col min="13583" max="13583" width="22.140625" bestFit="1" customWidth="1"/>
    <col min="13590" max="13590" width="38.7109375" customWidth="1"/>
    <col min="13591" max="13591" width="28" bestFit="1" customWidth="1"/>
    <col min="13592" max="13592" width="11.5703125" customWidth="1"/>
    <col min="13812" max="13812" width="22.140625" bestFit="1" customWidth="1"/>
    <col min="13813" max="13813" width="6.85546875" customWidth="1"/>
    <col min="13814" max="13814" width="7.140625" customWidth="1"/>
    <col min="13815" max="13815" width="10.42578125" customWidth="1"/>
    <col min="13821" max="13821" width="22.140625" bestFit="1" customWidth="1"/>
    <col min="13822" max="13822" width="5.140625" bestFit="1" customWidth="1"/>
    <col min="13823" max="13823" width="7.140625" customWidth="1"/>
    <col min="13824" max="13824" width="11.42578125" customWidth="1"/>
    <col min="13828" max="13828" width="9.85546875" customWidth="1"/>
    <col min="13830" max="13830" width="22.28515625" customWidth="1"/>
    <col min="13831" max="13831" width="5.140625" bestFit="1" customWidth="1"/>
    <col min="13832" max="13832" width="6.85546875" customWidth="1"/>
    <col min="13833" max="13833" width="8.140625" bestFit="1" customWidth="1"/>
    <col min="13835" max="13835" width="9.42578125" bestFit="1" customWidth="1"/>
    <col min="13837" max="13837" width="10.5703125" customWidth="1"/>
    <col min="13839" max="13839" width="22.140625" bestFit="1" customWidth="1"/>
    <col min="13846" max="13846" width="38.7109375" customWidth="1"/>
    <col min="13847" max="13847" width="28" bestFit="1" customWidth="1"/>
    <col min="13848" max="13848" width="11.5703125" customWidth="1"/>
    <col min="14068" max="14068" width="22.140625" bestFit="1" customWidth="1"/>
    <col min="14069" max="14069" width="6.85546875" customWidth="1"/>
    <col min="14070" max="14070" width="7.140625" customWidth="1"/>
    <col min="14071" max="14071" width="10.42578125" customWidth="1"/>
    <col min="14077" max="14077" width="22.140625" bestFit="1" customWidth="1"/>
    <col min="14078" max="14078" width="5.140625" bestFit="1" customWidth="1"/>
    <col min="14079" max="14079" width="7.140625" customWidth="1"/>
    <col min="14080" max="14080" width="11.42578125" customWidth="1"/>
    <col min="14084" max="14084" width="9.85546875" customWidth="1"/>
    <col min="14086" max="14086" width="22.28515625" customWidth="1"/>
    <col min="14087" max="14087" width="5.140625" bestFit="1" customWidth="1"/>
    <col min="14088" max="14088" width="6.85546875" customWidth="1"/>
    <col min="14089" max="14089" width="8.140625" bestFit="1" customWidth="1"/>
    <col min="14091" max="14091" width="9.42578125" bestFit="1" customWidth="1"/>
    <col min="14093" max="14093" width="10.5703125" customWidth="1"/>
    <col min="14095" max="14095" width="22.140625" bestFit="1" customWidth="1"/>
    <col min="14102" max="14102" width="38.7109375" customWidth="1"/>
    <col min="14103" max="14103" width="28" bestFit="1" customWidth="1"/>
    <col min="14104" max="14104" width="11.5703125" customWidth="1"/>
    <col min="14324" max="14324" width="22.140625" bestFit="1" customWidth="1"/>
    <col min="14325" max="14325" width="6.85546875" customWidth="1"/>
    <col min="14326" max="14326" width="7.140625" customWidth="1"/>
    <col min="14327" max="14327" width="10.42578125" customWidth="1"/>
    <col min="14333" max="14333" width="22.140625" bestFit="1" customWidth="1"/>
    <col min="14334" max="14334" width="5.140625" bestFit="1" customWidth="1"/>
    <col min="14335" max="14335" width="7.140625" customWidth="1"/>
    <col min="14336" max="14336" width="11.42578125" customWidth="1"/>
    <col min="14340" max="14340" width="9.85546875" customWidth="1"/>
    <col min="14342" max="14342" width="22.28515625" customWidth="1"/>
    <col min="14343" max="14343" width="5.140625" bestFit="1" customWidth="1"/>
    <col min="14344" max="14344" width="6.85546875" customWidth="1"/>
    <col min="14345" max="14345" width="8.140625" bestFit="1" customWidth="1"/>
    <col min="14347" max="14347" width="9.42578125" bestFit="1" customWidth="1"/>
    <col min="14349" max="14349" width="10.5703125" customWidth="1"/>
    <col min="14351" max="14351" width="22.140625" bestFit="1" customWidth="1"/>
    <col min="14358" max="14358" width="38.7109375" customWidth="1"/>
    <col min="14359" max="14359" width="28" bestFit="1" customWidth="1"/>
    <col min="14360" max="14360" width="11.5703125" customWidth="1"/>
    <col min="14580" max="14580" width="22.140625" bestFit="1" customWidth="1"/>
    <col min="14581" max="14581" width="6.85546875" customWidth="1"/>
    <col min="14582" max="14582" width="7.140625" customWidth="1"/>
    <col min="14583" max="14583" width="10.42578125" customWidth="1"/>
    <col min="14589" max="14589" width="22.140625" bestFit="1" customWidth="1"/>
    <col min="14590" max="14590" width="5.140625" bestFit="1" customWidth="1"/>
    <col min="14591" max="14591" width="7.140625" customWidth="1"/>
    <col min="14592" max="14592" width="11.42578125" customWidth="1"/>
    <col min="14596" max="14596" width="9.85546875" customWidth="1"/>
    <col min="14598" max="14598" width="22.28515625" customWidth="1"/>
    <col min="14599" max="14599" width="5.140625" bestFit="1" customWidth="1"/>
    <col min="14600" max="14600" width="6.85546875" customWidth="1"/>
    <col min="14601" max="14601" width="8.140625" bestFit="1" customWidth="1"/>
    <col min="14603" max="14603" width="9.42578125" bestFit="1" customWidth="1"/>
    <col min="14605" max="14605" width="10.5703125" customWidth="1"/>
    <col min="14607" max="14607" width="22.140625" bestFit="1" customWidth="1"/>
    <col min="14614" max="14614" width="38.7109375" customWidth="1"/>
    <col min="14615" max="14615" width="28" bestFit="1" customWidth="1"/>
    <col min="14616" max="14616" width="11.5703125" customWidth="1"/>
    <col min="14836" max="14836" width="22.140625" bestFit="1" customWidth="1"/>
    <col min="14837" max="14837" width="6.85546875" customWidth="1"/>
    <col min="14838" max="14838" width="7.140625" customWidth="1"/>
    <col min="14839" max="14839" width="10.42578125" customWidth="1"/>
    <col min="14845" max="14845" width="22.140625" bestFit="1" customWidth="1"/>
    <col min="14846" max="14846" width="5.140625" bestFit="1" customWidth="1"/>
    <col min="14847" max="14847" width="7.140625" customWidth="1"/>
    <col min="14848" max="14848" width="11.42578125" customWidth="1"/>
    <col min="14852" max="14852" width="9.85546875" customWidth="1"/>
    <col min="14854" max="14854" width="22.28515625" customWidth="1"/>
    <col min="14855" max="14855" width="5.140625" bestFit="1" customWidth="1"/>
    <col min="14856" max="14856" width="6.85546875" customWidth="1"/>
    <col min="14857" max="14857" width="8.140625" bestFit="1" customWidth="1"/>
    <col min="14859" max="14859" width="9.42578125" bestFit="1" customWidth="1"/>
    <col min="14861" max="14861" width="10.5703125" customWidth="1"/>
    <col min="14863" max="14863" width="22.140625" bestFit="1" customWidth="1"/>
    <col min="14870" max="14870" width="38.7109375" customWidth="1"/>
    <col min="14871" max="14871" width="28" bestFit="1" customWidth="1"/>
    <col min="14872" max="14872" width="11.5703125" customWidth="1"/>
    <col min="15092" max="15092" width="22.140625" bestFit="1" customWidth="1"/>
    <col min="15093" max="15093" width="6.85546875" customWidth="1"/>
    <col min="15094" max="15094" width="7.140625" customWidth="1"/>
    <col min="15095" max="15095" width="10.42578125" customWidth="1"/>
    <col min="15101" max="15101" width="22.140625" bestFit="1" customWidth="1"/>
    <col min="15102" max="15102" width="5.140625" bestFit="1" customWidth="1"/>
    <col min="15103" max="15103" width="7.140625" customWidth="1"/>
    <col min="15104" max="15104" width="11.42578125" customWidth="1"/>
    <col min="15108" max="15108" width="9.85546875" customWidth="1"/>
    <col min="15110" max="15110" width="22.28515625" customWidth="1"/>
    <col min="15111" max="15111" width="5.140625" bestFit="1" customWidth="1"/>
    <col min="15112" max="15112" width="6.85546875" customWidth="1"/>
    <col min="15113" max="15113" width="8.140625" bestFit="1" customWidth="1"/>
    <col min="15115" max="15115" width="9.42578125" bestFit="1" customWidth="1"/>
    <col min="15117" max="15117" width="10.5703125" customWidth="1"/>
    <col min="15119" max="15119" width="22.140625" bestFit="1" customWidth="1"/>
    <col min="15126" max="15126" width="38.7109375" customWidth="1"/>
    <col min="15127" max="15127" width="28" bestFit="1" customWidth="1"/>
    <col min="15128" max="15128" width="11.5703125" customWidth="1"/>
    <col min="15348" max="15348" width="22.140625" bestFit="1" customWidth="1"/>
    <col min="15349" max="15349" width="6.85546875" customWidth="1"/>
    <col min="15350" max="15350" width="7.140625" customWidth="1"/>
    <col min="15351" max="15351" width="10.42578125" customWidth="1"/>
    <col min="15357" max="15357" width="22.140625" bestFit="1" customWidth="1"/>
    <col min="15358" max="15358" width="5.140625" bestFit="1" customWidth="1"/>
    <col min="15359" max="15359" width="7.140625" customWidth="1"/>
    <col min="15360" max="15360" width="11.42578125" customWidth="1"/>
    <col min="15364" max="15364" width="9.85546875" customWidth="1"/>
    <col min="15366" max="15366" width="22.28515625" customWidth="1"/>
    <col min="15367" max="15367" width="5.140625" bestFit="1" customWidth="1"/>
    <col min="15368" max="15368" width="6.85546875" customWidth="1"/>
    <col min="15369" max="15369" width="8.140625" bestFit="1" customWidth="1"/>
    <col min="15371" max="15371" width="9.42578125" bestFit="1" customWidth="1"/>
    <col min="15373" max="15373" width="10.5703125" customWidth="1"/>
    <col min="15375" max="15375" width="22.140625" bestFit="1" customWidth="1"/>
    <col min="15382" max="15382" width="38.7109375" customWidth="1"/>
    <col min="15383" max="15383" width="28" bestFit="1" customWidth="1"/>
    <col min="15384" max="15384" width="11.5703125" customWidth="1"/>
    <col min="15604" max="15604" width="22.140625" bestFit="1" customWidth="1"/>
    <col min="15605" max="15605" width="6.85546875" customWidth="1"/>
    <col min="15606" max="15606" width="7.140625" customWidth="1"/>
    <col min="15607" max="15607" width="10.42578125" customWidth="1"/>
    <col min="15613" max="15613" width="22.140625" bestFit="1" customWidth="1"/>
    <col min="15614" max="15614" width="5.140625" bestFit="1" customWidth="1"/>
    <col min="15615" max="15615" width="7.140625" customWidth="1"/>
    <col min="15616" max="15616" width="11.42578125" customWidth="1"/>
    <col min="15620" max="15620" width="9.85546875" customWidth="1"/>
    <col min="15622" max="15622" width="22.28515625" customWidth="1"/>
    <col min="15623" max="15623" width="5.140625" bestFit="1" customWidth="1"/>
    <col min="15624" max="15624" width="6.85546875" customWidth="1"/>
    <col min="15625" max="15625" width="8.140625" bestFit="1" customWidth="1"/>
    <col min="15627" max="15627" width="9.42578125" bestFit="1" customWidth="1"/>
    <col min="15629" max="15629" width="10.5703125" customWidth="1"/>
    <col min="15631" max="15631" width="22.140625" bestFit="1" customWidth="1"/>
    <col min="15638" max="15638" width="38.7109375" customWidth="1"/>
    <col min="15639" max="15639" width="28" bestFit="1" customWidth="1"/>
    <col min="15640" max="15640" width="11.5703125" customWidth="1"/>
    <col min="15860" max="15860" width="22.140625" bestFit="1" customWidth="1"/>
    <col min="15861" max="15861" width="6.85546875" customWidth="1"/>
    <col min="15862" max="15862" width="7.140625" customWidth="1"/>
    <col min="15863" max="15863" width="10.42578125" customWidth="1"/>
    <col min="15869" max="15869" width="22.140625" bestFit="1" customWidth="1"/>
    <col min="15870" max="15870" width="5.140625" bestFit="1" customWidth="1"/>
    <col min="15871" max="15871" width="7.140625" customWidth="1"/>
    <col min="15872" max="15872" width="11.42578125" customWidth="1"/>
    <col min="15876" max="15876" width="9.85546875" customWidth="1"/>
    <col min="15878" max="15878" width="22.28515625" customWidth="1"/>
    <col min="15879" max="15879" width="5.140625" bestFit="1" customWidth="1"/>
    <col min="15880" max="15880" width="6.85546875" customWidth="1"/>
    <col min="15881" max="15881" width="8.140625" bestFit="1" customWidth="1"/>
    <col min="15883" max="15883" width="9.42578125" bestFit="1" customWidth="1"/>
    <col min="15885" max="15885" width="10.5703125" customWidth="1"/>
    <col min="15887" max="15887" width="22.140625" bestFit="1" customWidth="1"/>
    <col min="15894" max="15894" width="38.7109375" customWidth="1"/>
    <col min="15895" max="15895" width="28" bestFit="1" customWidth="1"/>
    <col min="15896" max="15896" width="11.5703125" customWidth="1"/>
    <col min="16116" max="16116" width="22.140625" bestFit="1" customWidth="1"/>
    <col min="16117" max="16117" width="6.85546875" customWidth="1"/>
    <col min="16118" max="16118" width="7.140625" customWidth="1"/>
    <col min="16119" max="16119" width="10.42578125" customWidth="1"/>
    <col min="16125" max="16125" width="22.140625" bestFit="1" customWidth="1"/>
    <col min="16126" max="16126" width="5.140625" bestFit="1" customWidth="1"/>
    <col min="16127" max="16127" width="7.140625" customWidth="1"/>
    <col min="16128" max="16128" width="11.42578125" customWidth="1"/>
    <col min="16132" max="16132" width="9.85546875" customWidth="1"/>
    <col min="16134" max="16134" width="22.28515625" customWidth="1"/>
    <col min="16135" max="16135" width="5.140625" bestFit="1" customWidth="1"/>
    <col min="16136" max="16136" width="6.85546875" customWidth="1"/>
    <col min="16137" max="16137" width="8.140625" bestFit="1" customWidth="1"/>
    <col min="16139" max="16139" width="9.42578125" bestFit="1" customWidth="1"/>
    <col min="16141" max="16141" width="10.5703125" customWidth="1"/>
    <col min="16143" max="16143" width="22.140625" bestFit="1" customWidth="1"/>
    <col min="16150" max="16150" width="38.7109375" customWidth="1"/>
    <col min="16151" max="16151" width="28" bestFit="1" customWidth="1"/>
    <col min="16152" max="16152" width="11.5703125" customWidth="1"/>
  </cols>
  <sheetData>
    <row r="2" spans="1:22" ht="15.75" thickBot="1"/>
    <row r="3" spans="1:22" ht="15.75" customHeight="1" thickBot="1">
      <c r="A3" s="842" t="s">
        <v>0</v>
      </c>
      <c r="B3" s="843"/>
      <c r="C3" s="843"/>
      <c r="D3" s="843"/>
      <c r="E3" s="844"/>
      <c r="F3" s="1"/>
      <c r="G3" s="842" t="s">
        <v>1</v>
      </c>
      <c r="H3" s="843"/>
      <c r="I3" s="843"/>
      <c r="J3" s="843"/>
      <c r="K3" s="844"/>
      <c r="M3" s="845" t="s">
        <v>2</v>
      </c>
      <c r="N3" s="846"/>
      <c r="O3" s="846"/>
      <c r="P3" s="846"/>
      <c r="Q3" s="846"/>
      <c r="R3" s="846"/>
      <c r="S3" s="846"/>
      <c r="T3" s="846"/>
      <c r="U3" s="846"/>
      <c r="V3" s="847"/>
    </row>
    <row r="4" spans="1:22" ht="15.75" customHeight="1" thickBot="1">
      <c r="A4" s="2"/>
      <c r="B4" s="3" t="s">
        <v>3</v>
      </c>
      <c r="C4" s="4" t="s">
        <v>4</v>
      </c>
      <c r="D4" s="5" t="s">
        <v>5</v>
      </c>
      <c r="E4" s="6" t="s">
        <v>6</v>
      </c>
      <c r="F4" s="7"/>
      <c r="G4" s="2"/>
      <c r="H4" s="3" t="s">
        <v>3</v>
      </c>
      <c r="I4" s="4" t="s">
        <v>4</v>
      </c>
      <c r="J4" s="5" t="s">
        <v>5</v>
      </c>
      <c r="K4" s="6" t="s">
        <v>6</v>
      </c>
      <c r="M4" s="848" t="s">
        <v>7</v>
      </c>
      <c r="N4" s="849"/>
      <c r="O4" s="840" t="s">
        <v>8</v>
      </c>
      <c r="P4" s="841"/>
      <c r="Q4" s="841"/>
      <c r="R4" s="841"/>
      <c r="S4" s="841"/>
      <c r="T4" s="841"/>
      <c r="U4" s="841"/>
      <c r="V4" s="852"/>
    </row>
    <row r="5" spans="1:22" ht="15.75" thickBot="1">
      <c r="A5" s="8" t="s">
        <v>9</v>
      </c>
      <c r="B5" s="9">
        <f>'[4]Model A Direct Care'!$DF$23</f>
        <v>48.091908842179208</v>
      </c>
      <c r="C5" s="10">
        <f>N6</f>
        <v>60559.656682517481</v>
      </c>
      <c r="D5" s="11">
        <f>O6</f>
        <v>0.20793518578803963</v>
      </c>
      <c r="E5" s="12">
        <f>C5*D5</f>
        <v>12592.483463539169</v>
      </c>
      <c r="F5" s="12"/>
      <c r="G5" s="8" t="s">
        <v>9</v>
      </c>
      <c r="H5" s="13">
        <f>'[4]Model A Direct Care'!$DF$23</f>
        <v>48.091908842179208</v>
      </c>
      <c r="I5" s="10">
        <f>N6</f>
        <v>60559.656682517481</v>
      </c>
      <c r="J5" s="11">
        <f>P6</f>
        <v>0.20793518578803963</v>
      </c>
      <c r="K5" s="12">
        <f>I5*J5</f>
        <v>12592.483463539169</v>
      </c>
      <c r="M5" s="850"/>
      <c r="N5" s="851"/>
      <c r="O5" s="14" t="s">
        <v>10</v>
      </c>
      <c r="P5" s="14" t="s">
        <v>11</v>
      </c>
      <c r="Q5" s="14" t="s">
        <v>12</v>
      </c>
      <c r="R5" s="14" t="s">
        <v>13</v>
      </c>
      <c r="S5" s="14" t="s">
        <v>14</v>
      </c>
      <c r="T5" s="14" t="s">
        <v>15</v>
      </c>
      <c r="U5" s="14" t="s">
        <v>16</v>
      </c>
      <c r="V5" s="14" t="s">
        <v>17</v>
      </c>
    </row>
    <row r="6" spans="1:22">
      <c r="A6" s="20" t="s">
        <v>19</v>
      </c>
      <c r="B6" s="9">
        <f>SUM('[4]Model A Direct Care'!CO12:CO19)/SUM('[4]Model A Direct Care'!AC12:AC19)</f>
        <v>7.1273324106644251</v>
      </c>
      <c r="C6" s="10">
        <f>N8</f>
        <v>38677.022212587406</v>
      </c>
      <c r="D6" s="11">
        <f t="shared" ref="D6:D7" si="0">O8</f>
        <v>1.4030494754302865</v>
      </c>
      <c r="E6" s="12">
        <f>C6*D6</f>
        <v>54265.775726576299</v>
      </c>
      <c r="F6" s="12"/>
      <c r="G6" s="20" t="s">
        <v>19</v>
      </c>
      <c r="H6" s="13">
        <f>SUM('[4]Model A Direct Care'!$CO4:$CO11)/SUM('[4]Model A Direct Care'!$AC4:$AC11)</f>
        <v>4.3186915565370407</v>
      </c>
      <c r="I6" s="10">
        <f>N8</f>
        <v>38677.022212587406</v>
      </c>
      <c r="J6" s="11">
        <f t="shared" ref="J6:J7" si="1">P8</f>
        <v>2.3155161393416432</v>
      </c>
      <c r="K6" s="12">
        <f>I6*J6</f>
        <v>89557.269154921378</v>
      </c>
      <c r="M6" s="16" t="s">
        <v>9</v>
      </c>
      <c r="N6" s="767">
        <f>'Master Lookup'!D4</f>
        <v>60559.656682517481</v>
      </c>
      <c r="O6" s="17">
        <v>0.20793518578803963</v>
      </c>
      <c r="P6" s="18">
        <v>0.20793518578803963</v>
      </c>
      <c r="Q6" s="18">
        <v>0.45454545454545453</v>
      </c>
      <c r="R6" s="18">
        <v>0.17141009055627424</v>
      </c>
      <c r="S6" s="18">
        <v>0.57834862385321095</v>
      </c>
      <c r="T6" s="18">
        <v>0.69090909090909092</v>
      </c>
      <c r="U6" s="18">
        <v>0.54186582691334406</v>
      </c>
      <c r="V6" s="19">
        <v>0.56619472021660655</v>
      </c>
    </row>
    <row r="7" spans="1:22">
      <c r="A7" s="24" t="s">
        <v>20</v>
      </c>
      <c r="B7" s="25">
        <f>'[4]Model A Direct Care'!$DI$23</f>
        <v>73.838082262739789</v>
      </c>
      <c r="C7" s="10">
        <f>N9</f>
        <v>32954.066953846152</v>
      </c>
      <c r="D7" s="11">
        <f t="shared" si="0"/>
        <v>0.13543146969089426</v>
      </c>
      <c r="E7" s="12">
        <f>C7*D7</f>
        <v>4463.0177198515148</v>
      </c>
      <c r="F7" s="12"/>
      <c r="G7" s="24" t="s">
        <v>20</v>
      </c>
      <c r="H7" s="25">
        <f>'[4]Model A Direct Care'!$DI$23</f>
        <v>73.838082262739789</v>
      </c>
      <c r="I7" s="10">
        <f>N9</f>
        <v>32954.066953846152</v>
      </c>
      <c r="J7" s="11">
        <f t="shared" si="1"/>
        <v>0.13543146969089426</v>
      </c>
      <c r="K7" s="12">
        <f>I7*J7</f>
        <v>4463.0177198515148</v>
      </c>
      <c r="M7" s="15" t="s">
        <v>18</v>
      </c>
      <c r="N7" s="767">
        <f>'Master Lookup'!D5</f>
        <v>55253.493359440552</v>
      </c>
      <c r="O7" s="21"/>
      <c r="P7" s="22"/>
      <c r="Q7" s="22">
        <v>1.1357541478464965</v>
      </c>
      <c r="R7" s="22">
        <v>0.32923673997412672</v>
      </c>
      <c r="S7" s="22">
        <v>2.0403669724770643</v>
      </c>
      <c r="T7" s="22">
        <v>1.9335664335664335</v>
      </c>
      <c r="U7" s="22">
        <v>1.8452173424056681</v>
      </c>
      <c r="V7" s="23">
        <v>1.2765117328519857</v>
      </c>
    </row>
    <row r="8" spans="1:22">
      <c r="A8" s="26" t="s">
        <v>21</v>
      </c>
      <c r="B8" s="27"/>
      <c r="C8" s="28"/>
      <c r="D8" s="29">
        <f>SUM(D5:D7)</f>
        <v>1.7464161309092203</v>
      </c>
      <c r="E8" s="30">
        <f>SUM(E5:E7)</f>
        <v>71321.276909966982</v>
      </c>
      <c r="F8" s="31"/>
      <c r="G8" s="26" t="s">
        <v>21</v>
      </c>
      <c r="H8" s="28"/>
      <c r="I8" s="28"/>
      <c r="J8" s="29">
        <f>SUM(J5:J7)</f>
        <v>2.6588827948205771</v>
      </c>
      <c r="K8" s="30">
        <f>SUM(K5:K7)</f>
        <v>106612.77033831207</v>
      </c>
      <c r="M8" s="20" t="s">
        <v>19</v>
      </c>
      <c r="N8" s="767">
        <f>'Master Lookup'!D6</f>
        <v>38677.022212587406</v>
      </c>
      <c r="O8" s="21">
        <v>1.4030494754302865</v>
      </c>
      <c r="P8" s="22">
        <v>2.3155161393416432</v>
      </c>
      <c r="Q8" s="22">
        <v>1.1976047904191618</v>
      </c>
      <c r="R8" s="22">
        <v>2.6119016817593788</v>
      </c>
      <c r="S8" s="22"/>
      <c r="T8" s="22">
        <v>1.5244755244755246</v>
      </c>
      <c r="U8" s="22">
        <v>4.8850025305066636</v>
      </c>
      <c r="V8" s="23">
        <v>3.2942238267148016</v>
      </c>
    </row>
    <row r="9" spans="1:22" ht="16.5" thickBot="1">
      <c r="A9" s="36"/>
      <c r="B9" s="37"/>
      <c r="C9" s="38"/>
      <c r="D9" s="39"/>
      <c r="E9" s="31"/>
      <c r="F9" s="31"/>
      <c r="G9" s="36"/>
      <c r="H9" s="38"/>
      <c r="I9" s="38"/>
      <c r="J9" s="39"/>
      <c r="K9" s="31"/>
      <c r="M9" s="32" t="s">
        <v>20</v>
      </c>
      <c r="N9" s="767">
        <f>'Master Lookup'!D7</f>
        <v>32954.066953846152</v>
      </c>
      <c r="O9" s="33">
        <v>0.13543146969089426</v>
      </c>
      <c r="P9" s="34">
        <v>0.13543146969089426</v>
      </c>
      <c r="Q9" s="34">
        <v>0.25</v>
      </c>
      <c r="R9" s="34">
        <v>0.16558861578266496</v>
      </c>
      <c r="S9" s="34">
        <v>0.13064220183486239</v>
      </c>
      <c r="T9" s="34">
        <v>0.20489510489510487</v>
      </c>
      <c r="U9" s="34">
        <v>0.33456109767755715</v>
      </c>
      <c r="V9" s="35">
        <v>0.47354467509025272</v>
      </c>
    </row>
    <row r="10" spans="1:22" ht="15.75" thickBot="1">
      <c r="A10" s="2" t="s">
        <v>23</v>
      </c>
      <c r="B10" s="41"/>
      <c r="C10" s="41"/>
      <c r="D10" s="5"/>
      <c r="E10" s="7"/>
      <c r="F10" s="7"/>
      <c r="G10" s="2" t="s">
        <v>23</v>
      </c>
      <c r="H10" s="41"/>
      <c r="I10" s="41"/>
      <c r="J10" s="5"/>
      <c r="K10" s="7"/>
      <c r="M10" s="840" t="s">
        <v>22</v>
      </c>
      <c r="N10" s="841"/>
      <c r="O10" s="40" t="s">
        <v>10</v>
      </c>
      <c r="P10" s="14" t="s">
        <v>11</v>
      </c>
      <c r="Q10" s="14" t="s">
        <v>12</v>
      </c>
      <c r="R10" s="14" t="s">
        <v>13</v>
      </c>
      <c r="S10" s="14" t="s">
        <v>14</v>
      </c>
      <c r="T10" s="14" t="s">
        <v>15</v>
      </c>
      <c r="U10" s="14" t="s">
        <v>16</v>
      </c>
      <c r="V10" s="14" t="s">
        <v>17</v>
      </c>
    </row>
    <row r="11" spans="1:22">
      <c r="A11" s="47" t="s">
        <v>25</v>
      </c>
      <c r="C11" s="48">
        <f>N11</f>
        <v>0.24</v>
      </c>
      <c r="D11" s="49"/>
      <c r="E11" s="50">
        <f>C11*E8</f>
        <v>17117.106458392074</v>
      </c>
      <c r="F11" s="50"/>
      <c r="G11" s="47" t="s">
        <v>25</v>
      </c>
      <c r="H11" s="51"/>
      <c r="I11" s="48">
        <f>N11</f>
        <v>0.24</v>
      </c>
      <c r="J11" s="49"/>
      <c r="K11" s="50">
        <f>I11*K8</f>
        <v>25587.064881194896</v>
      </c>
      <c r="M11" s="42" t="s">
        <v>24</v>
      </c>
      <c r="N11" s="43">
        <f>'Master Lookup'!D24</f>
        <v>0.24</v>
      </c>
      <c r="O11" s="44"/>
      <c r="P11" s="45"/>
      <c r="Q11" s="45"/>
      <c r="R11" s="45"/>
      <c r="S11" s="45"/>
      <c r="T11" s="45"/>
      <c r="U11" s="45"/>
      <c r="V11" s="46"/>
    </row>
    <row r="12" spans="1:22">
      <c r="A12" s="56" t="s">
        <v>27</v>
      </c>
      <c r="B12" s="57"/>
      <c r="C12" s="57"/>
      <c r="D12" s="58"/>
      <c r="E12" s="59">
        <f>E8+E11</f>
        <v>88438.383368359064</v>
      </c>
      <c r="F12" s="60"/>
      <c r="G12" s="56" t="s">
        <v>27</v>
      </c>
      <c r="H12" s="57"/>
      <c r="I12" s="57"/>
      <c r="J12" s="58"/>
      <c r="K12" s="59">
        <f>K8+K11</f>
        <v>132199.83521950696</v>
      </c>
      <c r="M12" s="52" t="s">
        <v>26</v>
      </c>
      <c r="N12" s="53">
        <f>'Master Lookup'!D23</f>
        <v>0.12</v>
      </c>
      <c r="O12" s="44"/>
      <c r="P12" s="44"/>
      <c r="Q12" s="44"/>
      <c r="R12" s="44"/>
      <c r="S12" s="44"/>
      <c r="T12" s="44"/>
      <c r="U12" s="54"/>
      <c r="V12" s="55"/>
    </row>
    <row r="13" spans="1:22" ht="15.75" thickBot="1">
      <c r="A13" s="66"/>
      <c r="B13" s="67"/>
      <c r="C13" s="67"/>
      <c r="D13" s="68"/>
      <c r="E13" s="7"/>
      <c r="F13" s="7"/>
      <c r="G13" s="66"/>
      <c r="H13" s="67"/>
      <c r="I13" s="67"/>
      <c r="J13" s="68"/>
      <c r="K13" s="7"/>
      <c r="M13" s="61" t="s">
        <v>28</v>
      </c>
      <c r="N13" s="62"/>
      <c r="O13" s="63">
        <v>0.34150000000000003</v>
      </c>
      <c r="P13" s="63">
        <v>0.21195</v>
      </c>
      <c r="Q13" s="63">
        <v>0.21310000000000001</v>
      </c>
      <c r="R13" s="63">
        <v>0.28775000000000001</v>
      </c>
      <c r="S13" s="63">
        <v>0.20979999999999999</v>
      </c>
      <c r="T13" s="63">
        <v>0.29899999999999999</v>
      </c>
      <c r="U13" s="64">
        <v>0.16789999999999999</v>
      </c>
      <c r="V13" s="65">
        <v>0.31219999999999998</v>
      </c>
    </row>
    <row r="14" spans="1:22" ht="15.75" thickBot="1">
      <c r="A14" s="52" t="str">
        <f>M13</f>
        <v>Non Staff Direct Expense (% of total Comp)</v>
      </c>
      <c r="B14" s="67"/>
      <c r="C14" s="71">
        <f>O13</f>
        <v>0.34150000000000003</v>
      </c>
      <c r="D14" s="68"/>
      <c r="E14" s="72">
        <f>C14*E12</f>
        <v>30201.707920294622</v>
      </c>
      <c r="F14" s="7"/>
      <c r="G14" s="52" t="str">
        <f>M13</f>
        <v>Non Staff Direct Expense (% of total Comp)</v>
      </c>
      <c r="H14" s="67"/>
      <c r="I14" s="71">
        <f>P13</f>
        <v>0.21195</v>
      </c>
      <c r="J14" s="68"/>
      <c r="K14" s="72">
        <f>I14*K12</f>
        <v>28019.755074774501</v>
      </c>
      <c r="M14" s="691" t="s">
        <v>29</v>
      </c>
      <c r="N14" s="692">
        <f>'[5]CAF Spring17'!BK27</f>
        <v>2.7235921972764018E-2</v>
      </c>
      <c r="O14" s="693" t="s">
        <v>30</v>
      </c>
      <c r="P14" s="694"/>
      <c r="Q14" s="694"/>
      <c r="R14" s="694"/>
      <c r="S14" s="694"/>
      <c r="T14" s="694"/>
      <c r="U14" s="694"/>
      <c r="V14" s="695"/>
    </row>
    <row r="15" spans="1:22" ht="15.75" customHeight="1" thickBot="1">
      <c r="A15" s="56" t="s">
        <v>32</v>
      </c>
      <c r="B15" s="57"/>
      <c r="C15" s="57"/>
      <c r="D15" s="58"/>
      <c r="E15" s="59">
        <f>E12+E14</f>
        <v>118640.09128865368</v>
      </c>
      <c r="F15" s="7"/>
      <c r="G15" s="56" t="s">
        <v>32</v>
      </c>
      <c r="H15" s="57"/>
      <c r="I15" s="57"/>
      <c r="J15" s="58"/>
      <c r="K15" s="59">
        <f>K12+K14</f>
        <v>160219.59029428146</v>
      </c>
      <c r="M15" s="697" t="s">
        <v>31</v>
      </c>
      <c r="N15" s="698">
        <f>'Master Lookup'!D26</f>
        <v>1.8120393120392975E-2</v>
      </c>
      <c r="O15" s="699" t="s">
        <v>56</v>
      </c>
      <c r="P15" s="696"/>
      <c r="Q15" s="69"/>
      <c r="R15" s="69"/>
      <c r="S15" s="69"/>
      <c r="T15" s="69"/>
      <c r="U15" s="69"/>
      <c r="V15" s="70"/>
    </row>
    <row r="16" spans="1:22" ht="15.75" thickBot="1">
      <c r="A16" s="52" t="s">
        <v>34</v>
      </c>
      <c r="B16" s="67"/>
      <c r="C16" s="74">
        <f>N12</f>
        <v>0.12</v>
      </c>
      <c r="D16" s="68"/>
      <c r="E16" s="72">
        <f>C16*E15</f>
        <v>14236.810954638442</v>
      </c>
      <c r="F16" s="7"/>
      <c r="G16" s="52" t="s">
        <v>34</v>
      </c>
      <c r="H16" s="67"/>
      <c r="I16" s="74">
        <f>N12</f>
        <v>0.12</v>
      </c>
      <c r="J16" s="68"/>
      <c r="K16" s="72">
        <f>I16*K15</f>
        <v>19226.350835313773</v>
      </c>
      <c r="M16" s="73" t="s">
        <v>33</v>
      </c>
      <c r="N16" s="700">
        <v>6.3E-3</v>
      </c>
      <c r="O16" s="328" t="s">
        <v>283</v>
      </c>
      <c r="P16" s="328"/>
      <c r="Q16" s="328"/>
      <c r="R16" s="69"/>
      <c r="S16" s="69"/>
      <c r="T16" s="69"/>
      <c r="U16" s="69"/>
      <c r="V16" s="70"/>
    </row>
    <row r="17" spans="1:17">
      <c r="A17" s="75" t="str">
        <f>M16</f>
        <v>PFLMA Trust Contribution</v>
      </c>
      <c r="B17" s="76"/>
      <c r="C17" s="77">
        <f>N16</f>
        <v>6.3E-3</v>
      </c>
      <c r="D17" s="78"/>
      <c r="E17" s="79">
        <f>E8*C17</f>
        <v>449.32404453279202</v>
      </c>
      <c r="F17" s="31"/>
      <c r="G17" s="75" t="str">
        <f>M16</f>
        <v>PFLMA Trust Contribution</v>
      </c>
      <c r="H17" s="76"/>
      <c r="I17" s="77">
        <f>N16</f>
        <v>6.3E-3</v>
      </c>
      <c r="J17" s="78"/>
      <c r="K17" s="79">
        <f>K8*I17</f>
        <v>671.66045313136601</v>
      </c>
    </row>
    <row r="18" spans="1:17" ht="15.75" thickBot="1">
      <c r="A18" s="80" t="s">
        <v>35</v>
      </c>
      <c r="B18" s="81"/>
      <c r="C18" s="81"/>
      <c r="D18" s="82"/>
      <c r="E18" s="83">
        <f>E15+E16+E17</f>
        <v>133326.22628782492</v>
      </c>
      <c r="F18" s="31"/>
      <c r="G18" s="80" t="s">
        <v>35</v>
      </c>
      <c r="H18" s="81"/>
      <c r="I18" s="81"/>
      <c r="J18" s="82"/>
      <c r="K18" s="83">
        <f>K15+K16+K17</f>
        <v>180117.60158272658</v>
      </c>
    </row>
    <row r="19" spans="1:17" ht="15.75" thickTop="1">
      <c r="A19" s="84" t="s">
        <v>36</v>
      </c>
      <c r="B19" s="51"/>
      <c r="C19" s="51"/>
      <c r="D19" s="85"/>
      <c r="E19" s="86">
        <v>10</v>
      </c>
      <c r="F19" s="86"/>
      <c r="G19" s="84" t="s">
        <v>36</v>
      </c>
      <c r="H19" s="51"/>
      <c r="I19" s="51"/>
      <c r="J19" s="85"/>
      <c r="K19" s="86">
        <v>10</v>
      </c>
    </row>
    <row r="20" spans="1:17">
      <c r="A20" s="84" t="s">
        <v>37</v>
      </c>
      <c r="B20" s="41"/>
      <c r="C20" s="41"/>
      <c r="D20" s="87"/>
      <c r="E20" s="88">
        <f>E18/E19/365</f>
        <v>36.527733229541077</v>
      </c>
      <c r="F20" s="88"/>
      <c r="G20" s="84" t="s">
        <v>37</v>
      </c>
      <c r="H20" s="41"/>
      <c r="I20" s="41"/>
      <c r="J20" s="87"/>
      <c r="K20" s="88">
        <f>(K18/K19)/365</f>
        <v>49.347288104856595</v>
      </c>
    </row>
    <row r="21" spans="1:17" ht="12.75" customHeight="1" thickBot="1">
      <c r="A21" s="89" t="str">
        <f>M15</f>
        <v>CAF (Jan 2020)</v>
      </c>
      <c r="B21" s="90"/>
      <c r="C21" s="91">
        <f>N15</f>
        <v>1.8120393120392975E-2</v>
      </c>
      <c r="D21" s="92"/>
      <c r="E21" s="93">
        <f>E20*(1+C21)</f>
        <v>37.189630115457206</v>
      </c>
      <c r="F21" s="31"/>
      <c r="G21" s="89" t="str">
        <f>M15</f>
        <v>CAF (Jan 2020)</v>
      </c>
      <c r="H21" s="90"/>
      <c r="I21" s="91">
        <f>N15</f>
        <v>1.8120393120392975E-2</v>
      </c>
      <c r="J21" s="92"/>
      <c r="K21" s="93">
        <f>K20*(1+I21)</f>
        <v>50.241480364741889</v>
      </c>
    </row>
    <row r="22" spans="1:17" ht="15.75" thickBot="1">
      <c r="A22" s="94"/>
      <c r="B22" s="41"/>
      <c r="C22" s="41"/>
      <c r="D22" s="806"/>
      <c r="E22" s="803"/>
      <c r="F22" s="804"/>
      <c r="G22" s="94"/>
      <c r="H22" s="94"/>
      <c r="I22" s="94"/>
      <c r="J22" s="806"/>
      <c r="K22" s="805"/>
      <c r="L22" s="804"/>
    </row>
    <row r="23" spans="1:17" ht="15.75" thickBot="1">
      <c r="A23" s="842" t="s">
        <v>38</v>
      </c>
      <c r="B23" s="843"/>
      <c r="C23" s="843"/>
      <c r="D23" s="843"/>
      <c r="E23" s="844"/>
      <c r="G23" s="842" t="s">
        <v>39</v>
      </c>
      <c r="H23" s="843"/>
      <c r="I23" s="843"/>
      <c r="J23" s="843"/>
      <c r="K23" s="844"/>
    </row>
    <row r="24" spans="1:17" ht="15.75" customHeight="1" thickBot="1">
      <c r="A24" s="2"/>
      <c r="B24" s="3" t="s">
        <v>3</v>
      </c>
      <c r="C24" s="4" t="s">
        <v>4</v>
      </c>
      <c r="D24" s="5" t="s">
        <v>5</v>
      </c>
      <c r="E24" s="6" t="s">
        <v>6</v>
      </c>
      <c r="G24" s="2"/>
      <c r="H24" s="3" t="s">
        <v>3</v>
      </c>
      <c r="I24" s="97" t="s">
        <v>4</v>
      </c>
      <c r="J24" s="5" t="s">
        <v>5</v>
      </c>
      <c r="K24" s="7" t="s">
        <v>6</v>
      </c>
      <c r="M24" s="842" t="s">
        <v>40</v>
      </c>
      <c r="N24" s="843"/>
      <c r="O24" s="843"/>
      <c r="P24" s="843"/>
      <c r="Q24" s="844"/>
    </row>
    <row r="25" spans="1:17" ht="15.75" customHeight="1">
      <c r="A25" s="8" t="s">
        <v>9</v>
      </c>
      <c r="B25" s="9">
        <v>22</v>
      </c>
      <c r="C25" s="10">
        <f>N6</f>
        <v>60559.656682517481</v>
      </c>
      <c r="D25" s="11">
        <f>Q6</f>
        <v>0.45454545454545453</v>
      </c>
      <c r="E25" s="12">
        <f>C25*D25</f>
        <v>27527.11667387158</v>
      </c>
      <c r="G25" s="8" t="s">
        <v>9</v>
      </c>
      <c r="H25" s="13">
        <f>'[4]Model C DC Clin More Int'!$DF$14</f>
        <v>58.339622641509436</v>
      </c>
      <c r="I25" s="10">
        <f>N6</f>
        <v>60559.656682517481</v>
      </c>
      <c r="J25" s="11">
        <f>R6</f>
        <v>0.17141009055627424</v>
      </c>
      <c r="K25" s="12">
        <f>I25*J25</f>
        <v>10380.536236007199</v>
      </c>
      <c r="M25" s="2"/>
      <c r="N25" s="3" t="s">
        <v>3</v>
      </c>
      <c r="O25" s="98" t="s">
        <v>4</v>
      </c>
      <c r="P25" s="5" t="s">
        <v>5</v>
      </c>
      <c r="Q25" s="6" t="s">
        <v>6</v>
      </c>
    </row>
    <row r="26" spans="1:17">
      <c r="A26" s="15" t="s">
        <v>18</v>
      </c>
      <c r="B26" s="13">
        <f>'[4]Model B DC Clin Less Int'!$DG$19</f>
        <v>8.8047224119418797</v>
      </c>
      <c r="C26" s="10">
        <f t="shared" ref="C26:C28" si="2">N7</f>
        <v>55253.493359440552</v>
      </c>
      <c r="D26" s="11">
        <f t="shared" ref="D26:D28" si="3">Q7</f>
        <v>1.1357541478464965</v>
      </c>
      <c r="E26" s="12">
        <f>C26*D26</f>
        <v>62754.38426599346</v>
      </c>
      <c r="G26" s="15" t="s">
        <v>18</v>
      </c>
      <c r="H26" s="13">
        <f>'[4]Model C DC Clin More Int'!$DG$14</f>
        <v>30.373280943025545</v>
      </c>
      <c r="I26" s="10">
        <f t="shared" ref="I26:I28" si="4">N7</f>
        <v>55253.493359440552</v>
      </c>
      <c r="J26" s="11">
        <f t="shared" ref="J26:J28" si="5">R7</f>
        <v>0.32923673997412672</v>
      </c>
      <c r="K26" s="12">
        <f>I26*J26</f>
        <v>18191.480025844266</v>
      </c>
      <c r="M26" s="8" t="s">
        <v>9</v>
      </c>
      <c r="N26" s="9">
        <f>'[4]Model D Clin '!$DF$12</f>
        <v>17.290609137055839</v>
      </c>
      <c r="O26" s="10">
        <f>N6</f>
        <v>60559.656682517481</v>
      </c>
      <c r="P26" s="11">
        <f>S6</f>
        <v>0.57834862385321095</v>
      </c>
      <c r="Q26" s="12">
        <f>O26*P26</f>
        <v>35024.594103356896</v>
      </c>
    </row>
    <row r="27" spans="1:17">
      <c r="A27" s="20" t="s">
        <v>19</v>
      </c>
      <c r="B27" s="9">
        <v>8.35</v>
      </c>
      <c r="C27" s="10">
        <f t="shared" si="2"/>
        <v>38677.022212587406</v>
      </c>
      <c r="D27" s="11">
        <f t="shared" si="3"/>
        <v>1.1976047904191618</v>
      </c>
      <c r="E27" s="12">
        <f>C27*D27</f>
        <v>46319.787080943002</v>
      </c>
      <c r="G27" s="20" t="s">
        <v>19</v>
      </c>
      <c r="H27" s="13">
        <f>'[4]Model C DC Clin More Int'!$DH$14</f>
        <v>3.8286280336800402</v>
      </c>
      <c r="I27" s="10">
        <f t="shared" si="4"/>
        <v>38677.022212587406</v>
      </c>
      <c r="J27" s="11">
        <f t="shared" si="5"/>
        <v>2.6119016817593788</v>
      </c>
      <c r="K27" s="12">
        <f>I27*J27</f>
        <v>101020.5793625019</v>
      </c>
      <c r="M27" s="15" t="s">
        <v>18</v>
      </c>
      <c r="N27" s="13">
        <f>'[4]Model D Clin '!$DG$12</f>
        <v>4.9010791366906474</v>
      </c>
      <c r="O27" s="10">
        <f>N7</f>
        <v>55253.493359440552</v>
      </c>
      <c r="P27" s="11">
        <f>S7</f>
        <v>2.0403669724770643</v>
      </c>
      <c r="Q27" s="12">
        <f>O27*P27</f>
        <v>112737.40296458329</v>
      </c>
    </row>
    <row r="28" spans="1:17">
      <c r="A28" s="24" t="s">
        <v>20</v>
      </c>
      <c r="B28" s="25">
        <v>40</v>
      </c>
      <c r="C28" s="10">
        <f t="shared" si="2"/>
        <v>32954.066953846152</v>
      </c>
      <c r="D28" s="11">
        <f t="shared" si="3"/>
        <v>0.25</v>
      </c>
      <c r="E28" s="12">
        <f>C28*D28</f>
        <v>8238.5167384615379</v>
      </c>
      <c r="G28" s="24" t="s">
        <v>20</v>
      </c>
      <c r="H28" s="25">
        <f>'[4]Model C DC Clin More Int'!$DI$14</f>
        <v>60.390625</v>
      </c>
      <c r="I28" s="10">
        <f t="shared" si="4"/>
        <v>32954.066953846152</v>
      </c>
      <c r="J28" s="11">
        <f t="shared" si="5"/>
        <v>0.16558861578266496</v>
      </c>
      <c r="K28" s="12">
        <f>I28*J28</f>
        <v>5456.8183312966466</v>
      </c>
      <c r="M28" s="20" t="s">
        <v>19</v>
      </c>
      <c r="N28" s="9"/>
      <c r="O28" s="10"/>
      <c r="P28" s="11"/>
      <c r="Q28" s="12"/>
    </row>
    <row r="29" spans="1:17">
      <c r="A29" s="26" t="s">
        <v>21</v>
      </c>
      <c r="B29" s="27"/>
      <c r="C29" s="28"/>
      <c r="D29" s="29">
        <f>SUM(D25:D28)</f>
        <v>3.0379043928111127</v>
      </c>
      <c r="E29" s="30">
        <f>SUM(E25:E28)</f>
        <v>144839.80475926958</v>
      </c>
      <c r="G29" s="26" t="s">
        <v>21</v>
      </c>
      <c r="H29" s="27"/>
      <c r="I29" s="28"/>
      <c r="J29" s="29">
        <f>SUM(J25:J28)</f>
        <v>3.2781371280724447</v>
      </c>
      <c r="K29" s="30">
        <f>SUM(K25:K28)</f>
        <v>135049.41395565</v>
      </c>
      <c r="M29" s="24" t="s">
        <v>20</v>
      </c>
      <c r="N29" s="25">
        <f>'[4]Model D Clin '!$DI$12</f>
        <v>76.544943820224717</v>
      </c>
      <c r="O29" s="10">
        <f>N9</f>
        <v>32954.066953846152</v>
      </c>
      <c r="P29" s="11">
        <f>S9</f>
        <v>0.13064220183486239</v>
      </c>
      <c r="Q29" s="12">
        <f>O29*P29</f>
        <v>4305.1918662639373</v>
      </c>
    </row>
    <row r="30" spans="1:17" ht="15.75">
      <c r="A30" s="36"/>
      <c r="B30" s="37"/>
      <c r="C30" s="38"/>
      <c r="D30" s="39"/>
      <c r="E30" s="31"/>
      <c r="G30" s="36"/>
      <c r="H30" s="37"/>
      <c r="I30" s="38"/>
      <c r="J30" s="39"/>
      <c r="K30" s="31"/>
      <c r="M30" s="26" t="s">
        <v>21</v>
      </c>
      <c r="N30" s="27"/>
      <c r="O30" s="28"/>
      <c r="P30" s="29">
        <f>SUM(P26:P29)</f>
        <v>2.7493577981651378</v>
      </c>
      <c r="Q30" s="30">
        <f>SUM(Q26:Q29)</f>
        <v>152067.18893420414</v>
      </c>
    </row>
    <row r="31" spans="1:17" ht="15.75">
      <c r="A31" s="2" t="s">
        <v>23</v>
      </c>
      <c r="B31" s="41"/>
      <c r="C31" s="41"/>
      <c r="D31" s="5"/>
      <c r="E31" s="7"/>
      <c r="G31" s="2" t="s">
        <v>23</v>
      </c>
      <c r="H31" s="3"/>
      <c r="I31" s="41"/>
      <c r="J31" s="100"/>
      <c r="K31" s="7"/>
      <c r="M31" s="36"/>
      <c r="N31" s="37"/>
      <c r="O31" s="38"/>
      <c r="P31" s="99"/>
      <c r="Q31" s="31"/>
    </row>
    <row r="32" spans="1:17">
      <c r="A32" s="47" t="s">
        <v>25</v>
      </c>
      <c r="C32" s="48">
        <f>N11</f>
        <v>0.24</v>
      </c>
      <c r="D32" s="49"/>
      <c r="E32" s="50">
        <f>C32*E29</f>
        <v>34761.5531422247</v>
      </c>
      <c r="G32" s="47" t="s">
        <v>25</v>
      </c>
      <c r="H32" s="101"/>
      <c r="I32" s="102">
        <f>N11</f>
        <v>0.24</v>
      </c>
      <c r="J32" s="103"/>
      <c r="K32" s="50">
        <f>I32*K29</f>
        <v>32411.859349356</v>
      </c>
      <c r="M32" s="2" t="s">
        <v>23</v>
      </c>
      <c r="N32" s="3"/>
      <c r="O32" s="41"/>
      <c r="P32" s="100"/>
      <c r="Q32" s="7"/>
    </row>
    <row r="33" spans="1:18" ht="16.5" customHeight="1">
      <c r="A33" s="56" t="s">
        <v>27</v>
      </c>
      <c r="B33" s="57"/>
      <c r="C33" s="57"/>
      <c r="D33" s="58"/>
      <c r="E33" s="59">
        <f>E29+E32</f>
        <v>179601.35790149428</v>
      </c>
      <c r="G33" s="56" t="s">
        <v>27</v>
      </c>
      <c r="H33" s="105"/>
      <c r="I33" s="57"/>
      <c r="J33" s="106"/>
      <c r="K33" s="59">
        <f>K29+K32</f>
        <v>167461.27330500601</v>
      </c>
      <c r="M33" s="47" t="s">
        <v>25</v>
      </c>
      <c r="N33" s="104"/>
      <c r="O33" s="102">
        <f>N11</f>
        <v>0.24</v>
      </c>
      <c r="P33" s="103"/>
      <c r="Q33" s="50">
        <f>Q30*O33</f>
        <v>36496.125344208995</v>
      </c>
    </row>
    <row r="34" spans="1:18">
      <c r="A34" s="66"/>
      <c r="B34" s="67"/>
      <c r="C34" s="67"/>
      <c r="D34" s="68"/>
      <c r="E34" s="7"/>
      <c r="G34" s="66"/>
      <c r="H34" s="107"/>
      <c r="I34" s="67"/>
      <c r="J34" s="108"/>
      <c r="K34" s="7"/>
      <c r="M34" s="56" t="s">
        <v>27</v>
      </c>
      <c r="N34" s="105"/>
      <c r="O34" s="57"/>
      <c r="P34" s="106"/>
      <c r="Q34" s="59">
        <f>Q30+Q33</f>
        <v>188563.31427841313</v>
      </c>
    </row>
    <row r="35" spans="1:18">
      <c r="A35" s="52" t="str">
        <f>M13</f>
        <v>Non Staff Direct Expense (% of total Comp)</v>
      </c>
      <c r="B35" s="67"/>
      <c r="C35" s="71">
        <f>Q13</f>
        <v>0.21310000000000001</v>
      </c>
      <c r="D35" s="68"/>
      <c r="E35" s="72">
        <f>C35*E33</f>
        <v>38273.049368808432</v>
      </c>
      <c r="G35" s="52" t="str">
        <f>M13</f>
        <v>Non Staff Direct Expense (% of total Comp)</v>
      </c>
      <c r="H35" s="107"/>
      <c r="I35" s="71">
        <f>R13</f>
        <v>0.28775000000000001</v>
      </c>
      <c r="J35" s="108"/>
      <c r="K35" s="72">
        <f>K33*I35</f>
        <v>48186.981393515482</v>
      </c>
      <c r="M35" s="66"/>
      <c r="N35" s="67"/>
      <c r="O35" s="67"/>
      <c r="P35" s="108"/>
      <c r="Q35" s="7"/>
    </row>
    <row r="36" spans="1:18">
      <c r="A36" s="56" t="s">
        <v>32</v>
      </c>
      <c r="B36" s="57"/>
      <c r="C36" s="57"/>
      <c r="D36" s="58"/>
      <c r="E36" s="59">
        <f>E33+E35</f>
        <v>217874.40727030271</v>
      </c>
      <c r="G36" s="56" t="s">
        <v>32</v>
      </c>
      <c r="H36" s="105"/>
      <c r="I36" s="57"/>
      <c r="J36" s="106"/>
      <c r="K36" s="59">
        <f>K33+K35</f>
        <v>215648.25469852149</v>
      </c>
      <c r="M36" s="52" t="str">
        <f>M13</f>
        <v>Non Staff Direct Expense (% of total Comp)</v>
      </c>
      <c r="N36" s="67"/>
      <c r="O36" s="71">
        <f>S13</f>
        <v>0.20979999999999999</v>
      </c>
      <c r="P36" s="108"/>
      <c r="Q36" s="72">
        <f>O36*Q34</f>
        <v>39560.583335611074</v>
      </c>
    </row>
    <row r="37" spans="1:18">
      <c r="A37" s="52" t="s">
        <v>34</v>
      </c>
      <c r="B37" s="67"/>
      <c r="C37" s="74">
        <f>N12</f>
        <v>0.12</v>
      </c>
      <c r="D37" s="68"/>
      <c r="E37" s="72">
        <f>C37*E36</f>
        <v>26144.928872436325</v>
      </c>
      <c r="G37" s="52" t="s">
        <v>34</v>
      </c>
      <c r="H37" s="107"/>
      <c r="I37" s="71">
        <f>N12</f>
        <v>0.12</v>
      </c>
      <c r="J37" s="108"/>
      <c r="K37" s="72">
        <f>I37*K36</f>
        <v>25877.790563822578</v>
      </c>
      <c r="M37" s="56" t="s">
        <v>32</v>
      </c>
      <c r="N37" s="57"/>
      <c r="O37" s="57"/>
      <c r="P37" s="106"/>
      <c r="Q37" s="59">
        <f>Q34+Q36</f>
        <v>228123.8976140242</v>
      </c>
    </row>
    <row r="38" spans="1:18">
      <c r="A38" s="75" t="str">
        <f>A17</f>
        <v>PFLMA Trust Contribution</v>
      </c>
      <c r="B38" s="76"/>
      <c r="C38" s="77">
        <f>C17</f>
        <v>6.3E-3</v>
      </c>
      <c r="D38" s="78"/>
      <c r="E38" s="79">
        <f>E29*C38</f>
        <v>912.49076998339831</v>
      </c>
      <c r="G38" s="75" t="str">
        <f>G17</f>
        <v>PFLMA Trust Contribution</v>
      </c>
      <c r="H38" s="109"/>
      <c r="I38" s="77">
        <f>I17</f>
        <v>6.3E-3</v>
      </c>
      <c r="J38" s="110"/>
      <c r="K38" s="79">
        <f>K29*I38</f>
        <v>850.81130792059503</v>
      </c>
      <c r="M38" s="52" t="s">
        <v>34</v>
      </c>
      <c r="N38" s="67"/>
      <c r="O38" s="71">
        <f>N12</f>
        <v>0.12</v>
      </c>
      <c r="P38" s="108"/>
      <c r="Q38" s="72">
        <f>O38*Q37</f>
        <v>27374.867713682903</v>
      </c>
    </row>
    <row r="39" spans="1:18" ht="15.75" thickBot="1">
      <c r="A39" s="80" t="s">
        <v>35</v>
      </c>
      <c r="B39" s="81"/>
      <c r="C39" s="81"/>
      <c r="D39" s="82"/>
      <c r="E39" s="83">
        <f>E36+E37+E38</f>
        <v>244931.8269127224</v>
      </c>
      <c r="G39" s="80" t="s">
        <v>35</v>
      </c>
      <c r="H39" s="111"/>
      <c r="I39" s="81"/>
      <c r="J39" s="112"/>
      <c r="K39" s="83">
        <f>K36+K37+K38</f>
        <v>242376.85657026467</v>
      </c>
      <c r="M39" s="75" t="str">
        <f>G17</f>
        <v>PFLMA Trust Contribution</v>
      </c>
      <c r="N39" s="76"/>
      <c r="O39" s="77">
        <f>I17</f>
        <v>6.3E-3</v>
      </c>
      <c r="P39" s="110"/>
      <c r="Q39" s="79">
        <f>Q30*O39</f>
        <v>958.02329028548604</v>
      </c>
    </row>
    <row r="40" spans="1:18" ht="16.5" thickTop="1" thickBot="1">
      <c r="A40" s="84" t="s">
        <v>36</v>
      </c>
      <c r="B40" s="51"/>
      <c r="C40" s="51"/>
      <c r="D40" s="85"/>
      <c r="E40" s="86">
        <v>10</v>
      </c>
      <c r="G40" s="84" t="s">
        <v>36</v>
      </c>
      <c r="H40" s="101"/>
      <c r="I40" s="51"/>
      <c r="J40" s="113"/>
      <c r="K40" s="86">
        <v>10</v>
      </c>
      <c r="M40" s="80" t="s">
        <v>35</v>
      </c>
      <c r="N40" s="81"/>
      <c r="O40" s="81"/>
      <c r="P40" s="112"/>
      <c r="Q40" s="83">
        <f>Q37+Q38+Q39</f>
        <v>256456.7886179926</v>
      </c>
    </row>
    <row r="41" spans="1:18" ht="15.75" thickTop="1">
      <c r="A41" s="84" t="s">
        <v>37</v>
      </c>
      <c r="B41" s="41"/>
      <c r="C41" s="41"/>
      <c r="D41" s="87"/>
      <c r="E41" s="88">
        <f>(E39/E40)/365</f>
        <v>67.104610113074628</v>
      </c>
      <c r="G41" s="84" t="s">
        <v>37</v>
      </c>
      <c r="H41" s="3"/>
      <c r="I41" s="41"/>
      <c r="J41" s="114"/>
      <c r="K41" s="88">
        <f>(K39/K40)/365</f>
        <v>66.404618238428682</v>
      </c>
      <c r="M41" s="84" t="s">
        <v>36</v>
      </c>
      <c r="N41" s="51"/>
      <c r="O41" s="51"/>
      <c r="P41" s="113"/>
      <c r="Q41" s="86">
        <v>10</v>
      </c>
    </row>
    <row r="42" spans="1:18" ht="15.75" thickBot="1">
      <c r="A42" s="89" t="str">
        <f>A21</f>
        <v>CAF (Jan 2020)</v>
      </c>
      <c r="B42" s="90"/>
      <c r="C42" s="91">
        <f>C21</f>
        <v>1.8120393120392975E-2</v>
      </c>
      <c r="D42" s="92"/>
      <c r="E42" s="93">
        <f>E41*(1+C42)</f>
        <v>68.320572028514249</v>
      </c>
      <c r="G42" s="89" t="str">
        <f>G21</f>
        <v>CAF (Jan 2020)</v>
      </c>
      <c r="H42" s="116"/>
      <c r="I42" s="117">
        <f>I21</f>
        <v>1.8120393120392975E-2</v>
      </c>
      <c r="J42" s="118"/>
      <c r="K42" s="119">
        <f>K41*(1+I42)</f>
        <v>67.607896025918635</v>
      </c>
      <c r="M42" s="84" t="s">
        <v>37</v>
      </c>
      <c r="N42" s="41"/>
      <c r="O42" s="41"/>
      <c r="P42" s="114"/>
      <c r="Q42" s="88">
        <f>(Q40/Q41)/365</f>
        <v>70.262133867943177</v>
      </c>
      <c r="R42" s="115"/>
    </row>
    <row r="43" spans="1:18" ht="15.75" thickBot="1">
      <c r="M43" s="89" t="str">
        <f>G21</f>
        <v>CAF (Jan 2020)</v>
      </c>
      <c r="N43" s="90"/>
      <c r="O43" s="117">
        <f>I21</f>
        <v>1.8120393120392975E-2</v>
      </c>
      <c r="P43" s="118"/>
      <c r="Q43" s="119">
        <f>Q42*(O43+1)</f>
        <v>71.535311355107993</v>
      </c>
      <c r="R43" s="115"/>
    </row>
    <row r="44" spans="1:18" ht="15.75" thickBot="1">
      <c r="A44" s="842" t="s">
        <v>41</v>
      </c>
      <c r="B44" s="853"/>
      <c r="C44" s="853"/>
      <c r="D44" s="853"/>
      <c r="E44" s="854"/>
      <c r="G44" s="842" t="s">
        <v>42</v>
      </c>
      <c r="H44" s="843"/>
      <c r="I44" s="843"/>
      <c r="J44" s="843"/>
      <c r="K44" s="844"/>
      <c r="R44" s="115"/>
    </row>
    <row r="45" spans="1:18" ht="15" customHeight="1" thickBot="1">
      <c r="A45" s="2"/>
      <c r="B45" s="3" t="s">
        <v>3</v>
      </c>
      <c r="C45" s="4" t="s">
        <v>4</v>
      </c>
      <c r="D45" s="5" t="s">
        <v>5</v>
      </c>
      <c r="E45" s="6" t="s">
        <v>6</v>
      </c>
      <c r="G45" s="2"/>
      <c r="H45" s="3" t="s">
        <v>3</v>
      </c>
      <c r="I45" s="4" t="s">
        <v>4</v>
      </c>
      <c r="J45" s="5" t="s">
        <v>5</v>
      </c>
      <c r="K45" s="6" t="s">
        <v>6</v>
      </c>
      <c r="M45" s="837" t="s">
        <v>43</v>
      </c>
      <c r="N45" s="838"/>
      <c r="O45" s="838"/>
      <c r="P45" s="838"/>
      <c r="Q45" s="839"/>
    </row>
    <row r="46" spans="1:18" ht="15.75" customHeight="1">
      <c r="A46" s="8" t="s">
        <v>9</v>
      </c>
      <c r="B46" s="9">
        <f>'[4]Model E DC Clin High Int.'!$DF$11</f>
        <v>14.473684210526315</v>
      </c>
      <c r="C46" s="10">
        <f>N6</f>
        <v>60559.656682517481</v>
      </c>
      <c r="D46" s="11">
        <f>T6</f>
        <v>0.69090909090909092</v>
      </c>
      <c r="E46" s="12">
        <f>C46*D46</f>
        <v>41841.217344284807</v>
      </c>
      <c r="G46" s="8" t="s">
        <v>9</v>
      </c>
      <c r="H46" s="9">
        <f>'[4]Model F DC Clin Highest Int.'!$DF$9</f>
        <v>18.454753009547535</v>
      </c>
      <c r="I46" s="10">
        <f>N6</f>
        <v>60559.656682517481</v>
      </c>
      <c r="J46" s="11">
        <f>U6</f>
        <v>0.54186582691334406</v>
      </c>
      <c r="K46" s="12">
        <f>I46*J46</f>
        <v>32815.20844586056</v>
      </c>
      <c r="M46" s="52"/>
      <c r="N46" s="3" t="s">
        <v>3</v>
      </c>
      <c r="O46" s="4" t="s">
        <v>4</v>
      </c>
      <c r="P46" s="5" t="s">
        <v>5</v>
      </c>
      <c r="Q46" s="6" t="s">
        <v>6</v>
      </c>
    </row>
    <row r="47" spans="1:18">
      <c r="A47" s="15" t="s">
        <v>18</v>
      </c>
      <c r="B47" s="13">
        <f>'[4]Model E DC Clin High Int.'!$DG$11</f>
        <v>5.1717902350813745</v>
      </c>
      <c r="C47" s="10">
        <f t="shared" ref="C47:C49" si="6">N7</f>
        <v>55253.493359440552</v>
      </c>
      <c r="D47" s="11">
        <f t="shared" ref="D47:D49" si="7">T7</f>
        <v>1.9335664335664335</v>
      </c>
      <c r="E47" s="12">
        <f>C47*D47</f>
        <v>106836.30009710009</v>
      </c>
      <c r="G47" s="15" t="s">
        <v>18</v>
      </c>
      <c r="H47" s="13">
        <f>'[4]Model F DC Clin Highest Int.'!$DG$9</f>
        <v>5.4194157892330903</v>
      </c>
      <c r="I47" s="10">
        <f t="shared" ref="I47:I49" si="8">N7</f>
        <v>55253.493359440552</v>
      </c>
      <c r="J47" s="11">
        <f t="shared" ref="J47:J49" si="9">U7</f>
        <v>1.8452173424056681</v>
      </c>
      <c r="K47" s="12">
        <f>I47*J47</f>
        <v>101954.70417533613</v>
      </c>
      <c r="M47" s="8" t="s">
        <v>9</v>
      </c>
      <c r="N47" s="120">
        <f>'[4]Model G DC CL Higher Int'!$DF$20</f>
        <v>17.661768368617683</v>
      </c>
      <c r="O47" s="10">
        <f>N6</f>
        <v>60559.656682517481</v>
      </c>
      <c r="P47" s="11">
        <f>V6</f>
        <v>0.56619472021660655</v>
      </c>
      <c r="Q47" s="12">
        <f>O47*P47</f>
        <v>34288.557871771736</v>
      </c>
    </row>
    <row r="48" spans="1:18">
      <c r="A48" s="20" t="s">
        <v>19</v>
      </c>
      <c r="B48" s="9">
        <f>'[4]Model E DC Clin High Int.'!$DH$11</f>
        <v>6.5596330275229358</v>
      </c>
      <c r="C48" s="10">
        <f t="shared" si="6"/>
        <v>38677.022212587406</v>
      </c>
      <c r="D48" s="11">
        <f t="shared" si="7"/>
        <v>1.5244755244755246</v>
      </c>
      <c r="E48" s="12">
        <f>C48*D48</f>
        <v>58962.1737226857</v>
      </c>
      <c r="G48" s="20" t="s">
        <v>19</v>
      </c>
      <c r="H48" s="9">
        <f>'[4]Model F DC Clin Highest Int.'!$DH$9</f>
        <v>2.0470818464372051</v>
      </c>
      <c r="I48" s="10">
        <f t="shared" si="8"/>
        <v>38677.022212587406</v>
      </c>
      <c r="J48" s="11">
        <f t="shared" si="9"/>
        <v>4.8850025305066636</v>
      </c>
      <c r="K48" s="12">
        <f>I48*J48</f>
        <v>188937.35138095191</v>
      </c>
      <c r="M48" s="15" t="s">
        <v>18</v>
      </c>
      <c r="N48" s="120">
        <f>'[4]Model G DC CL Higher Int'!$DG$20</f>
        <v>7.8338488731771978</v>
      </c>
      <c r="O48" s="10">
        <f t="shared" ref="O48:O50" si="10">N7</f>
        <v>55253.493359440552</v>
      </c>
      <c r="P48" s="11">
        <f t="shared" ref="P48:P50" si="11">V7</f>
        <v>1.2765117328519857</v>
      </c>
      <c r="Q48" s="12">
        <f>O48*P48</f>
        <v>70531.732554385148</v>
      </c>
    </row>
    <row r="49" spans="1:17">
      <c r="A49" s="24" t="s">
        <v>20</v>
      </c>
      <c r="B49" s="25">
        <f>'[4]Model E DC Clin High Int.'!$DI$11</f>
        <v>48.80546075085325</v>
      </c>
      <c r="C49" s="10">
        <f t="shared" si="6"/>
        <v>32954.066953846152</v>
      </c>
      <c r="D49" s="11">
        <f t="shared" si="7"/>
        <v>0.20489510489510487</v>
      </c>
      <c r="E49" s="12">
        <f>C49*D49</f>
        <v>6752.1270052286163</v>
      </c>
      <c r="G49" s="24" t="s">
        <v>20</v>
      </c>
      <c r="H49" s="25">
        <f>'[4]Model F DC Clin Highest Int.'!$DI$9</f>
        <v>29.889906714849992</v>
      </c>
      <c r="I49" s="10">
        <f t="shared" si="8"/>
        <v>32954.066953846152</v>
      </c>
      <c r="J49" s="11">
        <f t="shared" si="9"/>
        <v>0.33456109767755715</v>
      </c>
      <c r="K49" s="12">
        <f>I49*J49</f>
        <v>11025.148813018481</v>
      </c>
      <c r="M49" s="20" t="s">
        <v>19</v>
      </c>
      <c r="N49" s="121">
        <f>'[4]Model G DC CL Higher Int'!$DH$20</f>
        <v>3.0356164383561643</v>
      </c>
      <c r="O49" s="10">
        <f t="shared" si="10"/>
        <v>38677.022212587406</v>
      </c>
      <c r="P49" s="11">
        <f t="shared" si="11"/>
        <v>3.2942238267148016</v>
      </c>
      <c r="Q49" s="12">
        <f>O49*P49</f>
        <v>127410.76811908306</v>
      </c>
    </row>
    <row r="50" spans="1:17">
      <c r="A50" s="26" t="s">
        <v>21</v>
      </c>
      <c r="B50" s="27"/>
      <c r="C50" s="28"/>
      <c r="D50" s="29">
        <f>SUM(D46:D49)</f>
        <v>4.3538461538461544</v>
      </c>
      <c r="E50" s="30">
        <f>SUM(E46:E49)</f>
        <v>214391.81816929922</v>
      </c>
      <c r="G50" s="26" t="s">
        <v>21</v>
      </c>
      <c r="H50" s="27"/>
      <c r="I50" s="28"/>
      <c r="J50" s="29">
        <f>SUM(J46:J49)</f>
        <v>7.6066467975032328</v>
      </c>
      <c r="K50" s="30">
        <f>SUM(K46:K49)</f>
        <v>334732.41281516704</v>
      </c>
      <c r="M50" s="24" t="s">
        <v>20</v>
      </c>
      <c r="N50" s="121">
        <f>'[4]Model G DC CL Higher Int'!$DI$20</f>
        <v>21.117331745086361</v>
      </c>
      <c r="O50" s="10">
        <f t="shared" si="10"/>
        <v>32954.066953846152</v>
      </c>
      <c r="P50" s="11">
        <f t="shared" si="11"/>
        <v>0.47354467509025272</v>
      </c>
      <c r="Q50" s="12">
        <f>O50*P50</f>
        <v>15605.22292856151</v>
      </c>
    </row>
    <row r="51" spans="1:17" ht="15.75">
      <c r="A51" s="36"/>
      <c r="B51" s="38"/>
      <c r="C51" s="38"/>
      <c r="D51" s="39"/>
      <c r="E51" s="31"/>
      <c r="G51" s="36"/>
      <c r="H51" s="38"/>
      <c r="I51" s="38"/>
      <c r="J51" s="39"/>
      <c r="K51" s="31"/>
      <c r="M51" s="26" t="s">
        <v>21</v>
      </c>
      <c r="N51" s="122"/>
      <c r="O51" s="28"/>
      <c r="P51" s="29">
        <f>SUM(P47:P50)</f>
        <v>5.6104749548736468</v>
      </c>
      <c r="Q51" s="30">
        <f>SUM(Q47:Q50)</f>
        <v>247836.28147380147</v>
      </c>
    </row>
    <row r="52" spans="1:17" ht="15.75">
      <c r="A52" s="2" t="s">
        <v>23</v>
      </c>
      <c r="B52" s="41"/>
      <c r="C52" s="41"/>
      <c r="D52" s="5"/>
      <c r="E52" s="7"/>
      <c r="G52" s="2" t="s">
        <v>23</v>
      </c>
      <c r="H52" s="41"/>
      <c r="I52" s="41"/>
      <c r="J52" s="5"/>
      <c r="K52" s="7"/>
      <c r="M52" s="36"/>
      <c r="N52" s="123"/>
      <c r="O52" s="38"/>
      <c r="P52" s="39"/>
      <c r="Q52" s="31"/>
    </row>
    <row r="53" spans="1:17">
      <c r="A53" s="47" t="s">
        <v>25</v>
      </c>
      <c r="C53" s="48">
        <f>N11</f>
        <v>0.24</v>
      </c>
      <c r="D53" s="49"/>
      <c r="E53" s="50">
        <f>C53*E50</f>
        <v>51454.036360631813</v>
      </c>
      <c r="G53" s="47" t="s">
        <v>25</v>
      </c>
      <c r="I53" s="48">
        <f>N11</f>
        <v>0.24</v>
      </c>
      <c r="J53" s="49"/>
      <c r="K53" s="50">
        <f>K50*I53</f>
        <v>80335.779075640094</v>
      </c>
      <c r="M53" s="2" t="s">
        <v>23</v>
      </c>
      <c r="N53" s="123"/>
      <c r="O53" s="41"/>
      <c r="P53" s="5"/>
      <c r="Q53" s="7"/>
    </row>
    <row r="54" spans="1:17">
      <c r="A54" s="56" t="s">
        <v>27</v>
      </c>
      <c r="B54" s="57"/>
      <c r="C54" s="57"/>
      <c r="D54" s="58"/>
      <c r="E54" s="59">
        <f>E50+E53</f>
        <v>265845.85452993104</v>
      </c>
      <c r="G54" s="56" t="s">
        <v>27</v>
      </c>
      <c r="H54" s="57"/>
      <c r="I54" s="57"/>
      <c r="J54" s="58"/>
      <c r="K54" s="59">
        <f>K50+K53</f>
        <v>415068.19189080712</v>
      </c>
      <c r="M54" s="47" t="s">
        <v>25</v>
      </c>
      <c r="N54" s="124"/>
      <c r="O54" s="48">
        <f>N11</f>
        <v>0.24</v>
      </c>
      <c r="P54" s="49"/>
      <c r="Q54" s="50">
        <f>O54*Q51</f>
        <v>59480.707553712353</v>
      </c>
    </row>
    <row r="55" spans="1:17">
      <c r="A55" s="66"/>
      <c r="B55" s="67"/>
      <c r="C55" s="67"/>
      <c r="D55" s="108"/>
      <c r="E55" s="7"/>
      <c r="G55" s="66"/>
      <c r="H55" s="67"/>
      <c r="I55" s="67"/>
      <c r="J55" s="108"/>
      <c r="K55" s="7"/>
      <c r="M55" s="56" t="s">
        <v>27</v>
      </c>
      <c r="N55" s="28"/>
      <c r="O55" s="57"/>
      <c r="P55" s="58"/>
      <c r="Q55" s="59">
        <f>SUM(Q51+Q54)</f>
        <v>307316.98902751383</v>
      </c>
    </row>
    <row r="56" spans="1:17">
      <c r="A56" s="52" t="str">
        <f>M13</f>
        <v>Non Staff Direct Expense (% of total Comp)</v>
      </c>
      <c r="B56" s="67"/>
      <c r="C56" s="48">
        <v>0.26140000000000002</v>
      </c>
      <c r="D56" s="108"/>
      <c r="E56" s="72">
        <f>E54*C56</f>
        <v>69492.106374123978</v>
      </c>
      <c r="G56" s="52" t="str">
        <f>M13</f>
        <v>Non Staff Direct Expense (% of total Comp)</v>
      </c>
      <c r="H56" s="67"/>
      <c r="I56" s="48">
        <f>U13</f>
        <v>0.16789999999999999</v>
      </c>
      <c r="J56" s="108"/>
      <c r="K56" s="72">
        <f>K54*I56</f>
        <v>69689.949418466509</v>
      </c>
      <c r="M56" s="66"/>
      <c r="N56" s="38"/>
      <c r="O56" s="67"/>
      <c r="P56" s="108"/>
      <c r="Q56" s="7"/>
    </row>
    <row r="57" spans="1:17">
      <c r="A57" s="56" t="s">
        <v>32</v>
      </c>
      <c r="B57" s="57"/>
      <c r="C57" s="57"/>
      <c r="D57" s="106"/>
      <c r="E57" s="59">
        <f>E56+E54</f>
        <v>335337.96090405504</v>
      </c>
      <c r="G57" s="56" t="s">
        <v>32</v>
      </c>
      <c r="H57" s="57"/>
      <c r="I57" s="57"/>
      <c r="J57" s="106"/>
      <c r="K57" s="59">
        <f>K54+K56</f>
        <v>484758.14130927366</v>
      </c>
      <c r="M57" s="52" t="str">
        <f>M13</f>
        <v>Non Staff Direct Expense (% of total Comp)</v>
      </c>
      <c r="N57" s="41"/>
      <c r="O57" s="48">
        <f>V13</f>
        <v>0.31219999999999998</v>
      </c>
      <c r="P57" s="108"/>
      <c r="Q57" s="72">
        <f>Q55*O57</f>
        <v>95944.363974389809</v>
      </c>
    </row>
    <row r="58" spans="1:17">
      <c r="A58" s="52" t="s">
        <v>34</v>
      </c>
      <c r="B58" s="67"/>
      <c r="C58" s="48">
        <f>N12</f>
        <v>0.12</v>
      </c>
      <c r="D58" s="108"/>
      <c r="E58" s="72">
        <f>E57*C58</f>
        <v>40240.555308486604</v>
      </c>
      <c r="G58" s="52" t="s">
        <v>34</v>
      </c>
      <c r="H58" s="67"/>
      <c r="I58" s="48">
        <f>N12</f>
        <v>0.12</v>
      </c>
      <c r="J58" s="108"/>
      <c r="K58" s="72">
        <f>I58*K57</f>
        <v>58170.976957112834</v>
      </c>
      <c r="M58" s="56" t="s">
        <v>32</v>
      </c>
      <c r="N58" s="125"/>
      <c r="O58" s="57"/>
      <c r="P58" s="106"/>
      <c r="Q58" s="59">
        <f>Q55+Q57</f>
        <v>403261.35300190363</v>
      </c>
    </row>
    <row r="59" spans="1:17">
      <c r="A59" s="75" t="str">
        <f>A38</f>
        <v>PFLMA Trust Contribution</v>
      </c>
      <c r="B59" s="76"/>
      <c r="C59" s="77">
        <f>C38</f>
        <v>6.3E-3</v>
      </c>
      <c r="D59" s="110"/>
      <c r="E59" s="79">
        <f>E50*C59</f>
        <v>1350.6684544665852</v>
      </c>
      <c r="G59" s="75" t="str">
        <f>G38</f>
        <v>PFLMA Trust Contribution</v>
      </c>
      <c r="H59" s="76"/>
      <c r="I59" s="77">
        <f>I38</f>
        <v>6.3E-3</v>
      </c>
      <c r="J59" s="110"/>
      <c r="K59" s="79">
        <f>K50*I59</f>
        <v>2108.8142007355523</v>
      </c>
      <c r="M59" s="52" t="s">
        <v>34</v>
      </c>
      <c r="N59" s="67"/>
      <c r="O59" s="48">
        <f>N12</f>
        <v>0.12</v>
      </c>
      <c r="P59" s="108"/>
      <c r="Q59" s="72">
        <f>O59*Q58</f>
        <v>48391.362360228435</v>
      </c>
    </row>
    <row r="60" spans="1:17" ht="15.75" thickBot="1">
      <c r="A60" s="80" t="s">
        <v>35</v>
      </c>
      <c r="B60" s="81"/>
      <c r="C60" s="81"/>
      <c r="D60" s="112"/>
      <c r="E60" s="83">
        <f>E57+E58+E59</f>
        <v>376929.18466700823</v>
      </c>
      <c r="G60" s="80" t="s">
        <v>35</v>
      </c>
      <c r="H60" s="81"/>
      <c r="I60" s="81"/>
      <c r="J60" s="112"/>
      <c r="K60" s="83">
        <f>K57+K58+K59</f>
        <v>545037.93246712198</v>
      </c>
      <c r="M60" s="126" t="str">
        <f>M39</f>
        <v>PFLMA Trust Contribution</v>
      </c>
      <c r="N60" s="67"/>
      <c r="O60" s="77">
        <f>O39</f>
        <v>6.3E-3</v>
      </c>
      <c r="P60" s="110"/>
      <c r="Q60" s="79">
        <f>Q51*O60</f>
        <v>1561.3685732849492</v>
      </c>
    </row>
    <row r="61" spans="1:17" ht="16.5" thickTop="1" thickBot="1">
      <c r="A61" s="84" t="s">
        <v>36</v>
      </c>
      <c r="B61" s="51"/>
      <c r="C61" s="51"/>
      <c r="D61" s="113"/>
      <c r="E61" s="86">
        <v>10</v>
      </c>
      <c r="G61" s="84" t="s">
        <v>36</v>
      </c>
      <c r="H61" s="51"/>
      <c r="I61" s="51"/>
      <c r="J61" s="113"/>
      <c r="K61" s="86">
        <v>10</v>
      </c>
      <c r="M61" s="80" t="s">
        <v>35</v>
      </c>
      <c r="N61" s="127"/>
      <c r="O61" s="81"/>
      <c r="P61" s="112"/>
      <c r="Q61" s="83">
        <f>Q58+Q59+Q60</f>
        <v>453214.083935417</v>
      </c>
    </row>
    <row r="62" spans="1:17" ht="15.75" thickTop="1">
      <c r="A62" s="84" t="s">
        <v>37</v>
      </c>
      <c r="B62" s="41"/>
      <c r="C62" s="41"/>
      <c r="D62" s="114"/>
      <c r="E62" s="88">
        <f>(E60/E61)/365</f>
        <v>103.26826977178308</v>
      </c>
      <c r="G62" s="84" t="s">
        <v>37</v>
      </c>
      <c r="H62" s="41"/>
      <c r="I62" s="41"/>
      <c r="J62" s="114"/>
      <c r="K62" s="88">
        <f>K60/K61/365</f>
        <v>149.32546094989644</v>
      </c>
      <c r="M62" s="84" t="s">
        <v>36</v>
      </c>
      <c r="N62" s="67"/>
      <c r="O62" s="51"/>
      <c r="P62" s="113"/>
      <c r="Q62" s="86">
        <v>10</v>
      </c>
    </row>
    <row r="63" spans="1:17" ht="15.75" thickBot="1">
      <c r="A63" s="89" t="str">
        <f>A42</f>
        <v>CAF (Jan 2020)</v>
      </c>
      <c r="B63" s="90"/>
      <c r="C63" s="128">
        <f>C42</f>
        <v>1.8120393120392975E-2</v>
      </c>
      <c r="D63" s="118"/>
      <c r="E63" s="93">
        <f>E62*(1+C63)</f>
        <v>105.13953141691059</v>
      </c>
      <c r="G63" s="89" t="str">
        <f>G42</f>
        <v>CAF (Jan 2020)</v>
      </c>
      <c r="H63" s="90"/>
      <c r="I63" s="128">
        <f>I42</f>
        <v>1.8120393120392975E-2</v>
      </c>
      <c r="J63" s="118"/>
      <c r="K63" s="93">
        <f>K62*(1+I63)</f>
        <v>152.03129700519247</v>
      </c>
      <c r="M63" s="84" t="s">
        <v>37</v>
      </c>
      <c r="N63" s="67"/>
      <c r="O63" s="41"/>
      <c r="P63" s="114"/>
      <c r="Q63" s="88">
        <f>Q61/Q62/365</f>
        <v>124.16824217408686</v>
      </c>
    </row>
    <row r="64" spans="1:17" ht="15.75" thickBot="1">
      <c r="M64" s="89" t="str">
        <f>M43</f>
        <v>CAF (Jan 2020)</v>
      </c>
      <c r="N64" s="90"/>
      <c r="O64" s="128">
        <f>O43</f>
        <v>1.8120393120392975E-2</v>
      </c>
      <c r="P64" s="118"/>
      <c r="Q64" s="93">
        <f>Q63*(1+O64)</f>
        <v>126.41821953534948</v>
      </c>
    </row>
    <row r="65" spans="4:21" ht="13.5" customHeight="1"/>
    <row r="69" spans="4:21">
      <c r="E69" s="129"/>
    </row>
    <row r="73" spans="4:21">
      <c r="G73" s="51"/>
      <c r="H73" s="130"/>
      <c r="I73" s="131"/>
      <c r="J73" s="132"/>
      <c r="K73" s="67"/>
      <c r="L73" s="133"/>
    </row>
    <row r="74" spans="4:21">
      <c r="G74" s="94"/>
      <c r="H74" s="94"/>
      <c r="I74" s="94"/>
      <c r="J74" s="134"/>
      <c r="K74" s="41"/>
      <c r="L74" s="135"/>
      <c r="P74" s="51"/>
      <c r="Q74" s="130"/>
      <c r="R74" s="131"/>
      <c r="S74" s="132"/>
      <c r="T74" s="67"/>
      <c r="U74" s="67"/>
    </row>
    <row r="75" spans="4:21">
      <c r="D75" s="136"/>
      <c r="E75" s="137"/>
      <c r="G75" s="94"/>
      <c r="H75" s="94"/>
      <c r="I75" s="94"/>
      <c r="J75" s="138"/>
      <c r="K75" s="41"/>
      <c r="L75" s="38"/>
      <c r="P75" s="94"/>
      <c r="Q75" s="94"/>
      <c r="R75" s="94"/>
      <c r="S75" s="134"/>
      <c r="T75" s="41"/>
      <c r="U75" s="41"/>
    </row>
    <row r="76" spans="4:21">
      <c r="G76" s="139"/>
      <c r="H76" s="139"/>
      <c r="I76" s="139"/>
      <c r="J76" s="140"/>
      <c r="K76" s="123"/>
      <c r="L76" s="139"/>
      <c r="P76" s="94"/>
      <c r="Q76" s="94"/>
      <c r="R76" s="94"/>
      <c r="S76" s="138"/>
      <c r="T76" s="41"/>
      <c r="U76" s="41"/>
    </row>
    <row r="77" spans="4:21">
      <c r="G77" s="67"/>
      <c r="H77" s="67"/>
      <c r="I77" s="67"/>
      <c r="J77" s="140"/>
      <c r="K77" s="123"/>
      <c r="L77" s="139"/>
      <c r="P77" s="139"/>
      <c r="Q77" s="139"/>
      <c r="R77" s="139"/>
      <c r="S77" s="140"/>
      <c r="T77" s="123"/>
      <c r="U77" s="141"/>
    </row>
    <row r="78" spans="4:21">
      <c r="G78" s="142"/>
      <c r="H78" s="142"/>
      <c r="I78" s="142"/>
      <c r="J78" s="140"/>
      <c r="K78" s="123"/>
      <c r="L78" s="139"/>
      <c r="P78" s="67"/>
      <c r="Q78" s="67"/>
      <c r="R78" s="67"/>
      <c r="S78" s="140"/>
      <c r="T78" s="123"/>
      <c r="U78" s="141"/>
    </row>
    <row r="79" spans="4:21">
      <c r="G79" s="143"/>
      <c r="H79" s="143"/>
      <c r="I79" s="143"/>
      <c r="J79" s="140"/>
      <c r="K79" s="124"/>
      <c r="L79" s="139"/>
      <c r="P79" s="142"/>
      <c r="Q79" s="142"/>
      <c r="R79" s="142"/>
      <c r="S79" s="140"/>
      <c r="T79" s="123"/>
      <c r="U79" s="141"/>
    </row>
    <row r="80" spans="4:21">
      <c r="G80" s="97"/>
      <c r="H80" s="97"/>
      <c r="I80" s="97"/>
      <c r="J80" s="74"/>
      <c r="K80" s="38"/>
      <c r="L80" s="38"/>
      <c r="P80" s="143"/>
      <c r="Q80" s="143"/>
      <c r="R80" s="143"/>
      <c r="S80" s="140"/>
      <c r="T80" s="124"/>
      <c r="U80" s="141"/>
    </row>
    <row r="81" spans="7:22" ht="15.75">
      <c r="G81" s="144"/>
      <c r="H81" s="144"/>
      <c r="I81" s="144"/>
      <c r="J81" s="97"/>
      <c r="K81" s="38"/>
      <c r="L81" s="38"/>
      <c r="P81" s="97"/>
      <c r="Q81" s="97"/>
      <c r="R81" s="97"/>
      <c r="S81" s="74"/>
      <c r="T81" s="38"/>
      <c r="U81" s="38"/>
    </row>
    <row r="82" spans="7:22" ht="15.75">
      <c r="G82" s="94"/>
      <c r="H82" s="94"/>
      <c r="I82" s="94"/>
      <c r="J82" s="94"/>
      <c r="K82" s="41"/>
      <c r="L82" s="41"/>
      <c r="P82" s="144"/>
      <c r="Q82" s="144"/>
      <c r="R82" s="144"/>
      <c r="S82" s="97"/>
      <c r="T82" s="38"/>
      <c r="U82" s="38"/>
    </row>
    <row r="83" spans="7:22">
      <c r="G83" s="145"/>
      <c r="H83" s="146"/>
      <c r="I83" s="147"/>
      <c r="J83" s="51"/>
      <c r="K83" s="51"/>
      <c r="L83" s="135"/>
      <c r="P83" s="94"/>
      <c r="Q83" s="94"/>
      <c r="R83" s="94"/>
      <c r="S83" s="94"/>
      <c r="T83" s="41"/>
      <c r="U83" s="41"/>
    </row>
    <row r="84" spans="7:22">
      <c r="G84" s="148"/>
      <c r="H84" s="148"/>
      <c r="I84" s="148"/>
      <c r="J84" s="132"/>
      <c r="K84" s="67"/>
      <c r="L84" s="41"/>
      <c r="P84" s="145"/>
      <c r="Q84" s="146"/>
      <c r="R84" s="147"/>
      <c r="S84" s="51"/>
      <c r="T84" s="51"/>
      <c r="U84" s="147"/>
    </row>
    <row r="85" spans="7:22">
      <c r="G85" s="148"/>
      <c r="H85" s="148"/>
      <c r="I85" s="148"/>
      <c r="J85" s="149"/>
      <c r="K85" s="67"/>
      <c r="L85" s="41"/>
      <c r="P85" s="148"/>
      <c r="Q85" s="148"/>
      <c r="R85" s="148"/>
      <c r="S85" s="132"/>
      <c r="T85" s="67"/>
      <c r="U85" s="67"/>
    </row>
    <row r="86" spans="7:22">
      <c r="G86" s="51"/>
      <c r="H86" s="150"/>
      <c r="I86" s="51"/>
      <c r="J86" s="151"/>
      <c r="K86" s="67"/>
      <c r="L86" s="133"/>
      <c r="P86" s="148"/>
      <c r="Q86" s="148"/>
      <c r="R86" s="148"/>
      <c r="S86" s="149"/>
      <c r="T86" s="67"/>
      <c r="U86" s="67"/>
      <c r="V86" s="108"/>
    </row>
    <row r="87" spans="7:22">
      <c r="G87" s="148"/>
      <c r="H87" s="152"/>
      <c r="I87" s="148"/>
      <c r="J87" s="132"/>
      <c r="K87" s="67"/>
      <c r="L87" s="41"/>
      <c r="P87" s="51"/>
      <c r="Q87" s="150"/>
      <c r="R87" s="51"/>
      <c r="S87" s="151"/>
      <c r="T87" s="67"/>
      <c r="U87" s="67"/>
      <c r="V87" s="108"/>
    </row>
    <row r="88" spans="7:22">
      <c r="G88" s="51"/>
      <c r="H88" s="130"/>
      <c r="I88" s="131"/>
      <c r="J88" s="132"/>
      <c r="K88" s="67"/>
      <c r="L88" s="133"/>
      <c r="P88" s="148"/>
      <c r="Q88" s="152"/>
      <c r="R88" s="148"/>
      <c r="S88" s="132"/>
      <c r="T88" s="67"/>
      <c r="U88" s="67"/>
      <c r="V88" s="108"/>
    </row>
    <row r="89" spans="7:22">
      <c r="G89" s="94"/>
      <c r="H89" s="94"/>
      <c r="I89" s="94"/>
      <c r="J89" s="134"/>
      <c r="K89" s="41"/>
      <c r="L89" s="135"/>
      <c r="P89" s="51"/>
      <c r="Q89" s="130"/>
      <c r="R89" s="131"/>
      <c r="S89" s="132"/>
      <c r="T89" s="67"/>
      <c r="U89" s="67"/>
      <c r="V89" s="108"/>
    </row>
    <row r="90" spans="7:22">
      <c r="G90" s="94"/>
      <c r="H90" s="94"/>
      <c r="I90" s="94"/>
      <c r="J90" s="138"/>
      <c r="K90" s="41"/>
      <c r="L90" s="38"/>
      <c r="P90" s="94"/>
      <c r="Q90" s="94"/>
      <c r="R90" s="94"/>
      <c r="S90" s="134"/>
      <c r="T90" s="41"/>
      <c r="U90" s="41"/>
      <c r="V90" s="153"/>
    </row>
    <row r="91" spans="7:22">
      <c r="G91" s="113"/>
      <c r="H91" s="113"/>
      <c r="I91" s="113"/>
      <c r="J91" s="51"/>
      <c r="K91" s="51"/>
      <c r="L91" s="154"/>
      <c r="P91" s="94"/>
      <c r="Q91" s="94"/>
      <c r="R91" s="94"/>
      <c r="S91" s="138"/>
      <c r="T91" s="41"/>
      <c r="U91" s="41"/>
      <c r="V91" s="153"/>
    </row>
    <row r="92" spans="7:22">
      <c r="G92" s="113"/>
      <c r="H92" s="113"/>
      <c r="I92" s="113"/>
      <c r="J92" s="94"/>
      <c r="K92" s="41"/>
      <c r="L92" s="135"/>
      <c r="P92" s="113"/>
      <c r="Q92" s="113"/>
      <c r="R92" s="113"/>
      <c r="S92" s="51"/>
      <c r="T92" s="51"/>
      <c r="U92" s="51"/>
      <c r="V92" s="51"/>
    </row>
    <row r="93" spans="7:22">
      <c r="G93" s="94"/>
      <c r="H93" s="94"/>
      <c r="I93" s="94"/>
      <c r="J93" s="96"/>
      <c r="K93" s="41"/>
      <c r="L93" s="95"/>
      <c r="P93" s="113"/>
      <c r="Q93" s="113"/>
      <c r="R93" s="113"/>
      <c r="S93" s="94"/>
      <c r="T93" s="41"/>
      <c r="U93" s="41"/>
      <c r="V93" s="153"/>
    </row>
    <row r="94" spans="7:22">
      <c r="P94" s="94"/>
      <c r="Q94" s="94"/>
      <c r="R94" s="94"/>
      <c r="S94" s="96"/>
      <c r="T94" s="41"/>
      <c r="U94" s="41"/>
      <c r="V94" s="153"/>
    </row>
    <row r="96" spans="7:22">
      <c r="P96" s="155"/>
    </row>
    <row r="101" spans="4:22" ht="25.5" customHeight="1">
      <c r="U101" s="156"/>
    </row>
    <row r="103" spans="4:22">
      <c r="D103" s="136"/>
      <c r="E103" s="137"/>
      <c r="H103" s="94"/>
      <c r="I103" s="94"/>
      <c r="J103" s="157"/>
      <c r="K103" s="41"/>
      <c r="L103" s="41"/>
    </row>
    <row r="104" spans="4:22">
      <c r="H104" s="139"/>
      <c r="I104" s="139"/>
      <c r="J104" s="140"/>
      <c r="K104" s="123"/>
      <c r="L104" s="139"/>
      <c r="Q104" s="94"/>
      <c r="R104" s="94"/>
      <c r="S104" s="157"/>
      <c r="T104" s="41"/>
      <c r="U104" s="97"/>
      <c r="V104" s="100"/>
    </row>
    <row r="105" spans="4:22">
      <c r="G105" s="67"/>
      <c r="H105" s="67"/>
      <c r="I105" s="67"/>
      <c r="J105" s="140"/>
      <c r="K105" s="123"/>
      <c r="L105" s="139"/>
      <c r="Q105" s="139"/>
      <c r="R105" s="139"/>
      <c r="S105" s="140"/>
      <c r="T105" s="123"/>
      <c r="U105" s="141"/>
      <c r="V105" s="158"/>
    </row>
    <row r="106" spans="4:22">
      <c r="G106" s="142"/>
      <c r="H106" s="142"/>
      <c r="I106" s="142"/>
      <c r="J106" s="140"/>
      <c r="K106" s="123"/>
      <c r="L106" s="139"/>
      <c r="P106" s="139"/>
      <c r="Q106" s="139"/>
      <c r="R106" s="139"/>
      <c r="S106" s="140"/>
      <c r="T106" s="123"/>
      <c r="U106" s="141"/>
      <c r="V106" s="158"/>
    </row>
    <row r="107" spans="4:22">
      <c r="G107" s="143"/>
      <c r="H107" s="143"/>
      <c r="I107" s="143"/>
      <c r="J107" s="140"/>
      <c r="K107" s="124"/>
      <c r="L107" s="139"/>
      <c r="P107" s="67"/>
      <c r="Q107" s="67"/>
      <c r="R107" s="67"/>
      <c r="S107" s="140"/>
      <c r="T107" s="123"/>
      <c r="U107" s="141"/>
      <c r="V107" s="158"/>
    </row>
    <row r="108" spans="4:22">
      <c r="G108" s="97"/>
      <c r="H108" s="97"/>
      <c r="I108" s="97"/>
      <c r="J108" s="74"/>
      <c r="K108" s="38"/>
      <c r="L108" s="38"/>
      <c r="P108" s="142"/>
      <c r="Q108" s="142"/>
      <c r="R108" s="142"/>
      <c r="S108" s="140"/>
      <c r="T108" s="123"/>
      <c r="U108" s="159"/>
      <c r="V108" s="158"/>
    </row>
    <row r="109" spans="4:22" ht="15.75">
      <c r="G109" s="144"/>
      <c r="H109" s="144"/>
      <c r="I109" s="144"/>
      <c r="J109" s="97"/>
      <c r="K109" s="38"/>
      <c r="L109" s="38"/>
      <c r="P109" s="143"/>
      <c r="Q109" s="143"/>
      <c r="R109" s="143"/>
      <c r="S109" s="140"/>
      <c r="T109" s="124"/>
      <c r="U109" s="141"/>
      <c r="V109" s="158"/>
    </row>
    <row r="110" spans="4:22">
      <c r="G110" s="94"/>
      <c r="H110" s="94"/>
      <c r="I110" s="94"/>
      <c r="J110" s="94"/>
      <c r="K110" s="41"/>
      <c r="L110" s="41"/>
      <c r="P110" s="97"/>
      <c r="Q110" s="97"/>
      <c r="R110" s="97"/>
      <c r="S110" s="74"/>
      <c r="T110" s="38"/>
      <c r="U110" s="38"/>
      <c r="V110" s="99"/>
    </row>
    <row r="111" spans="4:22" ht="15.75">
      <c r="G111" s="145"/>
      <c r="H111" s="146"/>
      <c r="I111" s="147"/>
      <c r="J111" s="51"/>
      <c r="K111" s="51"/>
      <c r="L111" s="135"/>
      <c r="P111" s="144"/>
      <c r="Q111" s="144"/>
      <c r="R111" s="144"/>
      <c r="S111" s="97"/>
      <c r="T111" s="38"/>
      <c r="U111" s="38"/>
      <c r="V111" s="99"/>
    </row>
    <row r="112" spans="4:22">
      <c r="G112" s="148"/>
      <c r="H112" s="148"/>
      <c r="I112" s="148"/>
      <c r="J112" s="132"/>
      <c r="K112" s="67"/>
      <c r="L112" s="41"/>
      <c r="P112" s="94"/>
      <c r="Q112" s="94"/>
      <c r="R112" s="94"/>
      <c r="S112" s="94"/>
      <c r="T112" s="41"/>
      <c r="U112" s="41"/>
      <c r="V112" s="100"/>
    </row>
    <row r="113" spans="4:22">
      <c r="G113" s="148"/>
      <c r="H113" s="148"/>
      <c r="I113" s="148"/>
      <c r="J113" s="149"/>
      <c r="K113" s="67"/>
      <c r="L113" s="41"/>
      <c r="P113" s="145"/>
      <c r="Q113" s="146"/>
      <c r="R113" s="147"/>
      <c r="S113" s="51"/>
      <c r="T113" s="51"/>
      <c r="U113" s="147"/>
      <c r="V113" s="103"/>
    </row>
    <row r="114" spans="4:22">
      <c r="G114" s="51"/>
      <c r="H114" s="150"/>
      <c r="I114" s="51"/>
      <c r="J114" s="151"/>
      <c r="K114" s="67"/>
      <c r="L114" s="133"/>
      <c r="P114" s="148"/>
      <c r="Q114" s="148"/>
      <c r="R114" s="148"/>
      <c r="S114" s="132"/>
      <c r="T114" s="67"/>
      <c r="U114" s="67"/>
      <c r="V114" s="108"/>
    </row>
    <row r="115" spans="4:22">
      <c r="G115" s="148"/>
      <c r="H115" s="152"/>
      <c r="I115" s="148"/>
      <c r="J115" s="132"/>
      <c r="K115" s="67"/>
      <c r="L115" s="41"/>
      <c r="P115" s="148"/>
      <c r="Q115" s="148"/>
      <c r="R115" s="148"/>
      <c r="S115" s="149"/>
      <c r="T115" s="67"/>
      <c r="U115" s="67"/>
      <c r="V115" s="108"/>
    </row>
    <row r="116" spans="4:22">
      <c r="G116" s="51"/>
      <c r="H116" s="130"/>
      <c r="I116" s="131"/>
      <c r="J116" s="132"/>
      <c r="K116" s="67"/>
      <c r="L116" s="133"/>
      <c r="P116" s="51"/>
      <c r="Q116" s="150"/>
      <c r="R116" s="51"/>
      <c r="S116" s="151"/>
      <c r="T116" s="67"/>
      <c r="U116" s="67"/>
      <c r="V116" s="108"/>
    </row>
    <row r="117" spans="4:22">
      <c r="G117" s="94"/>
      <c r="H117" s="94"/>
      <c r="I117" s="94"/>
      <c r="J117" s="134"/>
      <c r="K117" s="41"/>
      <c r="L117" s="135"/>
      <c r="P117" s="148"/>
      <c r="Q117" s="152"/>
      <c r="R117" s="148"/>
      <c r="S117" s="132"/>
      <c r="T117" s="67"/>
      <c r="U117" s="67"/>
      <c r="V117" s="108"/>
    </row>
    <row r="118" spans="4:22">
      <c r="G118" s="94"/>
      <c r="H118" s="94"/>
      <c r="I118" s="94"/>
      <c r="J118" s="138"/>
      <c r="K118" s="41"/>
      <c r="L118" s="38"/>
      <c r="P118" s="51"/>
      <c r="Q118" s="130"/>
      <c r="R118" s="131"/>
      <c r="S118" s="132"/>
      <c r="T118" s="67"/>
      <c r="U118" s="67"/>
      <c r="V118" s="108"/>
    </row>
    <row r="119" spans="4:22">
      <c r="G119" s="113"/>
      <c r="H119" s="113"/>
      <c r="I119" s="113"/>
      <c r="J119" s="51"/>
      <c r="K119" s="51"/>
      <c r="L119" s="154"/>
      <c r="P119" s="94"/>
      <c r="Q119" s="94"/>
      <c r="R119" s="94"/>
      <c r="S119" s="134"/>
      <c r="T119" s="41"/>
      <c r="U119" s="41"/>
      <c r="V119" s="153"/>
    </row>
    <row r="120" spans="4:22">
      <c r="G120" s="113"/>
      <c r="H120" s="113"/>
      <c r="I120" s="113"/>
      <c r="J120" s="94"/>
      <c r="K120" s="41"/>
      <c r="L120" s="135"/>
      <c r="P120" s="94"/>
      <c r="Q120" s="94"/>
      <c r="R120" s="94"/>
      <c r="S120" s="138"/>
      <c r="T120" s="41"/>
      <c r="U120" s="41"/>
      <c r="V120" s="153"/>
    </row>
    <row r="121" spans="4:22">
      <c r="G121" s="94"/>
      <c r="H121" s="94"/>
      <c r="I121" s="94"/>
      <c r="J121" s="96"/>
      <c r="K121" s="41"/>
      <c r="L121" s="95"/>
      <c r="P121" s="113"/>
      <c r="Q121" s="113"/>
      <c r="R121" s="113"/>
      <c r="S121" s="51"/>
      <c r="T121" s="51"/>
      <c r="U121" s="51"/>
      <c r="V121" s="51"/>
    </row>
    <row r="122" spans="4:22">
      <c r="P122" s="113"/>
      <c r="Q122" s="113"/>
      <c r="R122" s="113"/>
      <c r="S122" s="94"/>
      <c r="T122" s="41"/>
      <c r="U122" s="41"/>
      <c r="V122" s="153"/>
    </row>
    <row r="123" spans="4:22">
      <c r="P123" s="94"/>
      <c r="Q123" s="94"/>
      <c r="R123" s="94"/>
      <c r="S123" s="96"/>
      <c r="T123" s="41"/>
      <c r="U123" s="41"/>
      <c r="V123" s="153"/>
    </row>
    <row r="127" spans="4:22">
      <c r="G127" s="94"/>
      <c r="H127" s="94"/>
      <c r="I127" s="94"/>
      <c r="J127" s="157"/>
      <c r="K127" s="41"/>
      <c r="L127" s="41"/>
      <c r="P127" s="94"/>
      <c r="Q127" s="94"/>
      <c r="R127" s="94"/>
      <c r="S127" s="94"/>
      <c r="T127" s="41"/>
      <c r="U127" s="41"/>
      <c r="V127" s="100"/>
    </row>
    <row r="128" spans="4:22">
      <c r="D128" s="136"/>
      <c r="E128" s="137"/>
      <c r="G128" s="94"/>
      <c r="H128" s="94"/>
      <c r="I128" s="94"/>
      <c r="J128" s="157"/>
      <c r="K128" s="41"/>
      <c r="L128" s="41"/>
      <c r="P128" s="145"/>
      <c r="Q128" s="146"/>
      <c r="R128" s="147"/>
      <c r="S128" s="51"/>
      <c r="T128" s="51"/>
      <c r="U128" s="147"/>
      <c r="V128" s="103"/>
    </row>
    <row r="129" spans="7:22">
      <c r="G129" s="139"/>
      <c r="H129" s="139"/>
      <c r="I129" s="139"/>
      <c r="J129" s="140"/>
      <c r="K129" s="123"/>
      <c r="L129" s="139"/>
      <c r="P129" s="148"/>
      <c r="Q129" s="148"/>
      <c r="R129" s="148"/>
      <c r="S129" s="132"/>
      <c r="T129" s="67"/>
      <c r="U129" s="67"/>
      <c r="V129" s="108"/>
    </row>
    <row r="130" spans="7:22">
      <c r="G130" s="67"/>
      <c r="H130" s="67"/>
      <c r="I130" s="67"/>
      <c r="J130" s="140"/>
      <c r="K130" s="123"/>
      <c r="L130" s="139"/>
      <c r="P130" s="139"/>
      <c r="Q130" s="139"/>
      <c r="R130" s="139"/>
      <c r="S130" s="140"/>
      <c r="T130" s="123"/>
      <c r="U130" s="141"/>
      <c r="V130" s="158"/>
    </row>
    <row r="131" spans="7:22">
      <c r="G131" s="142"/>
      <c r="H131" s="142"/>
      <c r="I131" s="142"/>
      <c r="J131" s="140"/>
      <c r="K131" s="123"/>
      <c r="L131" s="139"/>
      <c r="P131" s="67"/>
      <c r="Q131" s="67"/>
      <c r="R131" s="67"/>
      <c r="S131" s="140"/>
      <c r="T131" s="123"/>
      <c r="U131" s="41"/>
      <c r="V131" s="158"/>
    </row>
    <row r="132" spans="7:22">
      <c r="G132" s="143"/>
      <c r="H132" s="143"/>
      <c r="I132" s="143"/>
      <c r="J132" s="140"/>
      <c r="K132" s="124"/>
      <c r="L132" s="139"/>
      <c r="P132" s="142"/>
      <c r="Q132" s="142"/>
      <c r="R132" s="142"/>
      <c r="S132" s="140"/>
      <c r="T132" s="123"/>
      <c r="U132" s="147"/>
      <c r="V132" s="158"/>
    </row>
    <row r="133" spans="7:22">
      <c r="G133" s="97"/>
      <c r="H133" s="97"/>
      <c r="I133" s="97"/>
      <c r="J133" s="74"/>
      <c r="K133" s="38"/>
      <c r="L133" s="38"/>
      <c r="P133" s="143"/>
      <c r="Q133" s="143"/>
      <c r="R133" s="143"/>
      <c r="S133" s="140"/>
      <c r="T133" s="124"/>
      <c r="U133" s="67"/>
      <c r="V133" s="158"/>
    </row>
    <row r="134" spans="7:22" ht="15.75">
      <c r="G134" s="144"/>
      <c r="H134" s="144"/>
      <c r="I134" s="144"/>
      <c r="J134" s="97"/>
      <c r="K134" s="38"/>
      <c r="L134" s="38"/>
      <c r="P134" s="97"/>
      <c r="Q134" s="97"/>
      <c r="R134" s="97"/>
      <c r="S134" s="74"/>
      <c r="T134" s="38"/>
      <c r="U134" s="38"/>
      <c r="V134" s="99"/>
    </row>
    <row r="135" spans="7:22" ht="15.75">
      <c r="G135" s="94"/>
      <c r="H135" s="94"/>
      <c r="I135" s="94"/>
      <c r="J135" s="94"/>
      <c r="K135" s="41"/>
      <c r="L135" s="41"/>
      <c r="P135" s="144"/>
      <c r="Q135" s="144"/>
      <c r="R135" s="144"/>
      <c r="S135" s="97"/>
      <c r="T135" s="38"/>
      <c r="U135" s="38"/>
      <c r="V135" s="99"/>
    </row>
    <row r="136" spans="7:22">
      <c r="G136" s="145"/>
      <c r="H136" s="146"/>
      <c r="I136" s="147"/>
      <c r="J136" s="51"/>
      <c r="K136" s="51"/>
      <c r="L136" s="135"/>
      <c r="P136" s="94"/>
      <c r="Q136" s="94"/>
      <c r="R136" s="94"/>
      <c r="S136" s="94"/>
      <c r="T136" s="41"/>
      <c r="U136" s="41"/>
      <c r="V136" s="100"/>
    </row>
    <row r="137" spans="7:22">
      <c r="G137" s="148"/>
      <c r="H137" s="148"/>
      <c r="I137" s="148"/>
      <c r="J137" s="132"/>
      <c r="K137" s="67"/>
      <c r="L137" s="41"/>
      <c r="P137" s="145"/>
      <c r="Q137" s="146"/>
      <c r="R137" s="147"/>
      <c r="S137" s="51"/>
      <c r="T137" s="51"/>
      <c r="U137" s="147"/>
      <c r="V137" s="103"/>
    </row>
    <row r="138" spans="7:22">
      <c r="G138" s="148"/>
      <c r="H138" s="148"/>
      <c r="I138" s="148"/>
      <c r="J138" s="149"/>
      <c r="K138" s="67"/>
      <c r="L138" s="41"/>
      <c r="P138" s="148"/>
      <c r="Q138" s="148"/>
      <c r="R138" s="148"/>
      <c r="S138" s="132"/>
      <c r="T138" s="67"/>
      <c r="U138" s="67"/>
      <c r="V138" s="108"/>
    </row>
    <row r="139" spans="7:22">
      <c r="G139" s="51"/>
      <c r="H139" s="150"/>
      <c r="I139" s="51"/>
      <c r="J139" s="151"/>
      <c r="K139" s="67"/>
      <c r="L139" s="133"/>
      <c r="P139" s="148"/>
      <c r="Q139" s="148"/>
      <c r="R139" s="148"/>
      <c r="S139" s="149"/>
      <c r="T139" s="67"/>
      <c r="U139" s="67"/>
      <c r="V139" s="108"/>
    </row>
    <row r="140" spans="7:22">
      <c r="G140" s="148"/>
      <c r="H140" s="152"/>
      <c r="I140" s="148"/>
      <c r="J140" s="132"/>
      <c r="K140" s="67"/>
      <c r="L140" s="41"/>
      <c r="P140" s="51"/>
      <c r="Q140" s="150"/>
      <c r="R140" s="51"/>
      <c r="S140" s="151"/>
      <c r="T140" s="67"/>
      <c r="U140" s="67"/>
      <c r="V140" s="108"/>
    </row>
    <row r="141" spans="7:22">
      <c r="G141" s="51"/>
      <c r="H141" s="130"/>
      <c r="I141" s="131"/>
      <c r="J141" s="132"/>
      <c r="K141" s="67"/>
      <c r="L141" s="133"/>
      <c r="P141" s="148"/>
      <c r="Q141" s="152"/>
      <c r="R141" s="148"/>
      <c r="S141" s="132"/>
      <c r="T141" s="67"/>
      <c r="U141" s="67"/>
      <c r="V141" s="108"/>
    </row>
    <row r="142" spans="7:22">
      <c r="G142" s="94"/>
      <c r="H142" s="94"/>
      <c r="I142" s="94"/>
      <c r="J142" s="134"/>
      <c r="K142" s="41"/>
      <c r="L142" s="135"/>
      <c r="P142" s="51"/>
      <c r="Q142" s="130"/>
      <c r="R142" s="131"/>
      <c r="S142" s="132"/>
      <c r="T142" s="67"/>
      <c r="U142" s="67"/>
      <c r="V142" s="108"/>
    </row>
    <row r="143" spans="7:22">
      <c r="G143" s="94"/>
      <c r="H143" s="94"/>
      <c r="I143" s="94"/>
      <c r="J143" s="138"/>
      <c r="K143" s="41"/>
      <c r="L143" s="38"/>
      <c r="P143" s="94"/>
      <c r="Q143" s="94"/>
      <c r="R143" s="94"/>
      <c r="S143" s="134"/>
      <c r="T143" s="41"/>
      <c r="U143" s="41"/>
      <c r="V143" s="153"/>
    </row>
    <row r="144" spans="7:22">
      <c r="G144" s="113"/>
      <c r="H144" s="113"/>
      <c r="I144" s="113"/>
      <c r="J144" s="51"/>
      <c r="K144" s="51"/>
      <c r="L144" s="154"/>
      <c r="P144" s="94"/>
      <c r="Q144" s="94"/>
      <c r="R144" s="94"/>
      <c r="S144" s="138"/>
      <c r="T144" s="41"/>
      <c r="U144" s="41"/>
      <c r="V144" s="153"/>
    </row>
    <row r="145" spans="7:22">
      <c r="G145" s="113"/>
      <c r="H145" s="113"/>
      <c r="I145" s="113"/>
      <c r="J145" s="94"/>
      <c r="K145" s="41"/>
      <c r="L145" s="135"/>
      <c r="P145" s="113"/>
      <c r="Q145" s="113"/>
      <c r="R145" s="113"/>
      <c r="S145" s="51"/>
      <c r="T145" s="51"/>
      <c r="U145" s="51"/>
      <c r="V145" s="51"/>
    </row>
    <row r="146" spans="7:22">
      <c r="G146" s="94"/>
      <c r="H146" s="94"/>
      <c r="I146" s="94"/>
      <c r="J146" s="96"/>
      <c r="K146" s="41"/>
      <c r="L146" s="95"/>
      <c r="P146" s="113"/>
      <c r="Q146" s="113"/>
      <c r="R146" s="113"/>
      <c r="S146" s="94"/>
      <c r="T146" s="41"/>
      <c r="U146" s="41"/>
      <c r="V146" s="153"/>
    </row>
    <row r="147" spans="7:22">
      <c r="P147" s="94"/>
      <c r="Q147" s="94"/>
      <c r="R147" s="94"/>
      <c r="S147" s="96"/>
      <c r="T147" s="41"/>
      <c r="U147" s="41"/>
      <c r="V147" s="153"/>
    </row>
    <row r="148" spans="7:22">
      <c r="P148" s="51"/>
      <c r="Q148" s="51"/>
      <c r="R148" s="51"/>
      <c r="S148" s="51"/>
      <c r="T148" s="51"/>
      <c r="U148" s="51"/>
      <c r="V148" s="51"/>
    </row>
    <row r="152" spans="7:22">
      <c r="P152" s="148"/>
      <c r="Q152" s="148"/>
      <c r="R152" s="148"/>
      <c r="S152" s="149"/>
      <c r="T152" s="67"/>
      <c r="U152" s="67"/>
      <c r="V152" s="108"/>
    </row>
    <row r="153" spans="7:22">
      <c r="G153" s="94"/>
      <c r="H153" s="94"/>
      <c r="I153" s="94"/>
      <c r="J153" s="157"/>
      <c r="K153" s="41"/>
      <c r="L153" s="41"/>
      <c r="P153" s="51"/>
      <c r="Q153" s="150"/>
      <c r="R153" s="51"/>
      <c r="S153" s="151"/>
      <c r="T153" s="67"/>
      <c r="U153" s="67"/>
      <c r="V153" s="108"/>
    </row>
    <row r="154" spans="7:22">
      <c r="G154" s="139"/>
      <c r="H154" s="139"/>
      <c r="I154" s="139"/>
      <c r="J154" s="140"/>
      <c r="K154" s="123"/>
      <c r="L154" s="139"/>
      <c r="P154" s="148"/>
      <c r="Q154" s="152"/>
      <c r="R154" s="148"/>
      <c r="S154" s="132"/>
      <c r="T154" s="67"/>
      <c r="U154" s="67"/>
      <c r="V154" s="108"/>
    </row>
    <row r="155" spans="7:22">
      <c r="G155" s="67"/>
      <c r="H155" s="67"/>
      <c r="I155" s="67"/>
      <c r="J155" s="140"/>
      <c r="K155" s="123"/>
      <c r="L155" s="139"/>
      <c r="P155" s="139"/>
      <c r="Q155" s="139"/>
      <c r="R155" s="139"/>
      <c r="S155" s="140"/>
      <c r="T155" s="123"/>
      <c r="U155" s="141"/>
      <c r="V155" s="158"/>
    </row>
    <row r="156" spans="7:22">
      <c r="G156" s="142"/>
      <c r="H156" s="142"/>
      <c r="I156" s="142"/>
      <c r="J156" s="140"/>
      <c r="K156" s="123"/>
      <c r="L156" s="139"/>
      <c r="P156" s="67"/>
      <c r="Q156" s="67"/>
      <c r="R156" s="67"/>
      <c r="S156" s="140"/>
      <c r="T156" s="123"/>
      <c r="U156" s="38"/>
      <c r="V156" s="158"/>
    </row>
    <row r="157" spans="7:22">
      <c r="G157" s="143"/>
      <c r="H157" s="143"/>
      <c r="I157" s="143"/>
      <c r="J157" s="140"/>
      <c r="K157" s="124"/>
      <c r="L157" s="139"/>
      <c r="P157" s="142"/>
      <c r="Q157" s="142"/>
      <c r="R157" s="142"/>
      <c r="S157" s="140"/>
      <c r="T157" s="123"/>
      <c r="U157" s="41"/>
      <c r="V157" s="158"/>
    </row>
    <row r="158" spans="7:22">
      <c r="G158" s="97"/>
      <c r="H158" s="97"/>
      <c r="I158" s="97"/>
      <c r="J158" s="74"/>
      <c r="K158" s="38"/>
      <c r="L158" s="38"/>
      <c r="P158" s="143"/>
      <c r="Q158" s="143"/>
      <c r="R158" s="143"/>
      <c r="S158" s="140"/>
      <c r="T158" s="124"/>
      <c r="U158" s="147"/>
      <c r="V158" s="158"/>
    </row>
    <row r="159" spans="7:22" ht="15.75">
      <c r="G159" s="144"/>
      <c r="H159" s="144"/>
      <c r="I159" s="144"/>
      <c r="J159" s="97"/>
      <c r="K159" s="38"/>
      <c r="L159" s="38"/>
      <c r="P159" s="97"/>
      <c r="Q159" s="97"/>
      <c r="R159" s="97"/>
      <c r="S159" s="74"/>
      <c r="T159" s="38"/>
      <c r="U159" s="38"/>
      <c r="V159" s="99"/>
    </row>
    <row r="160" spans="7:22" ht="15.75">
      <c r="G160" s="94"/>
      <c r="H160" s="94"/>
      <c r="I160" s="94"/>
      <c r="J160" s="94"/>
      <c r="K160" s="41"/>
      <c r="L160" s="41"/>
      <c r="P160" s="144"/>
      <c r="Q160" s="144"/>
      <c r="R160" s="144"/>
      <c r="S160" s="97"/>
      <c r="T160" s="38"/>
      <c r="U160" s="38"/>
      <c r="V160" s="99"/>
    </row>
    <row r="161" spans="7:22">
      <c r="G161" s="145"/>
      <c r="H161" s="146"/>
      <c r="I161" s="147"/>
      <c r="J161" s="51"/>
      <c r="K161" s="51"/>
      <c r="L161" s="135"/>
      <c r="P161" s="94"/>
      <c r="Q161" s="94"/>
      <c r="R161" s="94"/>
      <c r="S161" s="94"/>
      <c r="T161" s="41"/>
      <c r="U161" s="41"/>
      <c r="V161" s="100"/>
    </row>
    <row r="162" spans="7:22">
      <c r="G162" s="148"/>
      <c r="H162" s="148"/>
      <c r="I162" s="148"/>
      <c r="J162" s="132"/>
      <c r="K162" s="67"/>
      <c r="L162" s="41"/>
      <c r="P162" s="145"/>
      <c r="Q162" s="146"/>
      <c r="R162" s="147"/>
      <c r="S162" s="51"/>
      <c r="T162" s="51"/>
      <c r="U162" s="147"/>
      <c r="V162" s="103"/>
    </row>
    <row r="163" spans="7:22">
      <c r="G163" s="148"/>
      <c r="H163" s="148"/>
      <c r="I163" s="148"/>
      <c r="J163" s="149"/>
      <c r="K163" s="67"/>
      <c r="L163" s="41"/>
      <c r="P163" s="148"/>
      <c r="Q163" s="148"/>
      <c r="R163" s="148"/>
      <c r="S163" s="132"/>
      <c r="T163" s="67"/>
      <c r="U163" s="67"/>
      <c r="V163" s="108"/>
    </row>
    <row r="164" spans="7:22">
      <c r="G164" s="51"/>
      <c r="H164" s="150"/>
      <c r="I164" s="51"/>
      <c r="J164" s="151"/>
      <c r="K164" s="67"/>
      <c r="L164" s="133"/>
      <c r="P164" s="148"/>
      <c r="Q164" s="148"/>
      <c r="R164" s="148"/>
      <c r="S164" s="149"/>
      <c r="T164" s="67"/>
      <c r="U164" s="67"/>
      <c r="V164" s="108"/>
    </row>
    <row r="165" spans="7:22">
      <c r="G165" s="148"/>
      <c r="H165" s="152"/>
      <c r="I165" s="148"/>
      <c r="J165" s="132"/>
      <c r="K165" s="67"/>
      <c r="L165" s="41"/>
      <c r="P165" s="51"/>
      <c r="Q165" s="150"/>
      <c r="R165" s="51"/>
      <c r="S165" s="151"/>
      <c r="T165" s="67"/>
      <c r="U165" s="67"/>
      <c r="V165" s="108"/>
    </row>
    <row r="166" spans="7:22">
      <c r="G166" s="51"/>
      <c r="H166" s="130"/>
      <c r="I166" s="131"/>
      <c r="J166" s="132"/>
      <c r="K166" s="67"/>
      <c r="L166" s="133"/>
      <c r="P166" s="148"/>
      <c r="Q166" s="152"/>
      <c r="R166" s="148"/>
      <c r="S166" s="132"/>
      <c r="T166" s="67"/>
      <c r="U166" s="67"/>
      <c r="V166" s="108"/>
    </row>
    <row r="167" spans="7:22">
      <c r="G167" s="94"/>
      <c r="H167" s="94"/>
      <c r="I167" s="94"/>
      <c r="J167" s="134"/>
      <c r="K167" s="41"/>
      <c r="L167" s="135"/>
      <c r="P167" s="51"/>
      <c r="Q167" s="130"/>
      <c r="R167" s="131"/>
      <c r="S167" s="132"/>
      <c r="T167" s="67"/>
      <c r="U167" s="67"/>
      <c r="V167" s="108"/>
    </row>
    <row r="168" spans="7:22">
      <c r="G168" s="94"/>
      <c r="H168" s="94"/>
      <c r="I168" s="94"/>
      <c r="J168" s="138"/>
      <c r="K168" s="41"/>
      <c r="L168" s="38"/>
      <c r="P168" s="94"/>
      <c r="Q168" s="94"/>
      <c r="R168" s="94"/>
      <c r="S168" s="134"/>
      <c r="T168" s="41"/>
      <c r="U168" s="41"/>
      <c r="V168" s="153"/>
    </row>
    <row r="169" spans="7:22">
      <c r="G169" s="113"/>
      <c r="H169" s="113"/>
      <c r="I169" s="113"/>
      <c r="J169" s="51"/>
      <c r="K169" s="51"/>
      <c r="L169" s="154"/>
      <c r="P169" s="94"/>
      <c r="Q169" s="94"/>
      <c r="R169" s="94"/>
      <c r="S169" s="138"/>
      <c r="T169" s="41"/>
      <c r="U169" s="41"/>
      <c r="V169" s="153"/>
    </row>
    <row r="170" spans="7:22">
      <c r="G170" s="113"/>
      <c r="H170" s="113"/>
      <c r="I170" s="113"/>
      <c r="J170" s="94"/>
      <c r="K170" s="41"/>
      <c r="L170" s="135"/>
      <c r="P170" s="113"/>
      <c r="Q170" s="113"/>
      <c r="R170" s="113"/>
      <c r="S170" s="51"/>
      <c r="T170" s="51"/>
      <c r="U170" s="51"/>
      <c r="V170" s="51"/>
    </row>
    <row r="171" spans="7:22">
      <c r="G171" s="94"/>
      <c r="H171" s="94"/>
      <c r="I171" s="94"/>
      <c r="J171" s="96"/>
      <c r="K171" s="41"/>
      <c r="L171" s="95"/>
      <c r="P171" s="113"/>
      <c r="Q171" s="113"/>
      <c r="R171" s="113"/>
      <c r="S171" s="94"/>
      <c r="T171" s="41"/>
      <c r="U171" s="41"/>
      <c r="V171" s="153"/>
    </row>
    <row r="172" spans="7:22">
      <c r="P172" s="94"/>
      <c r="Q172" s="94"/>
      <c r="R172" s="94"/>
      <c r="S172" s="96"/>
      <c r="T172" s="41"/>
      <c r="U172" s="41"/>
      <c r="V172" s="153"/>
    </row>
    <row r="175" spans="7:22">
      <c r="P175" s="51"/>
      <c r="Q175" s="150"/>
      <c r="R175" s="51"/>
      <c r="S175" s="151"/>
      <c r="T175" s="67"/>
      <c r="U175" s="67"/>
      <c r="V175" s="108"/>
    </row>
    <row r="176" spans="7:22">
      <c r="P176" s="148"/>
      <c r="Q176" s="152"/>
      <c r="R176" s="148"/>
      <c r="S176" s="132"/>
      <c r="T176" s="67"/>
      <c r="U176" s="67"/>
      <c r="V176" s="108"/>
    </row>
    <row r="177" spans="16:22">
      <c r="P177" s="51"/>
      <c r="Q177" s="130"/>
      <c r="R177" s="131"/>
      <c r="S177" s="132"/>
      <c r="T177" s="67"/>
      <c r="U177" s="67"/>
      <c r="V177" s="108"/>
    </row>
    <row r="178" spans="16:22">
      <c r="P178" s="139"/>
      <c r="Q178" s="139"/>
      <c r="R178" s="139"/>
      <c r="S178" s="140"/>
      <c r="T178" s="123"/>
      <c r="U178" s="141"/>
      <c r="V178" s="158"/>
    </row>
    <row r="179" spans="16:22">
      <c r="P179" s="67"/>
      <c r="Q179" s="67"/>
      <c r="R179" s="67"/>
      <c r="S179" s="140"/>
      <c r="T179" s="123"/>
      <c r="U179" s="38"/>
      <c r="V179" s="158"/>
    </row>
    <row r="180" spans="16:22">
      <c r="P180" s="142"/>
      <c r="Q180" s="142"/>
      <c r="R180" s="142"/>
      <c r="S180" s="140"/>
      <c r="T180" s="123"/>
      <c r="U180" s="41"/>
      <c r="V180" s="158"/>
    </row>
    <row r="181" spans="16:22">
      <c r="P181" s="143"/>
      <c r="Q181" s="143"/>
      <c r="R181" s="143"/>
      <c r="S181" s="140"/>
      <c r="T181" s="124"/>
      <c r="U181" s="147"/>
      <c r="V181" s="158"/>
    </row>
    <row r="182" spans="16:22">
      <c r="P182" s="97"/>
      <c r="Q182" s="97"/>
      <c r="R182" s="97"/>
      <c r="S182" s="74"/>
      <c r="T182" s="38"/>
      <c r="U182" s="38"/>
      <c r="V182" s="99"/>
    </row>
    <row r="183" spans="16:22" ht="15.75">
      <c r="P183" s="144"/>
      <c r="Q183" s="144"/>
      <c r="R183" s="144"/>
      <c r="S183" s="97"/>
      <c r="T183" s="38"/>
      <c r="U183" s="38"/>
      <c r="V183" s="99"/>
    </row>
    <row r="184" spans="16:22">
      <c r="P184" s="94"/>
      <c r="Q184" s="94"/>
      <c r="R184" s="94"/>
      <c r="S184" s="94"/>
      <c r="T184" s="41"/>
      <c r="U184" s="41"/>
      <c r="V184" s="100"/>
    </row>
    <row r="185" spans="16:22">
      <c r="P185" s="145"/>
      <c r="Q185" s="146"/>
      <c r="R185" s="147"/>
      <c r="S185" s="51"/>
      <c r="T185" s="51"/>
      <c r="U185" s="147"/>
      <c r="V185" s="103"/>
    </row>
    <row r="186" spans="16:22">
      <c r="P186" s="148"/>
      <c r="Q186" s="148"/>
      <c r="R186" s="148"/>
      <c r="S186" s="132"/>
      <c r="T186" s="67"/>
      <c r="U186" s="67"/>
      <c r="V186" s="108"/>
    </row>
    <row r="187" spans="16:22">
      <c r="P187" s="148"/>
      <c r="Q187" s="148"/>
      <c r="R187" s="148"/>
      <c r="S187" s="149"/>
      <c r="T187" s="67"/>
      <c r="U187" s="67"/>
      <c r="V187" s="108"/>
    </row>
    <row r="188" spans="16:22">
      <c r="P188" s="51"/>
      <c r="Q188" s="150"/>
      <c r="R188" s="51"/>
      <c r="S188" s="151"/>
      <c r="T188" s="67"/>
      <c r="U188" s="67"/>
      <c r="V188" s="108"/>
    </row>
    <row r="189" spans="16:22">
      <c r="P189" s="148"/>
      <c r="Q189" s="152"/>
      <c r="R189" s="148"/>
      <c r="S189" s="132"/>
      <c r="T189" s="67"/>
      <c r="U189" s="67"/>
      <c r="V189" s="108"/>
    </row>
    <row r="190" spans="16:22">
      <c r="P190" s="51"/>
      <c r="Q190" s="130"/>
      <c r="R190" s="131"/>
      <c r="S190" s="132"/>
      <c r="T190" s="67"/>
      <c r="U190" s="67"/>
      <c r="V190" s="108"/>
    </row>
    <row r="191" spans="16:22">
      <c r="P191" s="94"/>
      <c r="Q191" s="94"/>
      <c r="R191" s="94"/>
      <c r="S191" s="134"/>
      <c r="T191" s="41"/>
      <c r="U191" s="41"/>
      <c r="V191" s="153"/>
    </row>
    <row r="192" spans="16:22">
      <c r="P192" s="94"/>
      <c r="Q192" s="94"/>
      <c r="R192" s="94"/>
      <c r="S192" s="138"/>
      <c r="T192" s="41"/>
      <c r="U192" s="41"/>
      <c r="V192" s="153"/>
    </row>
    <row r="193" spans="16:22">
      <c r="P193" s="113"/>
      <c r="Q193" s="113"/>
      <c r="R193" s="113"/>
      <c r="S193" s="51"/>
      <c r="T193" s="51"/>
      <c r="U193" s="51"/>
      <c r="V193" s="51"/>
    </row>
    <row r="194" spans="16:22">
      <c r="P194" s="113"/>
      <c r="Q194" s="113"/>
      <c r="R194" s="113"/>
      <c r="S194" s="94"/>
      <c r="T194" s="41"/>
      <c r="U194" s="41"/>
      <c r="V194" s="153"/>
    </row>
    <row r="195" spans="16:22">
      <c r="P195" s="94"/>
      <c r="Q195" s="94"/>
      <c r="R195" s="94"/>
      <c r="S195" s="96"/>
      <c r="T195" s="41"/>
      <c r="U195" s="41"/>
      <c r="V195" s="153"/>
    </row>
    <row r="197" spans="16:22">
      <c r="P197" s="148"/>
      <c r="Q197" s="152"/>
      <c r="R197" s="148"/>
      <c r="S197" s="132"/>
      <c r="T197" s="67"/>
      <c r="U197" s="67"/>
      <c r="V197" s="108"/>
    </row>
    <row r="198" spans="16:22">
      <c r="P198" s="51"/>
      <c r="Q198" s="130"/>
      <c r="R198" s="131"/>
      <c r="S198" s="132"/>
      <c r="T198" s="67"/>
      <c r="U198" s="67"/>
      <c r="V198" s="108"/>
    </row>
    <row r="199" spans="16:22">
      <c r="P199" s="94"/>
      <c r="Q199" s="94"/>
      <c r="R199" s="94"/>
      <c r="S199" s="134"/>
      <c r="T199" s="41"/>
      <c r="U199" s="41"/>
      <c r="V199" s="153"/>
    </row>
    <row r="200" spans="16:22">
      <c r="P200" s="139"/>
      <c r="Q200" s="139"/>
      <c r="R200" s="139"/>
      <c r="S200" s="140"/>
      <c r="T200" s="123"/>
      <c r="U200" s="141"/>
      <c r="V200" s="158"/>
    </row>
    <row r="201" spans="16:22">
      <c r="P201" s="67"/>
      <c r="Q201" s="67"/>
      <c r="R201" s="67"/>
      <c r="S201" s="140"/>
      <c r="T201" s="123"/>
      <c r="V201" s="158"/>
    </row>
    <row r="202" spans="16:22">
      <c r="P202" s="142"/>
      <c r="Q202" s="142"/>
      <c r="R202" s="142"/>
      <c r="S202" s="140"/>
      <c r="T202" s="123"/>
      <c r="U202" s="67"/>
      <c r="V202" s="158"/>
    </row>
    <row r="203" spans="16:22">
      <c r="P203" s="143"/>
      <c r="Q203" s="143"/>
      <c r="R203" s="143"/>
      <c r="S203" s="140"/>
      <c r="T203" s="124"/>
      <c r="U203" s="67"/>
      <c r="V203" s="158"/>
    </row>
    <row r="204" spans="16:22">
      <c r="P204" s="97"/>
      <c r="Q204" s="97"/>
      <c r="R204" s="97"/>
      <c r="S204" s="74"/>
      <c r="T204" s="38"/>
      <c r="U204" s="38"/>
      <c r="V204" s="99"/>
    </row>
    <row r="205" spans="16:22" ht="15.75">
      <c r="P205" s="144"/>
      <c r="Q205" s="144"/>
      <c r="R205" s="144"/>
      <c r="S205" s="97"/>
      <c r="T205" s="38"/>
      <c r="U205" s="38"/>
      <c r="V205" s="99"/>
    </row>
    <row r="206" spans="16:22">
      <c r="P206" s="94"/>
      <c r="Q206" s="94"/>
      <c r="R206" s="94"/>
      <c r="S206" s="94"/>
      <c r="T206" s="41"/>
      <c r="U206" s="41"/>
      <c r="V206" s="100"/>
    </row>
    <row r="207" spans="16:22">
      <c r="P207" s="145"/>
      <c r="Q207" s="146"/>
      <c r="R207" s="147"/>
      <c r="S207" s="51"/>
      <c r="T207" s="51"/>
      <c r="U207" s="147"/>
      <c r="V207" s="103"/>
    </row>
    <row r="208" spans="16:22">
      <c r="P208" s="148"/>
      <c r="Q208" s="148"/>
      <c r="R208" s="148"/>
      <c r="S208" s="132"/>
      <c r="T208" s="67"/>
      <c r="U208" s="67"/>
      <c r="V208" s="108"/>
    </row>
    <row r="209" spans="16:22">
      <c r="P209" s="148"/>
      <c r="Q209" s="148"/>
      <c r="R209" s="148"/>
      <c r="S209" s="149"/>
      <c r="T209" s="67"/>
      <c r="U209" s="67"/>
      <c r="V209" s="108"/>
    </row>
    <row r="210" spans="16:22">
      <c r="P210" s="51"/>
      <c r="Q210" s="150"/>
      <c r="R210" s="51"/>
      <c r="S210" s="151"/>
      <c r="T210" s="67"/>
      <c r="U210" s="67"/>
      <c r="V210" s="108"/>
    </row>
    <row r="211" spans="16:22">
      <c r="P211" s="148"/>
      <c r="Q211" s="152"/>
      <c r="R211" s="148"/>
      <c r="S211" s="132"/>
      <c r="T211" s="67"/>
      <c r="U211" s="67"/>
      <c r="V211" s="108"/>
    </row>
    <row r="212" spans="16:22">
      <c r="P212" s="51"/>
      <c r="Q212" s="130"/>
      <c r="R212" s="131"/>
      <c r="S212" s="132"/>
      <c r="T212" s="67"/>
      <c r="U212" s="67"/>
      <c r="V212" s="108"/>
    </row>
    <row r="213" spans="16:22">
      <c r="P213" s="94"/>
      <c r="Q213" s="94"/>
      <c r="R213" s="94"/>
      <c r="S213" s="134"/>
      <c r="T213" s="41"/>
      <c r="U213" s="41"/>
      <c r="V213" s="153"/>
    </row>
    <row r="214" spans="16:22">
      <c r="P214" s="94"/>
      <c r="Q214" s="94"/>
      <c r="R214" s="94"/>
      <c r="S214" s="138"/>
      <c r="T214" s="41"/>
      <c r="U214" s="41"/>
      <c r="V214" s="153"/>
    </row>
    <row r="215" spans="16:22">
      <c r="P215" s="113"/>
      <c r="Q215" s="113"/>
      <c r="R215" s="113"/>
      <c r="S215" s="51"/>
      <c r="T215" s="51"/>
      <c r="U215" s="51"/>
      <c r="V215" s="51"/>
    </row>
    <row r="216" spans="16:22">
      <c r="P216" s="113"/>
      <c r="Q216" s="113"/>
      <c r="R216" s="113"/>
      <c r="S216" s="94"/>
      <c r="T216" s="41"/>
      <c r="U216" s="41"/>
      <c r="V216" s="153"/>
    </row>
    <row r="217" spans="16:22">
      <c r="P217" s="94"/>
      <c r="Q217" s="94"/>
      <c r="R217" s="94"/>
      <c r="S217" s="96"/>
      <c r="T217" s="41"/>
      <c r="U217" s="41"/>
      <c r="V217" s="153"/>
    </row>
    <row r="219" spans="16:22">
      <c r="P219" s="148"/>
      <c r="Q219" s="148"/>
      <c r="R219" s="148"/>
      <c r="S219" s="132"/>
      <c r="T219" s="67"/>
      <c r="U219" s="67"/>
      <c r="V219" s="108"/>
    </row>
    <row r="220" spans="16:22">
      <c r="P220" s="148"/>
      <c r="Q220" s="148"/>
      <c r="R220" s="148"/>
      <c r="S220" s="149"/>
      <c r="T220" s="67"/>
      <c r="U220" s="67"/>
      <c r="V220" s="108"/>
    </row>
    <row r="221" spans="16:22">
      <c r="P221" s="51"/>
      <c r="Q221" s="150"/>
      <c r="R221" s="51"/>
      <c r="S221" s="151"/>
      <c r="T221" s="67"/>
      <c r="U221" s="67"/>
      <c r="V221" s="108"/>
    </row>
    <row r="222" spans="16:22">
      <c r="P222" s="139"/>
      <c r="Q222" s="139"/>
      <c r="R222" s="139"/>
      <c r="S222" s="140"/>
      <c r="T222" s="123"/>
      <c r="U222" s="141"/>
      <c r="V222" s="158"/>
    </row>
    <row r="223" spans="16:22">
      <c r="P223" s="67"/>
      <c r="Q223" s="67"/>
      <c r="R223" s="67"/>
      <c r="S223" s="140"/>
      <c r="T223" s="123"/>
      <c r="U223" s="67"/>
      <c r="V223" s="158"/>
    </row>
    <row r="224" spans="16:22">
      <c r="P224" s="142"/>
      <c r="Q224" s="142"/>
      <c r="R224" s="142"/>
      <c r="S224" s="140"/>
      <c r="T224" s="123"/>
      <c r="U224" s="67"/>
      <c r="V224" s="158"/>
    </row>
    <row r="225" spans="16:22">
      <c r="P225" s="143"/>
      <c r="Q225" s="143"/>
      <c r="R225" s="143"/>
      <c r="S225" s="140"/>
      <c r="T225" s="124"/>
      <c r="U225" s="67"/>
      <c r="V225" s="158"/>
    </row>
    <row r="226" spans="16:22">
      <c r="P226" s="97"/>
      <c r="Q226" s="97"/>
      <c r="R226" s="97"/>
      <c r="S226" s="74"/>
      <c r="T226" s="38"/>
      <c r="U226" s="38"/>
      <c r="V226" s="99"/>
    </row>
    <row r="227" spans="16:22" ht="15.75">
      <c r="P227" s="144"/>
      <c r="Q227" s="144"/>
      <c r="R227" s="144"/>
      <c r="S227" s="97"/>
      <c r="T227" s="38"/>
      <c r="U227" s="38"/>
      <c r="V227" s="99"/>
    </row>
    <row r="228" spans="16:22">
      <c r="P228" s="94"/>
      <c r="Q228" s="94"/>
      <c r="R228" s="94"/>
      <c r="S228" s="94"/>
      <c r="T228" s="41"/>
      <c r="U228" s="41"/>
      <c r="V228" s="100"/>
    </row>
    <row r="229" spans="16:22">
      <c r="P229" s="145"/>
      <c r="Q229" s="146"/>
      <c r="R229" s="147"/>
      <c r="S229" s="51"/>
      <c r="T229" s="51"/>
      <c r="U229" s="147"/>
      <c r="V229" s="103"/>
    </row>
    <row r="230" spans="16:22">
      <c r="P230" s="148"/>
      <c r="Q230" s="148"/>
      <c r="R230" s="148"/>
      <c r="S230" s="132"/>
      <c r="T230" s="67"/>
      <c r="U230" s="67"/>
      <c r="V230" s="108"/>
    </row>
    <row r="231" spans="16:22">
      <c r="P231" s="148"/>
      <c r="Q231" s="148"/>
      <c r="R231" s="148"/>
      <c r="S231" s="149"/>
      <c r="T231" s="67"/>
      <c r="U231" s="67"/>
      <c r="V231" s="108"/>
    </row>
    <row r="232" spans="16:22">
      <c r="P232" s="51"/>
      <c r="Q232" s="150"/>
      <c r="R232" s="51"/>
      <c r="S232" s="151"/>
      <c r="T232" s="67"/>
      <c r="U232" s="67"/>
      <c r="V232" s="108"/>
    </row>
    <row r="233" spans="16:22">
      <c r="P233" s="148"/>
      <c r="Q233" s="152"/>
      <c r="R233" s="148"/>
      <c r="S233" s="132"/>
      <c r="T233" s="67"/>
      <c r="U233" s="67"/>
      <c r="V233" s="108"/>
    </row>
    <row r="234" spans="16:22">
      <c r="P234" s="51"/>
      <c r="Q234" s="130"/>
      <c r="R234" s="131"/>
      <c r="S234" s="132"/>
      <c r="T234" s="67"/>
      <c r="U234" s="67"/>
      <c r="V234" s="108"/>
    </row>
    <row r="235" spans="16:22">
      <c r="P235" s="94"/>
      <c r="Q235" s="94"/>
      <c r="R235" s="94"/>
      <c r="S235" s="134"/>
      <c r="T235" s="41"/>
      <c r="U235" s="41"/>
      <c r="V235" s="153"/>
    </row>
    <row r="236" spans="16:22">
      <c r="P236" s="94"/>
      <c r="Q236" s="94"/>
      <c r="R236" s="94"/>
      <c r="S236" s="138"/>
      <c r="T236" s="41"/>
      <c r="U236" s="41"/>
      <c r="V236" s="153"/>
    </row>
    <row r="237" spans="16:22">
      <c r="P237" s="113"/>
      <c r="Q237" s="113"/>
      <c r="R237" s="113"/>
      <c r="S237" s="51"/>
      <c r="T237" s="51"/>
      <c r="U237" s="51"/>
      <c r="V237" s="51"/>
    </row>
    <row r="238" spans="16:22">
      <c r="P238" s="113"/>
      <c r="Q238" s="113"/>
      <c r="R238" s="113"/>
      <c r="S238" s="94"/>
      <c r="T238" s="41"/>
      <c r="U238" s="41"/>
      <c r="V238" s="153"/>
    </row>
    <row r="239" spans="16:22">
      <c r="P239" s="94"/>
      <c r="Q239" s="94"/>
      <c r="R239" s="94"/>
      <c r="S239" s="96"/>
      <c r="T239" s="41"/>
      <c r="U239" s="41"/>
      <c r="V239" s="153"/>
    </row>
    <row r="248" spans="16:22">
      <c r="P248" s="51"/>
      <c r="Q248" s="130"/>
      <c r="R248" s="131"/>
      <c r="S248" s="132"/>
      <c r="T248" s="67"/>
      <c r="U248" s="67"/>
      <c r="V248" s="108"/>
    </row>
    <row r="249" spans="16:22">
      <c r="P249" s="94"/>
      <c r="Q249" s="94"/>
      <c r="R249" s="94"/>
      <c r="S249" s="134"/>
      <c r="T249" s="41"/>
      <c r="U249" s="41"/>
      <c r="V249" s="153"/>
    </row>
    <row r="250" spans="16:22">
      <c r="P250" s="94"/>
      <c r="Q250" s="94"/>
      <c r="R250" s="94"/>
      <c r="S250" s="138"/>
      <c r="T250" s="41"/>
      <c r="U250" s="41"/>
      <c r="V250" s="153"/>
    </row>
    <row r="251" spans="16:22">
      <c r="P251" s="139"/>
      <c r="Q251" s="139"/>
      <c r="R251" s="139"/>
      <c r="S251" s="140"/>
      <c r="T251" s="123"/>
      <c r="U251" s="141"/>
      <c r="V251" s="158"/>
    </row>
    <row r="252" spans="16:22">
      <c r="P252" s="67"/>
      <c r="Q252" s="67"/>
      <c r="R252" s="67"/>
      <c r="S252" s="140"/>
      <c r="T252" s="123"/>
      <c r="U252" s="141"/>
      <c r="V252" s="158"/>
    </row>
    <row r="253" spans="16:22">
      <c r="P253" s="142"/>
      <c r="Q253" s="142"/>
      <c r="R253" s="142"/>
      <c r="S253" s="140"/>
      <c r="T253" s="123"/>
      <c r="U253" s="160"/>
      <c r="V253" s="158"/>
    </row>
    <row r="254" spans="16:22">
      <c r="P254" s="143"/>
      <c r="Q254" s="143"/>
      <c r="R254" s="143"/>
      <c r="S254" s="140"/>
      <c r="T254" s="124"/>
      <c r="U254" s="141"/>
      <c r="V254" s="158"/>
    </row>
    <row r="255" spans="16:22">
      <c r="P255" s="97"/>
      <c r="Q255" s="97"/>
      <c r="R255" s="97"/>
      <c r="S255" s="74"/>
      <c r="T255" s="38"/>
      <c r="U255" s="38"/>
      <c r="V255" s="99"/>
    </row>
    <row r="256" spans="16:22" ht="15.75">
      <c r="P256" s="144"/>
      <c r="Q256" s="144"/>
      <c r="R256" s="144"/>
      <c r="S256" s="97"/>
      <c r="T256" s="38"/>
      <c r="U256" s="38"/>
      <c r="V256" s="99"/>
    </row>
    <row r="257" spans="16:22">
      <c r="P257" s="94"/>
      <c r="Q257" s="94"/>
      <c r="R257" s="94"/>
      <c r="S257" s="94"/>
      <c r="T257" s="41"/>
      <c r="U257" s="41"/>
      <c r="V257" s="100"/>
    </row>
    <row r="258" spans="16:22">
      <c r="P258" s="145"/>
      <c r="Q258" s="146"/>
      <c r="R258" s="147"/>
      <c r="S258" s="51"/>
      <c r="T258" s="51"/>
      <c r="U258" s="147"/>
      <c r="V258" s="103"/>
    </row>
    <row r="259" spans="16:22">
      <c r="P259" s="148"/>
      <c r="Q259" s="148"/>
      <c r="R259" s="148"/>
      <c r="S259" s="132"/>
      <c r="T259" s="67"/>
      <c r="U259" s="67"/>
      <c r="V259" s="108"/>
    </row>
    <row r="260" spans="16:22">
      <c r="P260" s="148"/>
      <c r="Q260" s="148"/>
      <c r="R260" s="148"/>
      <c r="S260" s="149"/>
      <c r="T260" s="67"/>
      <c r="U260" s="67"/>
      <c r="V260" s="108"/>
    </row>
    <row r="261" spans="16:22">
      <c r="P261" s="51"/>
      <c r="Q261" s="150"/>
      <c r="R261" s="51"/>
      <c r="S261" s="151"/>
      <c r="T261" s="67"/>
      <c r="U261" s="67"/>
      <c r="V261" s="108"/>
    </row>
    <row r="262" spans="16:22">
      <c r="P262" s="148"/>
      <c r="Q262" s="152"/>
      <c r="R262" s="148"/>
      <c r="S262" s="132"/>
      <c r="T262" s="67"/>
      <c r="U262" s="67"/>
      <c r="V262" s="108"/>
    </row>
    <row r="263" spans="16:22">
      <c r="P263" s="51"/>
      <c r="Q263" s="130"/>
      <c r="R263" s="131"/>
      <c r="S263" s="132"/>
      <c r="T263" s="67"/>
      <c r="U263" s="67"/>
      <c r="V263" s="108"/>
    </row>
    <row r="264" spans="16:22">
      <c r="P264" s="94"/>
      <c r="Q264" s="94"/>
      <c r="R264" s="94"/>
      <c r="S264" s="134"/>
      <c r="T264" s="41"/>
      <c r="U264" s="41"/>
      <c r="V264" s="153"/>
    </row>
    <row r="265" spans="16:22">
      <c r="P265" s="94"/>
      <c r="Q265" s="94"/>
      <c r="R265" s="94"/>
      <c r="S265" s="138"/>
      <c r="T265" s="41"/>
      <c r="U265" s="41"/>
      <c r="V265" s="153"/>
    </row>
    <row r="266" spans="16:22">
      <c r="P266" s="113"/>
      <c r="Q266" s="113"/>
      <c r="R266" s="113"/>
      <c r="S266" s="51"/>
      <c r="T266" s="51"/>
      <c r="U266" s="51"/>
      <c r="V266" s="51"/>
    </row>
    <row r="267" spans="16:22">
      <c r="P267" s="113"/>
      <c r="Q267" s="113"/>
      <c r="R267" s="113"/>
      <c r="S267" s="94"/>
      <c r="T267" s="41"/>
      <c r="U267" s="41"/>
      <c r="V267" s="153"/>
    </row>
    <row r="268" spans="16:22">
      <c r="P268" s="94"/>
      <c r="Q268" s="94"/>
      <c r="R268" s="94"/>
      <c r="S268" s="96"/>
      <c r="T268" s="41"/>
      <c r="U268" s="41"/>
      <c r="V268" s="153"/>
    </row>
    <row r="270" spans="16:22">
      <c r="P270" s="51"/>
      <c r="Q270" s="130"/>
      <c r="R270" s="131"/>
      <c r="S270" s="132"/>
      <c r="T270" s="67"/>
      <c r="U270" s="67"/>
      <c r="V270" s="108"/>
    </row>
    <row r="271" spans="16:22">
      <c r="P271" s="94"/>
      <c r="Q271" s="94"/>
      <c r="R271" s="94"/>
      <c r="S271" s="134"/>
      <c r="T271" s="41"/>
      <c r="U271" s="41"/>
      <c r="V271" s="153"/>
    </row>
    <row r="272" spans="16:22">
      <c r="P272" s="94"/>
      <c r="Q272" s="94"/>
      <c r="R272" s="94"/>
      <c r="S272" s="138"/>
      <c r="T272" s="41"/>
      <c r="U272" s="41"/>
      <c r="V272" s="153"/>
    </row>
    <row r="273" spans="16:22">
      <c r="P273" s="139"/>
      <c r="Q273" s="139"/>
      <c r="R273" s="139"/>
      <c r="S273" s="140"/>
      <c r="T273" s="123"/>
      <c r="U273" s="141"/>
      <c r="V273" s="158"/>
    </row>
    <row r="274" spans="16:22">
      <c r="P274" s="67"/>
      <c r="Q274" s="67"/>
      <c r="R274" s="67"/>
      <c r="S274" s="140"/>
      <c r="T274" s="123"/>
      <c r="U274" s="141"/>
      <c r="V274" s="158"/>
    </row>
    <row r="275" spans="16:22">
      <c r="P275" s="142"/>
      <c r="Q275" s="142"/>
      <c r="R275" s="142"/>
      <c r="S275" s="140"/>
      <c r="T275" s="123"/>
      <c r="U275" s="160"/>
      <c r="V275" s="158"/>
    </row>
    <row r="276" spans="16:22">
      <c r="P276" s="143"/>
      <c r="Q276" s="143"/>
      <c r="R276" s="143"/>
      <c r="S276" s="140"/>
      <c r="T276" s="124"/>
      <c r="U276" s="141"/>
      <c r="V276" s="158"/>
    </row>
    <row r="277" spans="16:22">
      <c r="P277" s="97"/>
      <c r="Q277" s="97"/>
      <c r="R277" s="97"/>
      <c r="S277" s="74"/>
      <c r="T277" s="38"/>
      <c r="U277" s="38"/>
      <c r="V277" s="99"/>
    </row>
    <row r="278" spans="16:22" ht="15.75">
      <c r="P278" s="144"/>
      <c r="Q278" s="144"/>
      <c r="R278" s="144"/>
      <c r="S278" s="97"/>
      <c r="T278" s="38"/>
      <c r="U278" s="38"/>
      <c r="V278" s="99"/>
    </row>
    <row r="279" spans="16:22">
      <c r="P279" s="94"/>
      <c r="Q279" s="94"/>
      <c r="R279" s="94"/>
      <c r="S279" s="94"/>
      <c r="T279" s="41"/>
      <c r="U279" s="41"/>
      <c r="V279" s="100"/>
    </row>
    <row r="280" spans="16:22">
      <c r="P280" s="145"/>
      <c r="Q280" s="146"/>
      <c r="R280" s="147"/>
      <c r="S280" s="51"/>
      <c r="T280" s="51"/>
      <c r="U280" s="147"/>
      <c r="V280" s="103"/>
    </row>
    <row r="281" spans="16:22">
      <c r="P281" s="148"/>
      <c r="Q281" s="148"/>
      <c r="R281" s="148"/>
      <c r="S281" s="132"/>
      <c r="T281" s="67"/>
      <c r="U281" s="67"/>
      <c r="V281" s="108"/>
    </row>
    <row r="282" spans="16:22">
      <c r="P282" s="148"/>
      <c r="Q282" s="148"/>
      <c r="R282" s="148"/>
      <c r="S282" s="149"/>
      <c r="T282" s="67"/>
      <c r="U282" s="67"/>
      <c r="V282" s="108"/>
    </row>
    <row r="283" spans="16:22">
      <c r="P283" s="51"/>
      <c r="Q283" s="150"/>
      <c r="R283" s="51"/>
      <c r="S283" s="151"/>
      <c r="T283" s="67"/>
      <c r="U283" s="67"/>
      <c r="V283" s="108"/>
    </row>
    <row r="284" spans="16:22">
      <c r="P284" s="148"/>
      <c r="Q284" s="152"/>
      <c r="R284" s="148"/>
      <c r="S284" s="132"/>
      <c r="T284" s="67"/>
      <c r="U284" s="67"/>
      <c r="V284" s="108"/>
    </row>
    <row r="285" spans="16:22">
      <c r="P285" s="51"/>
      <c r="Q285" s="130"/>
      <c r="R285" s="131"/>
      <c r="S285" s="132"/>
      <c r="T285" s="67"/>
      <c r="U285" s="67"/>
      <c r="V285" s="108"/>
    </row>
    <row r="286" spans="16:22">
      <c r="P286" s="94"/>
      <c r="Q286" s="94"/>
      <c r="R286" s="94"/>
      <c r="S286" s="134"/>
      <c r="T286" s="41"/>
      <c r="U286" s="41"/>
      <c r="V286" s="153"/>
    </row>
    <row r="287" spans="16:22">
      <c r="P287" s="94"/>
      <c r="Q287" s="94"/>
      <c r="R287" s="94"/>
      <c r="S287" s="138"/>
      <c r="T287" s="41"/>
      <c r="U287" s="41"/>
      <c r="V287" s="153"/>
    </row>
    <row r="288" spans="16:22">
      <c r="P288" s="113"/>
      <c r="Q288" s="113"/>
      <c r="R288" s="113"/>
      <c r="S288" s="51"/>
      <c r="T288" s="51"/>
      <c r="U288" s="51"/>
      <c r="V288" s="51"/>
    </row>
    <row r="289" spans="16:22">
      <c r="P289" s="113"/>
      <c r="Q289" s="113"/>
      <c r="R289" s="113"/>
      <c r="S289" s="94"/>
      <c r="T289" s="41"/>
      <c r="U289" s="41"/>
      <c r="V289" s="153"/>
    </row>
    <row r="290" spans="16:22">
      <c r="P290" s="94"/>
      <c r="Q290" s="94"/>
      <c r="R290" s="94"/>
      <c r="S290" s="96"/>
      <c r="T290" s="41"/>
      <c r="U290" s="41"/>
      <c r="V290" s="153"/>
    </row>
    <row r="291" spans="16:22">
      <c r="P291" s="51"/>
      <c r="Q291" s="51"/>
      <c r="R291" s="51"/>
      <c r="S291" s="51"/>
      <c r="T291" s="51"/>
      <c r="U291" s="51"/>
      <c r="V291" s="51"/>
    </row>
  </sheetData>
  <mergeCells count="12">
    <mergeCell ref="M45:Q45"/>
    <mergeCell ref="M10:N10"/>
    <mergeCell ref="A3:E3"/>
    <mergeCell ref="G3:K3"/>
    <mergeCell ref="M3:V3"/>
    <mergeCell ref="M4:N5"/>
    <mergeCell ref="O4:V4"/>
    <mergeCell ref="A23:E23"/>
    <mergeCell ref="G23:K23"/>
    <mergeCell ref="M24:Q24"/>
    <mergeCell ref="A44:E44"/>
    <mergeCell ref="G44:K44"/>
  </mergeCells>
  <pageMargins left="0.25" right="0.25" top="0.75" bottom="0.75" header="0.3" footer="0.3"/>
  <pageSetup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35"/>
  <sheetViews>
    <sheetView workbookViewId="0">
      <selection activeCell="P3" sqref="P3:AB26"/>
    </sheetView>
  </sheetViews>
  <sheetFormatPr defaultRowHeight="15"/>
  <cols>
    <col min="1" max="1" width="1.5703125" customWidth="1"/>
    <col min="2" max="2" width="27.85546875" hidden="1" customWidth="1"/>
    <col min="3" max="3" width="12.28515625" hidden="1" customWidth="1"/>
    <col min="4" max="5" width="0" hidden="1" customWidth="1"/>
    <col min="6" max="6" width="14" hidden="1" customWidth="1"/>
    <col min="7" max="7" width="4.5703125" hidden="1" customWidth="1"/>
    <col min="8" max="8" width="32.28515625" hidden="1" customWidth="1"/>
    <col min="9" max="9" width="8.42578125" hidden="1" customWidth="1"/>
    <col min="10" max="10" width="12.140625" hidden="1" customWidth="1"/>
    <col min="11" max="11" width="11.140625" hidden="1" customWidth="1"/>
    <col min="12" max="12" width="14" hidden="1" customWidth="1"/>
    <col min="13" max="14" width="0" hidden="1" customWidth="1"/>
    <col min="15" max="15" width="10" bestFit="1" customWidth="1"/>
    <col min="16" max="16" width="21.42578125" bestFit="1" customWidth="1"/>
    <col min="17" max="17" width="10.5703125" bestFit="1" customWidth="1"/>
    <col min="22" max="22" width="4.7109375" customWidth="1"/>
    <col min="24" max="24" width="36.140625" bestFit="1" customWidth="1"/>
    <col min="25" max="26" width="12" bestFit="1" customWidth="1"/>
    <col min="28" max="28" width="12.5703125" bestFit="1" customWidth="1"/>
    <col min="258" max="258" width="27.85546875" customWidth="1"/>
    <col min="259" max="259" width="12.28515625" customWidth="1"/>
    <col min="262" max="262" width="14" customWidth="1"/>
    <col min="514" max="514" width="27.85546875" customWidth="1"/>
    <col min="515" max="515" width="12.28515625" customWidth="1"/>
    <col min="518" max="518" width="14" customWidth="1"/>
    <col min="770" max="770" width="27.85546875" customWidth="1"/>
    <col min="771" max="771" width="12.28515625" customWidth="1"/>
    <col min="774" max="774" width="14" customWidth="1"/>
    <col min="1026" max="1026" width="27.85546875" customWidth="1"/>
    <col min="1027" max="1027" width="12.28515625" customWidth="1"/>
    <col min="1030" max="1030" width="14" customWidth="1"/>
    <col min="1282" max="1282" width="27.85546875" customWidth="1"/>
    <col min="1283" max="1283" width="12.28515625" customWidth="1"/>
    <col min="1286" max="1286" width="14" customWidth="1"/>
    <col min="1538" max="1538" width="27.85546875" customWidth="1"/>
    <col min="1539" max="1539" width="12.28515625" customWidth="1"/>
    <col min="1542" max="1542" width="14" customWidth="1"/>
    <col min="1794" max="1794" width="27.85546875" customWidth="1"/>
    <col min="1795" max="1795" width="12.28515625" customWidth="1"/>
    <col min="1798" max="1798" width="14" customWidth="1"/>
    <col min="2050" max="2050" width="27.85546875" customWidth="1"/>
    <col min="2051" max="2051" width="12.28515625" customWidth="1"/>
    <col min="2054" max="2054" width="14" customWidth="1"/>
    <col min="2306" max="2306" width="27.85546875" customWidth="1"/>
    <col min="2307" max="2307" width="12.28515625" customWidth="1"/>
    <col min="2310" max="2310" width="14" customWidth="1"/>
    <col min="2562" max="2562" width="27.85546875" customWidth="1"/>
    <col min="2563" max="2563" width="12.28515625" customWidth="1"/>
    <col min="2566" max="2566" width="14" customWidth="1"/>
    <col min="2818" max="2818" width="27.85546875" customWidth="1"/>
    <col min="2819" max="2819" width="12.28515625" customWidth="1"/>
    <col min="2822" max="2822" width="14" customWidth="1"/>
    <col min="3074" max="3074" width="27.85546875" customWidth="1"/>
    <col min="3075" max="3075" width="12.28515625" customWidth="1"/>
    <col min="3078" max="3078" width="14" customWidth="1"/>
    <col min="3330" max="3330" width="27.85546875" customWidth="1"/>
    <col min="3331" max="3331" width="12.28515625" customWidth="1"/>
    <col min="3334" max="3334" width="14" customWidth="1"/>
    <col min="3586" max="3586" width="27.85546875" customWidth="1"/>
    <col min="3587" max="3587" width="12.28515625" customWidth="1"/>
    <col min="3590" max="3590" width="14" customWidth="1"/>
    <col min="3842" max="3842" width="27.85546875" customWidth="1"/>
    <col min="3843" max="3843" width="12.28515625" customWidth="1"/>
    <col min="3846" max="3846" width="14" customWidth="1"/>
    <col min="4098" max="4098" width="27.85546875" customWidth="1"/>
    <col min="4099" max="4099" width="12.28515625" customWidth="1"/>
    <col min="4102" max="4102" width="14" customWidth="1"/>
    <col min="4354" max="4354" width="27.85546875" customWidth="1"/>
    <col min="4355" max="4355" width="12.28515625" customWidth="1"/>
    <col min="4358" max="4358" width="14" customWidth="1"/>
    <col min="4610" max="4610" width="27.85546875" customWidth="1"/>
    <col min="4611" max="4611" width="12.28515625" customWidth="1"/>
    <col min="4614" max="4614" width="14" customWidth="1"/>
    <col min="4866" max="4866" width="27.85546875" customWidth="1"/>
    <col min="4867" max="4867" width="12.28515625" customWidth="1"/>
    <col min="4870" max="4870" width="14" customWidth="1"/>
    <col min="5122" max="5122" width="27.85546875" customWidth="1"/>
    <col min="5123" max="5123" width="12.28515625" customWidth="1"/>
    <col min="5126" max="5126" width="14" customWidth="1"/>
    <col min="5378" max="5378" width="27.85546875" customWidth="1"/>
    <col min="5379" max="5379" width="12.28515625" customWidth="1"/>
    <col min="5382" max="5382" width="14" customWidth="1"/>
    <col min="5634" max="5634" width="27.85546875" customWidth="1"/>
    <col min="5635" max="5635" width="12.28515625" customWidth="1"/>
    <col min="5638" max="5638" width="14" customWidth="1"/>
    <col min="5890" max="5890" width="27.85546875" customWidth="1"/>
    <col min="5891" max="5891" width="12.28515625" customWidth="1"/>
    <col min="5894" max="5894" width="14" customWidth="1"/>
    <col min="6146" max="6146" width="27.85546875" customWidth="1"/>
    <col min="6147" max="6147" width="12.28515625" customWidth="1"/>
    <col min="6150" max="6150" width="14" customWidth="1"/>
    <col min="6402" max="6402" width="27.85546875" customWidth="1"/>
    <col min="6403" max="6403" width="12.28515625" customWidth="1"/>
    <col min="6406" max="6406" width="14" customWidth="1"/>
    <col min="6658" max="6658" width="27.85546875" customWidth="1"/>
    <col min="6659" max="6659" width="12.28515625" customWidth="1"/>
    <col min="6662" max="6662" width="14" customWidth="1"/>
    <col min="6914" max="6914" width="27.85546875" customWidth="1"/>
    <col min="6915" max="6915" width="12.28515625" customWidth="1"/>
    <col min="6918" max="6918" width="14" customWidth="1"/>
    <col min="7170" max="7170" width="27.85546875" customWidth="1"/>
    <col min="7171" max="7171" width="12.28515625" customWidth="1"/>
    <col min="7174" max="7174" width="14" customWidth="1"/>
    <col min="7426" max="7426" width="27.85546875" customWidth="1"/>
    <col min="7427" max="7427" width="12.28515625" customWidth="1"/>
    <col min="7430" max="7430" width="14" customWidth="1"/>
    <col min="7682" max="7682" width="27.85546875" customWidth="1"/>
    <col min="7683" max="7683" width="12.28515625" customWidth="1"/>
    <col min="7686" max="7686" width="14" customWidth="1"/>
    <col min="7938" max="7938" width="27.85546875" customWidth="1"/>
    <col min="7939" max="7939" width="12.28515625" customWidth="1"/>
    <col min="7942" max="7942" width="14" customWidth="1"/>
    <col min="8194" max="8194" width="27.85546875" customWidth="1"/>
    <col min="8195" max="8195" width="12.28515625" customWidth="1"/>
    <col min="8198" max="8198" width="14" customWidth="1"/>
    <col min="8450" max="8450" width="27.85546875" customWidth="1"/>
    <col min="8451" max="8451" width="12.28515625" customWidth="1"/>
    <col min="8454" max="8454" width="14" customWidth="1"/>
    <col min="8706" max="8706" width="27.85546875" customWidth="1"/>
    <col min="8707" max="8707" width="12.28515625" customWidth="1"/>
    <col min="8710" max="8710" width="14" customWidth="1"/>
    <col min="8962" max="8962" width="27.85546875" customWidth="1"/>
    <col min="8963" max="8963" width="12.28515625" customWidth="1"/>
    <col min="8966" max="8966" width="14" customWidth="1"/>
    <col min="9218" max="9218" width="27.85546875" customWidth="1"/>
    <col min="9219" max="9219" width="12.28515625" customWidth="1"/>
    <col min="9222" max="9222" width="14" customWidth="1"/>
    <col min="9474" max="9474" width="27.85546875" customWidth="1"/>
    <col min="9475" max="9475" width="12.28515625" customWidth="1"/>
    <col min="9478" max="9478" width="14" customWidth="1"/>
    <col min="9730" max="9730" width="27.85546875" customWidth="1"/>
    <col min="9731" max="9731" width="12.28515625" customWidth="1"/>
    <col min="9734" max="9734" width="14" customWidth="1"/>
    <col min="9986" max="9986" width="27.85546875" customWidth="1"/>
    <col min="9987" max="9987" width="12.28515625" customWidth="1"/>
    <col min="9990" max="9990" width="14" customWidth="1"/>
    <col min="10242" max="10242" width="27.85546875" customWidth="1"/>
    <col min="10243" max="10243" width="12.28515625" customWidth="1"/>
    <col min="10246" max="10246" width="14" customWidth="1"/>
    <col min="10498" max="10498" width="27.85546875" customWidth="1"/>
    <col min="10499" max="10499" width="12.28515625" customWidth="1"/>
    <col min="10502" max="10502" width="14" customWidth="1"/>
    <col min="10754" max="10754" width="27.85546875" customWidth="1"/>
    <col min="10755" max="10755" width="12.28515625" customWidth="1"/>
    <col min="10758" max="10758" width="14" customWidth="1"/>
    <col min="11010" max="11010" width="27.85546875" customWidth="1"/>
    <col min="11011" max="11011" width="12.28515625" customWidth="1"/>
    <col min="11014" max="11014" width="14" customWidth="1"/>
    <col min="11266" max="11266" width="27.85546875" customWidth="1"/>
    <col min="11267" max="11267" width="12.28515625" customWidth="1"/>
    <col min="11270" max="11270" width="14" customWidth="1"/>
    <col min="11522" max="11522" width="27.85546875" customWidth="1"/>
    <col min="11523" max="11523" width="12.28515625" customWidth="1"/>
    <col min="11526" max="11526" width="14" customWidth="1"/>
    <col min="11778" max="11778" width="27.85546875" customWidth="1"/>
    <col min="11779" max="11779" width="12.28515625" customWidth="1"/>
    <col min="11782" max="11782" width="14" customWidth="1"/>
    <col min="12034" max="12034" width="27.85546875" customWidth="1"/>
    <col min="12035" max="12035" width="12.28515625" customWidth="1"/>
    <col min="12038" max="12038" width="14" customWidth="1"/>
    <col min="12290" max="12290" width="27.85546875" customWidth="1"/>
    <col min="12291" max="12291" width="12.28515625" customWidth="1"/>
    <col min="12294" max="12294" width="14" customWidth="1"/>
    <col min="12546" max="12546" width="27.85546875" customWidth="1"/>
    <col min="12547" max="12547" width="12.28515625" customWidth="1"/>
    <col min="12550" max="12550" width="14" customWidth="1"/>
    <col min="12802" max="12802" width="27.85546875" customWidth="1"/>
    <col min="12803" max="12803" width="12.28515625" customWidth="1"/>
    <col min="12806" max="12806" width="14" customWidth="1"/>
    <col min="13058" max="13058" width="27.85546875" customWidth="1"/>
    <col min="13059" max="13059" width="12.28515625" customWidth="1"/>
    <col min="13062" max="13062" width="14" customWidth="1"/>
    <col min="13314" max="13314" width="27.85546875" customWidth="1"/>
    <col min="13315" max="13315" width="12.28515625" customWidth="1"/>
    <col min="13318" max="13318" width="14" customWidth="1"/>
    <col min="13570" max="13570" width="27.85546875" customWidth="1"/>
    <col min="13571" max="13571" width="12.28515625" customWidth="1"/>
    <col min="13574" max="13574" width="14" customWidth="1"/>
    <col min="13826" max="13826" width="27.85546875" customWidth="1"/>
    <col min="13827" max="13827" width="12.28515625" customWidth="1"/>
    <col min="13830" max="13830" width="14" customWidth="1"/>
    <col min="14082" max="14082" width="27.85546875" customWidth="1"/>
    <col min="14083" max="14083" width="12.28515625" customWidth="1"/>
    <col min="14086" max="14086" width="14" customWidth="1"/>
    <col min="14338" max="14338" width="27.85546875" customWidth="1"/>
    <col min="14339" max="14339" width="12.28515625" customWidth="1"/>
    <col min="14342" max="14342" width="14" customWidth="1"/>
    <col min="14594" max="14594" width="27.85546875" customWidth="1"/>
    <col min="14595" max="14595" width="12.28515625" customWidth="1"/>
    <col min="14598" max="14598" width="14" customWidth="1"/>
    <col min="14850" max="14850" width="27.85546875" customWidth="1"/>
    <col min="14851" max="14851" width="12.28515625" customWidth="1"/>
    <col min="14854" max="14854" width="14" customWidth="1"/>
    <col min="15106" max="15106" width="27.85546875" customWidth="1"/>
    <col min="15107" max="15107" width="12.28515625" customWidth="1"/>
    <col min="15110" max="15110" width="14" customWidth="1"/>
    <col min="15362" max="15362" width="27.85546875" customWidth="1"/>
    <col min="15363" max="15363" width="12.28515625" customWidth="1"/>
    <col min="15366" max="15366" width="14" customWidth="1"/>
    <col min="15618" max="15618" width="27.85546875" customWidth="1"/>
    <col min="15619" max="15619" width="12.28515625" customWidth="1"/>
    <col min="15622" max="15622" width="14" customWidth="1"/>
    <col min="15874" max="15874" width="27.85546875" customWidth="1"/>
    <col min="15875" max="15875" width="12.28515625" customWidth="1"/>
    <col min="15878" max="15878" width="14" customWidth="1"/>
    <col min="16130" max="16130" width="27.85546875" customWidth="1"/>
    <col min="16131" max="16131" width="12.28515625" customWidth="1"/>
    <col min="16134" max="16134" width="14" customWidth="1"/>
  </cols>
  <sheetData>
    <row r="1" spans="1:28">
      <c r="A1" s="329"/>
      <c r="B1" s="169" t="s">
        <v>46</v>
      </c>
      <c r="C1" s="169"/>
      <c r="D1" s="170"/>
      <c r="E1" s="170"/>
      <c r="F1" s="170"/>
      <c r="H1" s="171"/>
    </row>
    <row r="2" spans="1:28">
      <c r="A2" s="329"/>
      <c r="B2" s="170" t="s">
        <v>47</v>
      </c>
      <c r="C2" s="170"/>
      <c r="D2" s="170"/>
      <c r="E2" s="170"/>
      <c r="F2" s="170"/>
      <c r="H2" s="701"/>
      <c r="I2" s="161"/>
      <c r="J2" s="161"/>
      <c r="K2" s="161"/>
      <c r="L2" s="161"/>
      <c r="M2" s="161">
        <v>11680</v>
      </c>
      <c r="N2" s="161"/>
      <c r="O2" s="161"/>
      <c r="P2" s="161"/>
      <c r="Q2" s="161"/>
      <c r="R2" s="161"/>
      <c r="S2" s="161"/>
      <c r="T2" s="161"/>
      <c r="U2" s="161"/>
      <c r="V2" s="161"/>
      <c r="W2" s="161"/>
    </row>
    <row r="3" spans="1:28" ht="15.75" thickBot="1">
      <c r="A3" s="329"/>
      <c r="B3" s="168"/>
      <c r="C3" s="168"/>
      <c r="D3" s="168"/>
      <c r="E3" s="168"/>
      <c r="F3" s="168"/>
      <c r="H3" s="427">
        <v>43522</v>
      </c>
      <c r="I3" s="161"/>
      <c r="J3" s="161"/>
      <c r="K3" s="161"/>
      <c r="L3" s="161"/>
      <c r="M3" s="161">
        <f>M2/L23</f>
        <v>365</v>
      </c>
      <c r="N3" s="161"/>
      <c r="O3" s="161"/>
      <c r="P3" s="161"/>
      <c r="Q3" s="161"/>
      <c r="R3" s="161"/>
      <c r="S3" s="161"/>
      <c r="T3" s="161"/>
      <c r="U3" s="161"/>
      <c r="V3" s="161"/>
      <c r="W3" s="161"/>
    </row>
    <row r="4" spans="1:28" ht="15.75" thickBot="1">
      <c r="A4" s="329"/>
      <c r="B4" s="170"/>
      <c r="C4" s="170"/>
      <c r="D4" s="170"/>
      <c r="E4" s="170"/>
      <c r="F4" s="170"/>
      <c r="H4" s="326" t="s">
        <v>46</v>
      </c>
      <c r="I4" s="327"/>
      <c r="J4" s="320"/>
      <c r="K4" s="320"/>
      <c r="L4" s="321"/>
      <c r="M4" s="161">
        <f>M2/M3</f>
        <v>32</v>
      </c>
      <c r="N4" s="161"/>
      <c r="O4" s="161"/>
      <c r="P4" s="855" t="s">
        <v>2</v>
      </c>
      <c r="Q4" s="856"/>
      <c r="R4" s="856"/>
      <c r="S4" s="856"/>
      <c r="T4" s="856"/>
      <c r="U4" s="856"/>
      <c r="V4" s="857"/>
      <c r="W4" s="161"/>
    </row>
    <row r="5" spans="1:28" ht="16.5" customHeight="1" thickBot="1">
      <c r="A5" s="329"/>
      <c r="B5" s="174"/>
      <c r="C5" s="175" t="s">
        <v>3</v>
      </c>
      <c r="D5" s="176" t="s">
        <v>48</v>
      </c>
      <c r="E5" s="176" t="s">
        <v>49</v>
      </c>
      <c r="F5" s="177" t="s">
        <v>6</v>
      </c>
      <c r="H5" s="322"/>
      <c r="I5" s="323" t="s">
        <v>3</v>
      </c>
      <c r="J5" s="324" t="s">
        <v>48</v>
      </c>
      <c r="K5" s="324" t="s">
        <v>49</v>
      </c>
      <c r="L5" s="325" t="s">
        <v>6</v>
      </c>
      <c r="M5" s="161"/>
      <c r="N5" s="161"/>
      <c r="O5" s="161"/>
      <c r="P5" s="858" t="s">
        <v>71</v>
      </c>
      <c r="Q5" s="859"/>
      <c r="R5" s="859"/>
      <c r="S5" s="859"/>
      <c r="T5" s="859"/>
      <c r="U5" s="859"/>
      <c r="V5" s="860"/>
      <c r="W5" s="161"/>
      <c r="X5" s="766" t="s">
        <v>306</v>
      </c>
    </row>
    <row r="6" spans="1:28" ht="15.75" thickBot="1">
      <c r="A6" s="329"/>
      <c r="B6" s="180" t="s">
        <v>9</v>
      </c>
      <c r="C6" s="181">
        <v>228.57142857142856</v>
      </c>
      <c r="D6" s="182">
        <v>54801.305737123301</v>
      </c>
      <c r="E6" s="183">
        <v>0.14000000000000001</v>
      </c>
      <c r="F6" s="184">
        <v>7672.1828031972627</v>
      </c>
      <c r="H6" s="185" t="s">
        <v>9</v>
      </c>
      <c r="I6" s="313">
        <v>228.57142857142856</v>
      </c>
      <c r="J6" s="186">
        <f>Q6</f>
        <v>60560.690060298351</v>
      </c>
      <c r="K6" s="187">
        <v>0.14000000000000001</v>
      </c>
      <c r="L6" s="188">
        <f>K6*J6</f>
        <v>8478.4966084417701</v>
      </c>
      <c r="M6" s="161"/>
      <c r="N6" s="161"/>
      <c r="O6" s="161"/>
      <c r="P6" s="702" t="s">
        <v>9</v>
      </c>
      <c r="Q6" s="703">
        <f>'Master Lookup'!D8</f>
        <v>60560.690060298351</v>
      </c>
      <c r="R6" s="704" t="s">
        <v>72</v>
      </c>
      <c r="S6" s="704"/>
      <c r="T6" s="704"/>
      <c r="U6" s="704"/>
      <c r="V6" s="705"/>
      <c r="W6" s="161"/>
      <c r="X6" s="861" t="s">
        <v>46</v>
      </c>
      <c r="Y6" s="862"/>
      <c r="Z6" s="862"/>
      <c r="AA6" s="862"/>
      <c r="AB6" s="863"/>
    </row>
    <row r="7" spans="1:28" ht="15.75" thickBot="1">
      <c r="A7" s="329"/>
      <c r="B7" s="180" t="s">
        <v>50</v>
      </c>
      <c r="C7" s="189">
        <v>246.15384615384613</v>
      </c>
      <c r="D7" s="182">
        <v>70000</v>
      </c>
      <c r="E7" s="183">
        <v>0.13</v>
      </c>
      <c r="F7" s="190">
        <v>9100</v>
      </c>
      <c r="H7" s="191" t="s">
        <v>50</v>
      </c>
      <c r="I7" s="314">
        <v>246.15384615384613</v>
      </c>
      <c r="J7" s="186">
        <f t="shared" ref="J7:J9" si="0">Q7</f>
        <v>77356.702494574842</v>
      </c>
      <c r="K7" s="187">
        <v>0.13</v>
      </c>
      <c r="L7" s="188">
        <f t="shared" ref="L7:L9" si="1">K7*J7</f>
        <v>10056.371324294731</v>
      </c>
      <c r="M7" s="161"/>
      <c r="N7" s="161"/>
      <c r="O7" s="161"/>
      <c r="P7" s="706" t="str">
        <f>H7</f>
        <v>Education Coordinator</v>
      </c>
      <c r="Q7" s="703">
        <f>'Master Lookup'!D9</f>
        <v>77356.702494574842</v>
      </c>
      <c r="R7" s="704" t="s">
        <v>72</v>
      </c>
      <c r="S7" s="704"/>
      <c r="T7" s="704"/>
      <c r="U7" s="704"/>
      <c r="V7" s="705"/>
      <c r="W7" s="161"/>
      <c r="X7" s="167"/>
      <c r="Y7" s="320" t="s">
        <v>3</v>
      </c>
      <c r="Z7" s="320" t="s">
        <v>48</v>
      </c>
      <c r="AA7" s="320" t="s">
        <v>49</v>
      </c>
      <c r="AB7" s="321" t="s">
        <v>6</v>
      </c>
    </row>
    <row r="8" spans="1:28">
      <c r="A8" s="329"/>
      <c r="B8" s="180" t="s">
        <v>51</v>
      </c>
      <c r="C8" s="192">
        <v>12.851405622489958</v>
      </c>
      <c r="D8" s="193">
        <v>47028.112449799191</v>
      </c>
      <c r="E8" s="183">
        <v>2.4900000000000002</v>
      </c>
      <c r="F8" s="190">
        <v>117100</v>
      </c>
      <c r="H8" s="191" t="s">
        <v>51</v>
      </c>
      <c r="I8" s="313">
        <v>12.851405622489958</v>
      </c>
      <c r="J8" s="186">
        <f t="shared" si="0"/>
        <v>51938</v>
      </c>
      <c r="K8" s="187">
        <v>2.4900000000000002</v>
      </c>
      <c r="L8" s="188">
        <f t="shared" si="1"/>
        <v>129325.62000000001</v>
      </c>
      <c r="M8" s="161"/>
      <c r="N8" s="161"/>
      <c r="O8" s="161"/>
      <c r="P8" s="702" t="s">
        <v>19</v>
      </c>
      <c r="Q8" s="703">
        <f>'Master Lookup'!D10</f>
        <v>51938</v>
      </c>
      <c r="R8" s="704" t="s">
        <v>72</v>
      </c>
      <c r="S8" s="704"/>
      <c r="T8" s="704"/>
      <c r="U8" s="704"/>
      <c r="V8" s="705"/>
      <c r="W8" s="161"/>
      <c r="X8" s="707" t="s">
        <v>9</v>
      </c>
      <c r="Y8" s="793">
        <v>228.57142857142856</v>
      </c>
      <c r="Z8" s="794">
        <f>Q6</f>
        <v>60560.690060298351</v>
      </c>
      <c r="AA8" s="172">
        <v>0.14000000000000001</v>
      </c>
      <c r="AB8" s="735">
        <f>Z8*AA8</f>
        <v>8478.4966084417701</v>
      </c>
    </row>
    <row r="9" spans="1:28" ht="15.75" thickBot="1">
      <c r="A9" s="329"/>
      <c r="B9" s="194" t="s">
        <v>52</v>
      </c>
      <c r="C9" s="192">
        <v>1066.6666666666667</v>
      </c>
      <c r="D9" s="193">
        <v>29820.716213693202</v>
      </c>
      <c r="E9" s="183">
        <v>0.03</v>
      </c>
      <c r="F9" s="190">
        <v>894.62148641079602</v>
      </c>
      <c r="H9" s="195" t="s">
        <v>52</v>
      </c>
      <c r="I9" s="315">
        <v>1066.6666666666667</v>
      </c>
      <c r="J9" s="186">
        <f t="shared" si="0"/>
        <v>32954.746747397279</v>
      </c>
      <c r="K9" s="187">
        <v>0.03</v>
      </c>
      <c r="L9" s="196">
        <f t="shared" si="1"/>
        <v>988.64240242191829</v>
      </c>
      <c r="M9" s="161"/>
      <c r="N9" s="161"/>
      <c r="O9" s="161"/>
      <c r="P9" s="702" t="s">
        <v>20</v>
      </c>
      <c r="Q9" s="703">
        <f>'Master Lookup'!D11</f>
        <v>32954.746747397279</v>
      </c>
      <c r="R9" s="704" t="s">
        <v>72</v>
      </c>
      <c r="S9" s="704"/>
      <c r="T9" s="704"/>
      <c r="U9" s="704"/>
      <c r="V9" s="705"/>
      <c r="W9" s="161"/>
      <c r="X9" s="312" t="s">
        <v>50</v>
      </c>
      <c r="Y9" s="781">
        <v>246.15384615384613</v>
      </c>
      <c r="Z9" s="782">
        <f>Q7</f>
        <v>77356.702494574842</v>
      </c>
      <c r="AA9" s="164">
        <v>0.13</v>
      </c>
      <c r="AB9" s="731">
        <f t="shared" ref="AB9:AB11" si="2">Z9*AA9</f>
        <v>10056.371324294731</v>
      </c>
    </row>
    <row r="10" spans="1:28">
      <c r="A10" s="329"/>
      <c r="B10" s="197" t="s">
        <v>21</v>
      </c>
      <c r="C10" s="198"/>
      <c r="D10" s="198"/>
      <c r="E10" s="199">
        <v>2.79</v>
      </c>
      <c r="F10" s="200">
        <v>134766.80428960806</v>
      </c>
      <c r="H10" s="201" t="s">
        <v>21</v>
      </c>
      <c r="I10" s="202"/>
      <c r="J10" s="202"/>
      <c r="K10" s="203">
        <f>SUM(K6:K9)</f>
        <v>2.79</v>
      </c>
      <c r="L10" s="204">
        <f>SUM(L6:L9)</f>
        <v>148849.13033515844</v>
      </c>
      <c r="M10" s="161"/>
      <c r="N10" s="161"/>
      <c r="O10" s="161"/>
      <c r="P10" s="858" t="s">
        <v>22</v>
      </c>
      <c r="Q10" s="859"/>
      <c r="R10" s="859"/>
      <c r="S10" s="859"/>
      <c r="T10" s="859"/>
      <c r="U10" s="859"/>
      <c r="V10" s="860"/>
      <c r="W10" s="161"/>
      <c r="X10" s="312" t="s">
        <v>51</v>
      </c>
      <c r="Y10" s="781">
        <v>12.851405622489958</v>
      </c>
      <c r="Z10" s="782">
        <f>Q8</f>
        <v>51938</v>
      </c>
      <c r="AA10" s="164">
        <v>2.4900000000000002</v>
      </c>
      <c r="AB10" s="731">
        <f t="shared" si="2"/>
        <v>129325.62000000001</v>
      </c>
    </row>
    <row r="11" spans="1:28">
      <c r="A11" s="329"/>
      <c r="B11" s="205"/>
      <c r="C11" s="206" t="s">
        <v>53</v>
      </c>
      <c r="D11" s="207"/>
      <c r="E11" s="208"/>
      <c r="F11" s="209"/>
      <c r="H11" s="178"/>
      <c r="I11" s="210"/>
      <c r="J11" s="211"/>
      <c r="K11" s="212"/>
      <c r="L11" s="213"/>
      <c r="M11" s="161"/>
      <c r="N11" s="161"/>
      <c r="O11" s="161"/>
      <c r="P11" s="312" t="s">
        <v>297</v>
      </c>
      <c r="Q11" s="165">
        <f>'Master Lookup'!D36</f>
        <v>1931.3117999999999</v>
      </c>
      <c r="R11" s="164"/>
      <c r="S11" s="164"/>
      <c r="T11" s="164"/>
      <c r="U11" s="164"/>
      <c r="V11" s="179"/>
      <c r="W11" s="161"/>
      <c r="X11" s="783" t="s">
        <v>52</v>
      </c>
      <c r="Y11" s="784">
        <v>1066.6666666666667</v>
      </c>
      <c r="Z11" s="785">
        <f>Q9</f>
        <v>32954.746747397279</v>
      </c>
      <c r="AA11" s="786">
        <v>0.03</v>
      </c>
      <c r="AB11" s="787">
        <f t="shared" si="2"/>
        <v>988.64240242191829</v>
      </c>
    </row>
    <row r="12" spans="1:28" ht="15.75" thickBot="1">
      <c r="A12" s="329"/>
      <c r="B12" s="214" t="s">
        <v>25</v>
      </c>
      <c r="C12" s="215">
        <v>0.19625158794108921</v>
      </c>
      <c r="D12" s="216"/>
      <c r="E12" s="217"/>
      <c r="F12" s="218">
        <v>26448.199343581575</v>
      </c>
      <c r="H12" s="219" t="s">
        <v>25</v>
      </c>
      <c r="I12" s="220">
        <f>Q13</f>
        <v>0.24</v>
      </c>
      <c r="J12" s="221"/>
      <c r="K12" s="222"/>
      <c r="L12" s="223">
        <f>I12*L10</f>
        <v>35723.791280438025</v>
      </c>
      <c r="M12" s="161"/>
      <c r="N12" s="161"/>
      <c r="O12" s="161"/>
      <c r="P12" s="682"/>
      <c r="Q12" s="683"/>
      <c r="R12" s="683"/>
      <c r="S12" s="683"/>
      <c r="T12" s="683"/>
      <c r="U12" s="683"/>
      <c r="V12" s="711"/>
      <c r="W12" s="161"/>
      <c r="X12" s="312" t="s">
        <v>21</v>
      </c>
      <c r="Y12" s="164"/>
      <c r="Z12" s="164"/>
      <c r="AA12" s="164">
        <f>SUM(AA8:AA11)</f>
        <v>2.79</v>
      </c>
      <c r="AB12" s="731">
        <f>SUM(AB8:AB11)</f>
        <v>148849.13033515844</v>
      </c>
    </row>
    <row r="13" spans="1:28">
      <c r="A13" s="329"/>
      <c r="B13" s="224" t="s">
        <v>27</v>
      </c>
      <c r="C13" s="225"/>
      <c r="D13" s="226"/>
      <c r="E13" s="227"/>
      <c r="F13" s="228">
        <v>161215.00363318963</v>
      </c>
      <c r="H13" s="229" t="s">
        <v>27</v>
      </c>
      <c r="I13" s="230"/>
      <c r="J13" s="231"/>
      <c r="K13" s="232"/>
      <c r="L13" s="233">
        <f>L12+L10</f>
        <v>184572.92161559645</v>
      </c>
      <c r="M13" s="161"/>
      <c r="N13" s="161"/>
      <c r="O13" s="161"/>
      <c r="P13" s="707" t="s">
        <v>24</v>
      </c>
      <c r="Q13" s="708">
        <f>'Master Lookup'!D24</f>
        <v>0.24</v>
      </c>
      <c r="R13" s="172"/>
      <c r="S13" s="172"/>
      <c r="T13" s="172"/>
      <c r="U13" s="172"/>
      <c r="V13" s="173"/>
      <c r="W13" s="161"/>
      <c r="X13" s="783" t="s">
        <v>25</v>
      </c>
      <c r="Y13" s="788">
        <f>Q13</f>
        <v>0.24</v>
      </c>
      <c r="Z13" s="786"/>
      <c r="AA13" s="786"/>
      <c r="AB13" s="787">
        <f>Y13*AB12</f>
        <v>35723.791280438025</v>
      </c>
    </row>
    <row r="14" spans="1:28">
      <c r="A14" s="329"/>
      <c r="B14" s="214"/>
      <c r="C14" s="236"/>
      <c r="D14" s="237"/>
      <c r="E14" s="238"/>
      <c r="F14" s="239"/>
      <c r="H14" s="185"/>
      <c r="I14" s="240"/>
      <c r="J14" s="241"/>
      <c r="K14" s="242"/>
      <c r="L14" s="243"/>
      <c r="M14" s="161"/>
      <c r="N14" s="161"/>
      <c r="O14" s="161"/>
      <c r="P14" s="312" t="s">
        <v>26</v>
      </c>
      <c r="Q14" s="709">
        <f>'Master Lookup'!D23</f>
        <v>0.12</v>
      </c>
      <c r="R14" s="164"/>
      <c r="S14" s="164"/>
      <c r="T14" s="164"/>
      <c r="U14" s="164"/>
      <c r="V14" s="179"/>
      <c r="W14" s="161"/>
      <c r="X14" s="789" t="s">
        <v>27</v>
      </c>
      <c r="Y14" s="790"/>
      <c r="Z14" s="790"/>
      <c r="AA14" s="790"/>
      <c r="AB14" s="791">
        <f>SUM(AB12:AB13)</f>
        <v>184572.92161559645</v>
      </c>
    </row>
    <row r="15" spans="1:28">
      <c r="A15" s="329"/>
      <c r="B15" s="244" t="s">
        <v>57</v>
      </c>
      <c r="C15" s="245">
        <v>7.0167661057440697E-2</v>
      </c>
      <c r="D15" s="246"/>
      <c r="E15" s="247"/>
      <c r="F15" s="248">
        <v>9456.2714451876636</v>
      </c>
      <c r="H15" s="249" t="s">
        <v>57</v>
      </c>
      <c r="I15" s="250">
        <v>7.0167661057440697E-2</v>
      </c>
      <c r="J15" s="251"/>
      <c r="K15" s="252"/>
      <c r="L15" s="253">
        <f>I15*L13</f>
        <v>12951.050204304742</v>
      </c>
      <c r="M15" s="161"/>
      <c r="N15" s="161"/>
      <c r="O15" s="161"/>
      <c r="P15" s="513" t="s">
        <v>54</v>
      </c>
      <c r="Q15" s="710">
        <v>6.3E-3</v>
      </c>
      <c r="R15" s="515" t="s">
        <v>283</v>
      </c>
      <c r="S15" s="164"/>
      <c r="T15" s="164"/>
      <c r="U15" s="164"/>
      <c r="V15" s="179"/>
      <c r="W15" s="161"/>
      <c r="X15" s="312"/>
      <c r="Y15" s="164"/>
      <c r="Z15" s="164"/>
      <c r="AA15" s="164"/>
      <c r="AB15" s="731"/>
    </row>
    <row r="16" spans="1:28" ht="15.75" thickBot="1">
      <c r="A16" s="329"/>
      <c r="B16" s="244"/>
      <c r="C16" s="254"/>
      <c r="D16" s="255"/>
      <c r="E16" s="255"/>
      <c r="F16" s="256"/>
      <c r="H16" s="249"/>
      <c r="I16" s="257"/>
      <c r="J16" s="258"/>
      <c r="K16" s="258"/>
      <c r="L16" s="259"/>
      <c r="M16" s="161"/>
      <c r="N16" s="161"/>
      <c r="O16" s="161"/>
      <c r="P16" s="715" t="s">
        <v>55</v>
      </c>
      <c r="Q16" s="716">
        <f>'Master Lookup'!D26</f>
        <v>1.8120393120392975E-2</v>
      </c>
      <c r="R16" s="717" t="s">
        <v>56</v>
      </c>
      <c r="S16" s="717"/>
      <c r="T16" s="717"/>
      <c r="U16" s="717"/>
      <c r="V16" s="711"/>
      <c r="W16" s="161"/>
      <c r="X16" s="312" t="s">
        <v>297</v>
      </c>
      <c r="Y16" s="165">
        <f>Q11</f>
        <v>1931.3117999999999</v>
      </c>
      <c r="Z16" s="164"/>
      <c r="AA16" s="164"/>
      <c r="AB16" s="731">
        <f>Y16*AA12</f>
        <v>5388.3599219999996</v>
      </c>
    </row>
    <row r="17" spans="1:29">
      <c r="A17" s="329"/>
      <c r="B17" s="260"/>
      <c r="C17" s="261"/>
      <c r="D17" s="262"/>
      <c r="E17" s="263"/>
      <c r="F17" s="264"/>
      <c r="H17" s="265"/>
      <c r="I17" s="266"/>
      <c r="J17" s="267"/>
      <c r="K17" s="268"/>
      <c r="L17" s="269"/>
      <c r="M17" s="161"/>
      <c r="N17" s="161"/>
      <c r="O17" s="161"/>
      <c r="P17" s="712"/>
      <c r="Q17" s="161"/>
      <c r="R17" s="161"/>
      <c r="S17" s="161"/>
      <c r="T17" s="161"/>
      <c r="U17" s="161"/>
      <c r="V17" s="161"/>
      <c r="W17" s="161"/>
      <c r="X17" s="312"/>
      <c r="Y17" s="164"/>
      <c r="Z17" s="164"/>
      <c r="AA17" s="164"/>
      <c r="AB17" s="731"/>
    </row>
    <row r="18" spans="1:29" ht="15.75" thickBot="1">
      <c r="A18" s="329"/>
      <c r="B18" s="270" t="s">
        <v>58</v>
      </c>
      <c r="C18" s="271"/>
      <c r="D18" s="272"/>
      <c r="E18" s="273"/>
      <c r="F18" s="274">
        <v>170671.27507837728</v>
      </c>
      <c r="H18" s="275" t="s">
        <v>58</v>
      </c>
      <c r="I18" s="276"/>
      <c r="J18" s="277"/>
      <c r="K18" s="278"/>
      <c r="L18" s="279">
        <f>L15+L13</f>
        <v>197523.9718199012</v>
      </c>
      <c r="M18" s="161"/>
      <c r="N18" s="161"/>
      <c r="O18" s="161"/>
      <c r="P18" s="712"/>
      <c r="Q18" s="161"/>
      <c r="R18" s="161"/>
      <c r="S18" s="161"/>
      <c r="T18" s="161"/>
      <c r="U18" s="161"/>
      <c r="V18" s="161"/>
      <c r="W18" s="161"/>
      <c r="X18" s="796" t="s">
        <v>58</v>
      </c>
      <c r="Y18" s="457"/>
      <c r="Z18" s="457"/>
      <c r="AA18" s="457"/>
      <c r="AB18" s="797">
        <f>SUM(AB14:AB17)</f>
        <v>189961.28153759646</v>
      </c>
    </row>
    <row r="19" spans="1:29" ht="15.75" thickTop="1">
      <c r="A19" s="329"/>
      <c r="B19" s="244" t="s">
        <v>34</v>
      </c>
      <c r="C19" s="280">
        <v>0.11101144706043763</v>
      </c>
      <c r="D19" s="247"/>
      <c r="E19" s="281"/>
      <c r="F19" s="239">
        <v>14960.657959900183</v>
      </c>
      <c r="H19" s="249" t="s">
        <v>34</v>
      </c>
      <c r="I19" s="282">
        <f>Q14</f>
        <v>0.12</v>
      </c>
      <c r="J19" s="283"/>
      <c r="K19" s="284"/>
      <c r="L19" s="243">
        <f>I19*L18</f>
        <v>23702.876618388142</v>
      </c>
      <c r="M19" s="161"/>
      <c r="N19" s="161"/>
      <c r="O19" s="161"/>
      <c r="P19" s="712"/>
      <c r="Q19" s="161"/>
      <c r="R19" s="161"/>
      <c r="S19" s="161"/>
      <c r="T19" s="161"/>
      <c r="U19" s="161"/>
      <c r="V19" s="161"/>
      <c r="W19" s="161"/>
      <c r="X19" s="312" t="s">
        <v>34</v>
      </c>
      <c r="Y19" s="733">
        <f>Q14</f>
        <v>0.12</v>
      </c>
      <c r="Z19" s="164"/>
      <c r="AA19" s="164"/>
      <c r="AB19" s="731">
        <f>Y19*AB18</f>
        <v>22795.353784511575</v>
      </c>
    </row>
    <row r="20" spans="1:29" ht="15.75" thickBot="1">
      <c r="A20" s="329"/>
      <c r="B20" s="244" t="s">
        <v>59</v>
      </c>
      <c r="C20" s="280"/>
      <c r="D20" s="247"/>
      <c r="E20" s="281"/>
      <c r="F20" s="285">
        <v>185631.93303827746</v>
      </c>
      <c r="H20" s="286" t="str">
        <f>P15</f>
        <v>PFMLA Trust Contribution</v>
      </c>
      <c r="I20" s="287">
        <f>Q15</f>
        <v>6.3E-3</v>
      </c>
      <c r="J20" s="283"/>
      <c r="K20" s="284"/>
      <c r="L20" s="243">
        <f>I20*L10</f>
        <v>937.7495211114981</v>
      </c>
      <c r="M20" s="161"/>
      <c r="N20" s="161"/>
      <c r="O20" s="161"/>
      <c r="P20" s="712"/>
      <c r="Q20" s="713"/>
      <c r="R20" s="161"/>
      <c r="S20" s="161"/>
      <c r="T20" s="161"/>
      <c r="U20" s="161"/>
      <c r="V20" s="161"/>
      <c r="W20" s="161"/>
      <c r="X20" s="736" t="s">
        <v>54</v>
      </c>
      <c r="Y20" s="737">
        <f>Q15</f>
        <v>6.3E-3</v>
      </c>
      <c r="Z20" s="683"/>
      <c r="AA20" s="683"/>
      <c r="AB20" s="738">
        <f>Y20*AB18</f>
        <v>1196.7560736868577</v>
      </c>
    </row>
    <row r="21" spans="1:29" ht="15.75" thickBot="1">
      <c r="A21" s="329"/>
      <c r="B21" s="260" t="s">
        <v>60</v>
      </c>
      <c r="C21" s="288">
        <v>4.4640068153077195E-2</v>
      </c>
      <c r="D21" s="247"/>
      <c r="E21" s="281"/>
      <c r="F21" s="239">
        <v>193918.55518049363</v>
      </c>
      <c r="H21" s="249" t="s">
        <v>61</v>
      </c>
      <c r="I21" s="282"/>
      <c r="J21" s="283"/>
      <c r="K21" s="284"/>
      <c r="L21" s="289">
        <f>SUM(L18:L20)</f>
        <v>222164.59795940082</v>
      </c>
      <c r="M21" s="161"/>
      <c r="N21" s="161"/>
      <c r="O21" s="161"/>
      <c r="P21" s="161"/>
      <c r="Q21" s="713"/>
      <c r="R21" s="161"/>
      <c r="S21" s="161"/>
      <c r="T21" s="161"/>
      <c r="U21" s="161"/>
      <c r="V21" s="161"/>
      <c r="W21" s="161"/>
      <c r="X21" s="312" t="s">
        <v>61</v>
      </c>
      <c r="Y21" s="164"/>
      <c r="Z21" s="164"/>
      <c r="AA21" s="164"/>
      <c r="AB21" s="680">
        <v>222285.63220208936</v>
      </c>
    </row>
    <row r="22" spans="1:29" ht="16.5" thickTop="1" thickBot="1">
      <c r="A22" s="329"/>
      <c r="B22" s="290" t="s">
        <v>62</v>
      </c>
      <c r="C22" s="291"/>
      <c r="D22" s="292"/>
      <c r="E22" s="291"/>
      <c r="F22" s="293">
        <v>16.602616025727194</v>
      </c>
      <c r="G22" s="294"/>
      <c r="H22" s="295" t="s">
        <v>62</v>
      </c>
      <c r="I22" s="296">
        <f>365*33</f>
        <v>12045</v>
      </c>
      <c r="J22" s="297"/>
      <c r="K22" s="298"/>
      <c r="L22" s="299">
        <f>L21/I22</f>
        <v>18.444549436230869</v>
      </c>
      <c r="M22" s="161"/>
      <c r="N22" s="161"/>
      <c r="O22" s="166"/>
      <c r="P22" s="161"/>
      <c r="Q22" s="713"/>
      <c r="R22" s="161"/>
      <c r="S22" s="161"/>
      <c r="T22" s="161"/>
      <c r="U22" s="161"/>
      <c r="V22" s="161"/>
      <c r="W22" s="161"/>
      <c r="X22" s="682" t="s">
        <v>305</v>
      </c>
      <c r="Y22" s="683"/>
      <c r="Z22" s="683"/>
      <c r="AA22" s="683"/>
      <c r="AB22" s="795">
        <f>AB18+AB19+AB20</f>
        <v>213953.39139579487</v>
      </c>
    </row>
    <row r="23" spans="1:29" ht="15.75" hidden="1" customHeight="1" thickBot="1">
      <c r="A23" s="329"/>
      <c r="B23" s="300" t="s">
        <v>36</v>
      </c>
      <c r="C23" s="301"/>
      <c r="D23" s="301"/>
      <c r="E23" s="301"/>
      <c r="F23" s="302">
        <v>32</v>
      </c>
      <c r="H23" s="303" t="s">
        <v>36</v>
      </c>
      <c r="I23" s="304"/>
      <c r="J23" s="304"/>
      <c r="K23" s="304"/>
      <c r="L23" s="305">
        <v>32</v>
      </c>
      <c r="M23" s="161"/>
      <c r="N23" s="161"/>
      <c r="O23" s="161"/>
      <c r="P23" s="161"/>
      <c r="Q23" s="713"/>
      <c r="R23" s="161"/>
      <c r="S23" s="161"/>
      <c r="T23" s="161"/>
      <c r="U23" s="161"/>
      <c r="V23" s="161"/>
      <c r="W23" s="161"/>
      <c r="X23" s="167" t="s">
        <v>62</v>
      </c>
      <c r="Y23" s="320">
        <v>12045</v>
      </c>
      <c r="Z23" s="320"/>
      <c r="AA23" s="320"/>
      <c r="AB23" s="792">
        <f>AB22/12045</f>
        <v>17.762838638090066</v>
      </c>
    </row>
    <row r="24" spans="1:29" ht="15.75" thickBot="1">
      <c r="A24" s="329"/>
      <c r="B24" s="306" t="s">
        <v>63</v>
      </c>
      <c r="C24" s="307"/>
      <c r="D24" s="307"/>
      <c r="E24" s="308">
        <f>'[6]Parent Skill Dev Group'!E26</f>
        <v>2.9824052590873982E-2</v>
      </c>
      <c r="F24" s="309">
        <f>F22*(E24+1)</f>
        <v>17.097773319224569</v>
      </c>
      <c r="H24" s="718" t="s">
        <v>284</v>
      </c>
      <c r="I24" s="719"/>
      <c r="J24" s="720">
        <f>Q16</f>
        <v>1.8120393120392975E-2</v>
      </c>
      <c r="K24" s="330"/>
      <c r="L24" s="332">
        <f>L22*(1+J24)</f>
        <v>18.778771922943896</v>
      </c>
      <c r="M24" s="161"/>
      <c r="N24" s="161"/>
      <c r="O24" s="166"/>
      <c r="P24" s="161"/>
      <c r="Q24" s="713"/>
      <c r="R24" s="161"/>
      <c r="S24" s="161"/>
      <c r="T24" s="161"/>
      <c r="U24" s="161"/>
      <c r="V24" s="161"/>
      <c r="W24" s="161"/>
      <c r="X24" s="312" t="s">
        <v>36</v>
      </c>
      <c r="Y24" s="164"/>
      <c r="Z24" s="164"/>
      <c r="AA24" s="164"/>
      <c r="AB24" s="179">
        <v>32</v>
      </c>
    </row>
    <row r="25" spans="1:29" ht="15.75" thickBot="1">
      <c r="A25" s="329"/>
      <c r="B25" s="306" t="s">
        <v>64</v>
      </c>
      <c r="C25" s="310"/>
      <c r="D25" s="311">
        <f>F25/F24</f>
        <v>1.027235921972764</v>
      </c>
      <c r="E25" s="308">
        <f>'[6]Parent Skill Dev Group'!E27</f>
        <v>2.7235921972764018E-2</v>
      </c>
      <c r="F25" s="331">
        <f>F24*(E25+1)</f>
        <v>17.563446939254977</v>
      </c>
      <c r="H25" s="164"/>
      <c r="I25" s="164"/>
      <c r="J25" s="164"/>
      <c r="K25" s="164"/>
      <c r="L25" s="163"/>
      <c r="M25" s="161"/>
      <c r="N25" s="161"/>
      <c r="O25" s="714"/>
      <c r="P25" s="161"/>
      <c r="Q25" s="161"/>
      <c r="R25" s="161"/>
      <c r="S25" s="161"/>
      <c r="T25" s="161"/>
      <c r="U25" s="161"/>
      <c r="V25" s="161"/>
      <c r="W25" s="161"/>
      <c r="X25" s="715" t="s">
        <v>284</v>
      </c>
      <c r="Y25" s="763">
        <f>Q16</f>
        <v>1.8120393120392975E-2</v>
      </c>
      <c r="Z25" s="420"/>
      <c r="AA25" s="683"/>
      <c r="AB25" s="758">
        <f>(Y25*AB23)+AB23</f>
        <v>18.084708257146364</v>
      </c>
      <c r="AC25" s="745"/>
    </row>
    <row r="26" spans="1:29">
      <c r="A26" s="329"/>
      <c r="B26" s="329"/>
      <c r="C26" s="329"/>
      <c r="D26" s="329"/>
      <c r="E26" s="329"/>
      <c r="F26" s="329"/>
      <c r="H26" s="164"/>
      <c r="I26" s="164"/>
      <c r="J26" s="164"/>
      <c r="K26" s="164"/>
      <c r="L26" s="164"/>
      <c r="M26" s="161"/>
      <c r="N26" s="161"/>
      <c r="O26" s="714"/>
      <c r="W26" s="161"/>
      <c r="AC26" s="319"/>
    </row>
    <row r="27" spans="1:29">
      <c r="A27" s="329"/>
      <c r="B27" s="329"/>
      <c r="C27" s="329"/>
      <c r="D27" s="329"/>
      <c r="E27" s="329"/>
      <c r="F27" s="329"/>
      <c r="H27" s="161"/>
      <c r="I27" s="161"/>
      <c r="J27" s="161"/>
      <c r="K27" s="161"/>
      <c r="L27" s="161"/>
      <c r="M27" s="161"/>
      <c r="N27" s="161"/>
      <c r="O27" s="161"/>
      <c r="W27" s="161"/>
    </row>
    <row r="28" spans="1:29">
      <c r="A28" s="329"/>
      <c r="B28" s="329"/>
      <c r="C28" s="329"/>
      <c r="D28" s="329"/>
      <c r="E28" s="329"/>
      <c r="F28" s="329"/>
      <c r="H28" s="136"/>
      <c r="M28" s="113"/>
    </row>
    <row r="29" spans="1:29">
      <c r="A29" s="329"/>
      <c r="B29" s="329"/>
      <c r="C29" s="329"/>
      <c r="D29" s="329"/>
      <c r="E29" s="329"/>
      <c r="F29" s="329"/>
      <c r="M29" s="113"/>
    </row>
    <row r="30" spans="1:29">
      <c r="A30" s="329"/>
      <c r="B30" s="329"/>
      <c r="C30" s="329"/>
      <c r="D30" s="329"/>
      <c r="E30" s="329"/>
      <c r="F30" s="329"/>
      <c r="M30" s="113"/>
    </row>
    <row r="31" spans="1:29">
      <c r="A31" s="329"/>
      <c r="B31" s="329"/>
      <c r="C31" s="329"/>
      <c r="D31" s="329"/>
      <c r="E31" s="329"/>
      <c r="F31" s="329"/>
      <c r="M31" s="113"/>
    </row>
    <row r="32" spans="1:29">
      <c r="A32" s="329"/>
      <c r="B32" s="329"/>
      <c r="C32" s="329"/>
      <c r="D32" s="329"/>
      <c r="E32" s="329"/>
      <c r="F32" s="329"/>
      <c r="M32" s="113"/>
    </row>
    <row r="33" spans="1:13">
      <c r="A33" s="329"/>
      <c r="B33" s="329"/>
      <c r="C33" s="329"/>
      <c r="D33" s="329"/>
      <c r="E33" s="329"/>
      <c r="F33" s="329"/>
      <c r="M33" s="113"/>
    </row>
    <row r="34" spans="1:13">
      <c r="A34" s="329"/>
      <c r="B34" s="329"/>
      <c r="C34" s="329"/>
      <c r="D34" s="329"/>
      <c r="E34" s="329"/>
      <c r="F34" s="329"/>
      <c r="M34" s="113"/>
    </row>
    <row r="35" spans="1:13">
      <c r="A35" s="329"/>
      <c r="B35" s="329"/>
      <c r="C35" s="329"/>
      <c r="D35" s="329"/>
      <c r="E35" s="329"/>
      <c r="F35" s="329"/>
    </row>
  </sheetData>
  <mergeCells count="4">
    <mergeCell ref="P4:V4"/>
    <mergeCell ref="P10:V10"/>
    <mergeCell ref="P5:V5"/>
    <mergeCell ref="X6:AB6"/>
  </mergeCells>
  <pageMargins left="0.7" right="0.7" top="0.75" bottom="0.75" header="0.3" footer="0.3"/>
  <pageSetup scale="7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68"/>
  <sheetViews>
    <sheetView topLeftCell="G10" zoomScale="85" zoomScaleNormal="85" workbookViewId="0">
      <selection activeCell="W24" sqref="W24"/>
    </sheetView>
  </sheetViews>
  <sheetFormatPr defaultRowHeight="15"/>
  <cols>
    <col min="1" max="1" width="1.7109375" style="329" hidden="1" customWidth="1"/>
    <col min="2" max="2" width="25.5703125" hidden="1" customWidth="1"/>
    <col min="3" max="3" width="17.140625" hidden="1" customWidth="1"/>
    <col min="4" max="4" width="14" hidden="1" customWidth="1"/>
    <col min="5" max="5" width="13.7109375" hidden="1" customWidth="1"/>
    <col min="6" max="6" width="16.85546875" hidden="1" customWidth="1"/>
    <col min="7" max="7" width="8" customWidth="1"/>
    <col min="8" max="9" width="16.85546875" customWidth="1"/>
    <col min="10" max="10" width="14.42578125" customWidth="1"/>
    <col min="11" max="11" width="20.85546875" customWidth="1"/>
    <col min="12" max="12" width="16.85546875" customWidth="1"/>
    <col min="13" max="14" width="16.85546875" hidden="1" customWidth="1"/>
    <col min="15" max="15" width="10.28515625" hidden="1" customWidth="1"/>
    <col min="16" max="16" width="32.28515625" hidden="1" customWidth="1"/>
    <col min="17" max="17" width="0" hidden="1" customWidth="1"/>
    <col min="18" max="18" width="12.140625" hidden="1" customWidth="1"/>
    <col min="19" max="19" width="10.140625" hidden="1" customWidth="1"/>
    <col min="20" max="20" width="12.7109375" hidden="1" customWidth="1"/>
    <col min="21" max="21" width="10.28515625" hidden="1" customWidth="1"/>
    <col min="23" max="23" width="36" customWidth="1"/>
    <col min="24" max="24" width="12.28515625" bestFit="1" customWidth="1"/>
    <col min="266" max="266" width="25.5703125" customWidth="1"/>
    <col min="267" max="267" width="17.140625" customWidth="1"/>
    <col min="268" max="268" width="14" customWidth="1"/>
    <col min="269" max="269" width="13.7109375" customWidth="1"/>
    <col min="270" max="270" width="16.85546875" customWidth="1"/>
    <col min="522" max="522" width="25.5703125" customWidth="1"/>
    <col min="523" max="523" width="17.140625" customWidth="1"/>
    <col min="524" max="524" width="14" customWidth="1"/>
    <col min="525" max="525" width="13.7109375" customWidth="1"/>
    <col min="526" max="526" width="16.85546875" customWidth="1"/>
    <col min="778" max="778" width="25.5703125" customWidth="1"/>
    <col min="779" max="779" width="17.140625" customWidth="1"/>
    <col min="780" max="780" width="14" customWidth="1"/>
    <col min="781" max="781" width="13.7109375" customWidth="1"/>
    <col min="782" max="782" width="16.85546875" customWidth="1"/>
    <col min="1034" max="1034" width="25.5703125" customWidth="1"/>
    <col min="1035" max="1035" width="17.140625" customWidth="1"/>
    <col min="1036" max="1036" width="14" customWidth="1"/>
    <col min="1037" max="1037" width="13.7109375" customWidth="1"/>
    <col min="1038" max="1038" width="16.85546875" customWidth="1"/>
    <col min="1290" max="1290" width="25.5703125" customWidth="1"/>
    <col min="1291" max="1291" width="17.140625" customWidth="1"/>
    <col min="1292" max="1292" width="14" customWidth="1"/>
    <col min="1293" max="1293" width="13.7109375" customWidth="1"/>
    <col min="1294" max="1294" width="16.85546875" customWidth="1"/>
    <col min="1546" max="1546" width="25.5703125" customWidth="1"/>
    <col min="1547" max="1547" width="17.140625" customWidth="1"/>
    <col min="1548" max="1548" width="14" customWidth="1"/>
    <col min="1549" max="1549" width="13.7109375" customWidth="1"/>
    <col min="1550" max="1550" width="16.85546875" customWidth="1"/>
    <col min="1802" max="1802" width="25.5703125" customWidth="1"/>
    <col min="1803" max="1803" width="17.140625" customWidth="1"/>
    <col min="1804" max="1804" width="14" customWidth="1"/>
    <col min="1805" max="1805" width="13.7109375" customWidth="1"/>
    <col min="1806" max="1806" width="16.85546875" customWidth="1"/>
    <col min="2058" max="2058" width="25.5703125" customWidth="1"/>
    <col min="2059" max="2059" width="17.140625" customWidth="1"/>
    <col min="2060" max="2060" width="14" customWidth="1"/>
    <col min="2061" max="2061" width="13.7109375" customWidth="1"/>
    <col min="2062" max="2062" width="16.85546875" customWidth="1"/>
    <col min="2314" max="2314" width="25.5703125" customWidth="1"/>
    <col min="2315" max="2315" width="17.140625" customWidth="1"/>
    <col min="2316" max="2316" width="14" customWidth="1"/>
    <col min="2317" max="2317" width="13.7109375" customWidth="1"/>
    <col min="2318" max="2318" width="16.85546875" customWidth="1"/>
    <col min="2570" max="2570" width="25.5703125" customWidth="1"/>
    <col min="2571" max="2571" width="17.140625" customWidth="1"/>
    <col min="2572" max="2572" width="14" customWidth="1"/>
    <col min="2573" max="2573" width="13.7109375" customWidth="1"/>
    <col min="2574" max="2574" width="16.85546875" customWidth="1"/>
    <col min="2826" max="2826" width="25.5703125" customWidth="1"/>
    <col min="2827" max="2827" width="17.140625" customWidth="1"/>
    <col min="2828" max="2828" width="14" customWidth="1"/>
    <col min="2829" max="2829" width="13.7109375" customWidth="1"/>
    <col min="2830" max="2830" width="16.85546875" customWidth="1"/>
    <col min="3082" max="3082" width="25.5703125" customWidth="1"/>
    <col min="3083" max="3083" width="17.140625" customWidth="1"/>
    <col min="3084" max="3084" width="14" customWidth="1"/>
    <col min="3085" max="3085" width="13.7109375" customWidth="1"/>
    <col min="3086" max="3086" width="16.85546875" customWidth="1"/>
    <col min="3338" max="3338" width="25.5703125" customWidth="1"/>
    <col min="3339" max="3339" width="17.140625" customWidth="1"/>
    <col min="3340" max="3340" width="14" customWidth="1"/>
    <col min="3341" max="3341" width="13.7109375" customWidth="1"/>
    <col min="3342" max="3342" width="16.85546875" customWidth="1"/>
    <col min="3594" max="3594" width="25.5703125" customWidth="1"/>
    <col min="3595" max="3595" width="17.140625" customWidth="1"/>
    <col min="3596" max="3596" width="14" customWidth="1"/>
    <col min="3597" max="3597" width="13.7109375" customWidth="1"/>
    <col min="3598" max="3598" width="16.85546875" customWidth="1"/>
    <col min="3850" max="3850" width="25.5703125" customWidth="1"/>
    <col min="3851" max="3851" width="17.140625" customWidth="1"/>
    <col min="3852" max="3852" width="14" customWidth="1"/>
    <col min="3853" max="3853" width="13.7109375" customWidth="1"/>
    <col min="3854" max="3854" width="16.85546875" customWidth="1"/>
    <col min="4106" max="4106" width="25.5703125" customWidth="1"/>
    <col min="4107" max="4107" width="17.140625" customWidth="1"/>
    <col min="4108" max="4108" width="14" customWidth="1"/>
    <col min="4109" max="4109" width="13.7109375" customWidth="1"/>
    <col min="4110" max="4110" width="16.85546875" customWidth="1"/>
    <col min="4362" max="4362" width="25.5703125" customWidth="1"/>
    <col min="4363" max="4363" width="17.140625" customWidth="1"/>
    <col min="4364" max="4364" width="14" customWidth="1"/>
    <col min="4365" max="4365" width="13.7109375" customWidth="1"/>
    <col min="4366" max="4366" width="16.85546875" customWidth="1"/>
    <col min="4618" max="4618" width="25.5703125" customWidth="1"/>
    <col min="4619" max="4619" width="17.140625" customWidth="1"/>
    <col min="4620" max="4620" width="14" customWidth="1"/>
    <col min="4621" max="4621" width="13.7109375" customWidth="1"/>
    <col min="4622" max="4622" width="16.85546875" customWidth="1"/>
    <col min="4874" max="4874" width="25.5703125" customWidth="1"/>
    <col min="4875" max="4875" width="17.140625" customWidth="1"/>
    <col min="4876" max="4876" width="14" customWidth="1"/>
    <col min="4877" max="4877" width="13.7109375" customWidth="1"/>
    <col min="4878" max="4878" width="16.85546875" customWidth="1"/>
    <col min="5130" max="5130" width="25.5703125" customWidth="1"/>
    <col min="5131" max="5131" width="17.140625" customWidth="1"/>
    <col min="5132" max="5132" width="14" customWidth="1"/>
    <col min="5133" max="5133" width="13.7109375" customWidth="1"/>
    <col min="5134" max="5134" width="16.85546875" customWidth="1"/>
    <col min="5386" max="5386" width="25.5703125" customWidth="1"/>
    <col min="5387" max="5387" width="17.140625" customWidth="1"/>
    <col min="5388" max="5388" width="14" customWidth="1"/>
    <col min="5389" max="5389" width="13.7109375" customWidth="1"/>
    <col min="5390" max="5390" width="16.85546875" customWidth="1"/>
    <col min="5642" max="5642" width="25.5703125" customWidth="1"/>
    <col min="5643" max="5643" width="17.140625" customWidth="1"/>
    <col min="5644" max="5644" width="14" customWidth="1"/>
    <col min="5645" max="5645" width="13.7109375" customWidth="1"/>
    <col min="5646" max="5646" width="16.85546875" customWidth="1"/>
    <col min="5898" max="5898" width="25.5703125" customWidth="1"/>
    <col min="5899" max="5899" width="17.140625" customWidth="1"/>
    <col min="5900" max="5900" width="14" customWidth="1"/>
    <col min="5901" max="5901" width="13.7109375" customWidth="1"/>
    <col min="5902" max="5902" width="16.85546875" customWidth="1"/>
    <col min="6154" max="6154" width="25.5703125" customWidth="1"/>
    <col min="6155" max="6155" width="17.140625" customWidth="1"/>
    <col min="6156" max="6156" width="14" customWidth="1"/>
    <col min="6157" max="6157" width="13.7109375" customWidth="1"/>
    <col min="6158" max="6158" width="16.85546875" customWidth="1"/>
    <col min="6410" max="6410" width="25.5703125" customWidth="1"/>
    <col min="6411" max="6411" width="17.140625" customWidth="1"/>
    <col min="6412" max="6412" width="14" customWidth="1"/>
    <col min="6413" max="6413" width="13.7109375" customWidth="1"/>
    <col min="6414" max="6414" width="16.85546875" customWidth="1"/>
    <col min="6666" max="6666" width="25.5703125" customWidth="1"/>
    <col min="6667" max="6667" width="17.140625" customWidth="1"/>
    <col min="6668" max="6668" width="14" customWidth="1"/>
    <col min="6669" max="6669" width="13.7109375" customWidth="1"/>
    <col min="6670" max="6670" width="16.85546875" customWidth="1"/>
    <col min="6922" max="6922" width="25.5703125" customWidth="1"/>
    <col min="6923" max="6923" width="17.140625" customWidth="1"/>
    <col min="6924" max="6924" width="14" customWidth="1"/>
    <col min="6925" max="6925" width="13.7109375" customWidth="1"/>
    <col min="6926" max="6926" width="16.85546875" customWidth="1"/>
    <col min="7178" max="7178" width="25.5703125" customWidth="1"/>
    <col min="7179" max="7179" width="17.140625" customWidth="1"/>
    <col min="7180" max="7180" width="14" customWidth="1"/>
    <col min="7181" max="7181" width="13.7109375" customWidth="1"/>
    <col min="7182" max="7182" width="16.85546875" customWidth="1"/>
    <col min="7434" max="7434" width="25.5703125" customWidth="1"/>
    <col min="7435" max="7435" width="17.140625" customWidth="1"/>
    <col min="7436" max="7436" width="14" customWidth="1"/>
    <col min="7437" max="7437" width="13.7109375" customWidth="1"/>
    <col min="7438" max="7438" width="16.85546875" customWidth="1"/>
    <col min="7690" max="7690" width="25.5703125" customWidth="1"/>
    <col min="7691" max="7691" width="17.140625" customWidth="1"/>
    <col min="7692" max="7692" width="14" customWidth="1"/>
    <col min="7693" max="7693" width="13.7109375" customWidth="1"/>
    <col min="7694" max="7694" width="16.85546875" customWidth="1"/>
    <col min="7946" max="7946" width="25.5703125" customWidth="1"/>
    <col min="7947" max="7947" width="17.140625" customWidth="1"/>
    <col min="7948" max="7948" width="14" customWidth="1"/>
    <col min="7949" max="7949" width="13.7109375" customWidth="1"/>
    <col min="7950" max="7950" width="16.85546875" customWidth="1"/>
    <col min="8202" max="8202" width="25.5703125" customWidth="1"/>
    <col min="8203" max="8203" width="17.140625" customWidth="1"/>
    <col min="8204" max="8204" width="14" customWidth="1"/>
    <col min="8205" max="8205" width="13.7109375" customWidth="1"/>
    <col min="8206" max="8206" width="16.85546875" customWidth="1"/>
    <col min="8458" max="8458" width="25.5703125" customWidth="1"/>
    <col min="8459" max="8459" width="17.140625" customWidth="1"/>
    <col min="8460" max="8460" width="14" customWidth="1"/>
    <col min="8461" max="8461" width="13.7109375" customWidth="1"/>
    <col min="8462" max="8462" width="16.85546875" customWidth="1"/>
    <col min="8714" max="8714" width="25.5703125" customWidth="1"/>
    <col min="8715" max="8715" width="17.140625" customWidth="1"/>
    <col min="8716" max="8716" width="14" customWidth="1"/>
    <col min="8717" max="8717" width="13.7109375" customWidth="1"/>
    <col min="8718" max="8718" width="16.85546875" customWidth="1"/>
    <col min="8970" max="8970" width="25.5703125" customWidth="1"/>
    <col min="8971" max="8971" width="17.140625" customWidth="1"/>
    <col min="8972" max="8972" width="14" customWidth="1"/>
    <col min="8973" max="8973" width="13.7109375" customWidth="1"/>
    <col min="8974" max="8974" width="16.85546875" customWidth="1"/>
    <col min="9226" max="9226" width="25.5703125" customWidth="1"/>
    <col min="9227" max="9227" width="17.140625" customWidth="1"/>
    <col min="9228" max="9228" width="14" customWidth="1"/>
    <col min="9229" max="9229" width="13.7109375" customWidth="1"/>
    <col min="9230" max="9230" width="16.85546875" customWidth="1"/>
    <col min="9482" max="9482" width="25.5703125" customWidth="1"/>
    <col min="9483" max="9483" width="17.140625" customWidth="1"/>
    <col min="9484" max="9484" width="14" customWidth="1"/>
    <col min="9485" max="9485" width="13.7109375" customWidth="1"/>
    <col min="9486" max="9486" width="16.85546875" customWidth="1"/>
    <col min="9738" max="9738" width="25.5703125" customWidth="1"/>
    <col min="9739" max="9739" width="17.140625" customWidth="1"/>
    <col min="9740" max="9740" width="14" customWidth="1"/>
    <col min="9741" max="9741" width="13.7109375" customWidth="1"/>
    <col min="9742" max="9742" width="16.85546875" customWidth="1"/>
    <col min="9994" max="9994" width="25.5703125" customWidth="1"/>
    <col min="9995" max="9995" width="17.140625" customWidth="1"/>
    <col min="9996" max="9996" width="14" customWidth="1"/>
    <col min="9997" max="9997" width="13.7109375" customWidth="1"/>
    <col min="9998" max="9998" width="16.85546875" customWidth="1"/>
    <col min="10250" max="10250" width="25.5703125" customWidth="1"/>
    <col min="10251" max="10251" width="17.140625" customWidth="1"/>
    <col min="10252" max="10252" width="14" customWidth="1"/>
    <col min="10253" max="10253" width="13.7109375" customWidth="1"/>
    <col min="10254" max="10254" width="16.85546875" customWidth="1"/>
    <col min="10506" max="10506" width="25.5703125" customWidth="1"/>
    <col min="10507" max="10507" width="17.140625" customWidth="1"/>
    <col min="10508" max="10508" width="14" customWidth="1"/>
    <col min="10509" max="10509" width="13.7109375" customWidth="1"/>
    <col min="10510" max="10510" width="16.85546875" customWidth="1"/>
    <col min="10762" max="10762" width="25.5703125" customWidth="1"/>
    <col min="10763" max="10763" width="17.140625" customWidth="1"/>
    <col min="10764" max="10764" width="14" customWidth="1"/>
    <col min="10765" max="10765" width="13.7109375" customWidth="1"/>
    <col min="10766" max="10766" width="16.85546875" customWidth="1"/>
    <col min="11018" max="11018" width="25.5703125" customWidth="1"/>
    <col min="11019" max="11019" width="17.140625" customWidth="1"/>
    <col min="11020" max="11020" width="14" customWidth="1"/>
    <col min="11021" max="11021" width="13.7109375" customWidth="1"/>
    <col min="11022" max="11022" width="16.85546875" customWidth="1"/>
    <col min="11274" max="11274" width="25.5703125" customWidth="1"/>
    <col min="11275" max="11275" width="17.140625" customWidth="1"/>
    <col min="11276" max="11276" width="14" customWidth="1"/>
    <col min="11277" max="11277" width="13.7109375" customWidth="1"/>
    <col min="11278" max="11278" width="16.85546875" customWidth="1"/>
    <col min="11530" max="11530" width="25.5703125" customWidth="1"/>
    <col min="11531" max="11531" width="17.140625" customWidth="1"/>
    <col min="11532" max="11532" width="14" customWidth="1"/>
    <col min="11533" max="11533" width="13.7109375" customWidth="1"/>
    <col min="11534" max="11534" width="16.85546875" customWidth="1"/>
    <col min="11786" max="11786" width="25.5703125" customWidth="1"/>
    <col min="11787" max="11787" width="17.140625" customWidth="1"/>
    <col min="11788" max="11788" width="14" customWidth="1"/>
    <col min="11789" max="11789" width="13.7109375" customWidth="1"/>
    <col min="11790" max="11790" width="16.85546875" customWidth="1"/>
    <col min="12042" max="12042" width="25.5703125" customWidth="1"/>
    <col min="12043" max="12043" width="17.140625" customWidth="1"/>
    <col min="12044" max="12044" width="14" customWidth="1"/>
    <col min="12045" max="12045" width="13.7109375" customWidth="1"/>
    <col min="12046" max="12046" width="16.85546875" customWidth="1"/>
    <col min="12298" max="12298" width="25.5703125" customWidth="1"/>
    <col min="12299" max="12299" width="17.140625" customWidth="1"/>
    <col min="12300" max="12300" width="14" customWidth="1"/>
    <col min="12301" max="12301" width="13.7109375" customWidth="1"/>
    <col min="12302" max="12302" width="16.85546875" customWidth="1"/>
    <col min="12554" max="12554" width="25.5703125" customWidth="1"/>
    <col min="12555" max="12555" width="17.140625" customWidth="1"/>
    <col min="12556" max="12556" width="14" customWidth="1"/>
    <col min="12557" max="12557" width="13.7109375" customWidth="1"/>
    <col min="12558" max="12558" width="16.85546875" customWidth="1"/>
    <col min="12810" max="12810" width="25.5703125" customWidth="1"/>
    <col min="12811" max="12811" width="17.140625" customWidth="1"/>
    <col min="12812" max="12812" width="14" customWidth="1"/>
    <col min="12813" max="12813" width="13.7109375" customWidth="1"/>
    <col min="12814" max="12814" width="16.85546875" customWidth="1"/>
    <col min="13066" max="13066" width="25.5703125" customWidth="1"/>
    <col min="13067" max="13067" width="17.140625" customWidth="1"/>
    <col min="13068" max="13068" width="14" customWidth="1"/>
    <col min="13069" max="13069" width="13.7109375" customWidth="1"/>
    <col min="13070" max="13070" width="16.85546875" customWidth="1"/>
    <col min="13322" max="13322" width="25.5703125" customWidth="1"/>
    <col min="13323" max="13323" width="17.140625" customWidth="1"/>
    <col min="13324" max="13324" width="14" customWidth="1"/>
    <col min="13325" max="13325" width="13.7109375" customWidth="1"/>
    <col min="13326" max="13326" width="16.85546875" customWidth="1"/>
    <col min="13578" max="13578" width="25.5703125" customWidth="1"/>
    <col min="13579" max="13579" width="17.140625" customWidth="1"/>
    <col min="13580" max="13580" width="14" customWidth="1"/>
    <col min="13581" max="13581" width="13.7109375" customWidth="1"/>
    <col min="13582" max="13582" width="16.85546875" customWidth="1"/>
    <col min="13834" max="13834" width="25.5703125" customWidth="1"/>
    <col min="13835" max="13835" width="17.140625" customWidth="1"/>
    <col min="13836" max="13836" width="14" customWidth="1"/>
    <col min="13837" max="13837" width="13.7109375" customWidth="1"/>
    <col min="13838" max="13838" width="16.85546875" customWidth="1"/>
    <col min="14090" max="14090" width="25.5703125" customWidth="1"/>
    <col min="14091" max="14091" width="17.140625" customWidth="1"/>
    <col min="14092" max="14092" width="14" customWidth="1"/>
    <col min="14093" max="14093" width="13.7109375" customWidth="1"/>
    <col min="14094" max="14094" width="16.85546875" customWidth="1"/>
    <col min="14346" max="14346" width="25.5703125" customWidth="1"/>
    <col min="14347" max="14347" width="17.140625" customWidth="1"/>
    <col min="14348" max="14348" width="14" customWidth="1"/>
    <col min="14349" max="14349" width="13.7109375" customWidth="1"/>
    <col min="14350" max="14350" width="16.85546875" customWidth="1"/>
    <col min="14602" max="14602" width="25.5703125" customWidth="1"/>
    <col min="14603" max="14603" width="17.140625" customWidth="1"/>
    <col min="14604" max="14604" width="14" customWidth="1"/>
    <col min="14605" max="14605" width="13.7109375" customWidth="1"/>
    <col min="14606" max="14606" width="16.85546875" customWidth="1"/>
    <col min="14858" max="14858" width="25.5703125" customWidth="1"/>
    <col min="14859" max="14859" width="17.140625" customWidth="1"/>
    <col min="14860" max="14860" width="14" customWidth="1"/>
    <col min="14861" max="14861" width="13.7109375" customWidth="1"/>
    <col min="14862" max="14862" width="16.85546875" customWidth="1"/>
    <col min="15114" max="15114" width="25.5703125" customWidth="1"/>
    <col min="15115" max="15115" width="17.140625" customWidth="1"/>
    <col min="15116" max="15116" width="14" customWidth="1"/>
    <col min="15117" max="15117" width="13.7109375" customWidth="1"/>
    <col min="15118" max="15118" width="16.85546875" customWidth="1"/>
    <col min="15370" max="15370" width="25.5703125" customWidth="1"/>
    <col min="15371" max="15371" width="17.140625" customWidth="1"/>
    <col min="15372" max="15372" width="14" customWidth="1"/>
    <col min="15373" max="15373" width="13.7109375" customWidth="1"/>
    <col min="15374" max="15374" width="16.85546875" customWidth="1"/>
    <col min="15626" max="15626" width="25.5703125" customWidth="1"/>
    <col min="15627" max="15627" width="17.140625" customWidth="1"/>
    <col min="15628" max="15628" width="14" customWidth="1"/>
    <col min="15629" max="15629" width="13.7109375" customWidth="1"/>
    <col min="15630" max="15630" width="16.85546875" customWidth="1"/>
    <col min="15882" max="15882" width="25.5703125" customWidth="1"/>
    <col min="15883" max="15883" width="17.140625" customWidth="1"/>
    <col min="15884" max="15884" width="14" customWidth="1"/>
    <col min="15885" max="15885" width="13.7109375" customWidth="1"/>
    <col min="15886" max="15886" width="16.85546875" customWidth="1"/>
    <col min="16138" max="16138" width="25.5703125" customWidth="1"/>
    <col min="16139" max="16139" width="17.140625" customWidth="1"/>
    <col min="16140" max="16140" width="14" customWidth="1"/>
    <col min="16141" max="16141" width="13.7109375" customWidth="1"/>
    <col min="16142" max="16142" width="16.85546875" customWidth="1"/>
  </cols>
  <sheetData>
    <row r="1" spans="2:29">
      <c r="B1" s="334" t="s">
        <v>73</v>
      </c>
      <c r="C1" s="334"/>
      <c r="D1" s="168"/>
      <c r="E1" s="168"/>
      <c r="F1" s="168"/>
      <c r="G1" s="329"/>
      <c r="H1" s="329"/>
      <c r="I1" s="329"/>
      <c r="J1" s="329"/>
      <c r="K1" s="329"/>
      <c r="L1" s="329"/>
      <c r="M1" s="329"/>
      <c r="N1" s="329"/>
      <c r="P1" s="155" t="s">
        <v>73</v>
      </c>
    </row>
    <row r="2" spans="2:29" ht="15.75" thickBot="1">
      <c r="B2" s="168" t="s">
        <v>74</v>
      </c>
      <c r="C2" s="168"/>
      <c r="D2" s="168"/>
      <c r="E2" s="168"/>
      <c r="F2" s="168"/>
      <c r="G2" s="329"/>
      <c r="H2" s="427"/>
      <c r="I2" s="428"/>
      <c r="J2" s="428"/>
      <c r="K2" s="428"/>
      <c r="L2" s="428"/>
      <c r="M2" s="329"/>
      <c r="N2" s="329"/>
      <c r="P2" t="s">
        <v>74</v>
      </c>
    </row>
    <row r="3" spans="2:29" ht="16.5" thickBot="1">
      <c r="B3" s="168"/>
      <c r="C3" s="168"/>
      <c r="D3" s="168"/>
      <c r="E3" s="168"/>
      <c r="F3" s="168"/>
      <c r="G3" s="329"/>
      <c r="H3" s="867" t="s">
        <v>73</v>
      </c>
      <c r="I3" s="868"/>
      <c r="J3" s="868"/>
      <c r="K3" s="868"/>
      <c r="L3" s="869"/>
      <c r="M3" s="329"/>
      <c r="N3" s="329"/>
      <c r="W3" s="864" t="s">
        <v>2</v>
      </c>
      <c r="X3" s="865"/>
      <c r="Y3" s="865"/>
      <c r="Z3" s="865"/>
      <c r="AA3" s="865"/>
      <c r="AB3" s="865"/>
      <c r="AC3" s="866"/>
    </row>
    <row r="4" spans="2:29" ht="15.75" thickBot="1">
      <c r="B4" s="335" t="s">
        <v>75</v>
      </c>
      <c r="C4" s="336"/>
      <c r="D4" s="336"/>
      <c r="E4" s="336"/>
      <c r="F4" s="337"/>
      <c r="G4" s="338"/>
      <c r="H4" s="463" t="s">
        <v>75</v>
      </c>
      <c r="I4" s="464"/>
      <c r="J4" s="464">
        <v>15</v>
      </c>
      <c r="K4" s="464"/>
      <c r="L4" s="465"/>
      <c r="M4" s="338"/>
      <c r="N4" s="338"/>
      <c r="P4" s="339" t="s">
        <v>76</v>
      </c>
      <c r="Q4" s="340">
        <v>15</v>
      </c>
      <c r="R4" s="341" t="s">
        <v>77</v>
      </c>
      <c r="S4" s="342"/>
      <c r="T4" s="343">
        <v>12</v>
      </c>
      <c r="U4">
        <f>T4*Q4</f>
        <v>180</v>
      </c>
      <c r="W4" s="873" t="s">
        <v>117</v>
      </c>
      <c r="X4" s="874"/>
      <c r="Y4" s="874"/>
      <c r="Z4" s="874"/>
      <c r="AA4" s="874"/>
      <c r="AB4" s="874"/>
      <c r="AC4" s="875"/>
    </row>
    <row r="5" spans="2:29" ht="15.75" thickBot="1">
      <c r="B5" s="344"/>
      <c r="C5" s="345"/>
      <c r="D5" s="345"/>
      <c r="E5" s="345"/>
      <c r="F5" s="346"/>
      <c r="G5" s="338"/>
      <c r="H5" s="47"/>
      <c r="I5" s="145"/>
      <c r="J5" s="145"/>
      <c r="K5" s="145"/>
      <c r="L5" s="432"/>
      <c r="M5" s="338"/>
      <c r="N5" s="338"/>
      <c r="P5" s="347"/>
      <c r="Q5" s="348"/>
      <c r="R5" s="51"/>
      <c r="S5" s="51"/>
      <c r="T5" s="86"/>
      <c r="W5" s="66" t="s">
        <v>78</v>
      </c>
      <c r="X5" s="480">
        <f>'Master Lookup'!D12</f>
        <v>58086.498786186043</v>
      </c>
      <c r="Y5" s="113" t="s">
        <v>72</v>
      </c>
      <c r="Z5" s="349"/>
      <c r="AA5" s="349"/>
      <c r="AB5" s="349"/>
      <c r="AC5" s="350"/>
    </row>
    <row r="6" spans="2:29" ht="15.75" thickBot="1">
      <c r="B6" s="344"/>
      <c r="C6" s="345"/>
      <c r="D6" s="351" t="s">
        <v>4</v>
      </c>
      <c r="E6" s="351" t="s">
        <v>5</v>
      </c>
      <c r="F6" s="352" t="s">
        <v>6</v>
      </c>
      <c r="G6" s="353"/>
      <c r="H6" s="466"/>
      <c r="I6" s="467"/>
      <c r="J6" s="467" t="s">
        <v>4</v>
      </c>
      <c r="K6" s="440" t="s">
        <v>5</v>
      </c>
      <c r="L6" s="468" t="s">
        <v>6</v>
      </c>
      <c r="M6" s="353"/>
      <c r="N6" s="353"/>
      <c r="P6" s="52"/>
      <c r="Q6" s="348"/>
      <c r="R6" s="354" t="s">
        <v>4</v>
      </c>
      <c r="S6" s="354" t="s">
        <v>5</v>
      </c>
      <c r="T6" s="355" t="s">
        <v>6</v>
      </c>
      <c r="W6" s="66" t="str">
        <f>B8</f>
        <v>Direct care</v>
      </c>
      <c r="X6" s="480">
        <f>'Master Lookup'!D13</f>
        <v>51937.508057937601</v>
      </c>
      <c r="Y6" s="113" t="s">
        <v>72</v>
      </c>
      <c r="Z6" s="349"/>
      <c r="AA6" s="349"/>
      <c r="AB6" s="349"/>
      <c r="AC6" s="350"/>
    </row>
    <row r="7" spans="2:29">
      <c r="B7" s="344" t="s">
        <v>126</v>
      </c>
      <c r="C7" s="345"/>
      <c r="D7" s="356">
        <f>'[7]Model Budgets-Groups- Specialty'!D9</f>
        <v>52564.428772849235</v>
      </c>
      <c r="E7" s="345">
        <f>'[7]Model Budgets-Groups- Specialty'!E9</f>
        <v>0.01</v>
      </c>
      <c r="F7" s="357">
        <f>'[7]Model Budgets-Groups- Specialty'!F9</f>
        <v>525.64428772849237</v>
      </c>
      <c r="G7" s="358"/>
      <c r="H7" s="434" t="str">
        <f>W5</f>
        <v>Management</v>
      </c>
      <c r="I7" s="435"/>
      <c r="J7" s="435">
        <f>(((52564.4287728492*(1+E27)*(1+E29))*(1+E30)))</f>
        <v>58086.498786186006</v>
      </c>
      <c r="K7" s="436">
        <f>E7</f>
        <v>0.01</v>
      </c>
      <c r="L7" s="437">
        <f>K7*J7</f>
        <v>580.86498786186007</v>
      </c>
      <c r="M7" s="358"/>
      <c r="N7" s="358"/>
      <c r="P7" s="52" t="s">
        <v>79</v>
      </c>
      <c r="Q7" s="348"/>
      <c r="R7" s="359">
        <f>X5</f>
        <v>58086.498786186043</v>
      </c>
      <c r="S7" s="348">
        <v>0.01</v>
      </c>
      <c r="T7" s="360">
        <f>R7*S7</f>
        <v>580.86498786186041</v>
      </c>
      <c r="W7" s="870" t="s">
        <v>22</v>
      </c>
      <c r="X7" s="871"/>
      <c r="Y7" s="871"/>
      <c r="Z7" s="871"/>
      <c r="AA7" s="871"/>
      <c r="AB7" s="871"/>
      <c r="AC7" s="872"/>
    </row>
    <row r="8" spans="2:29" ht="15.75" thickBot="1">
      <c r="B8" s="344" t="s">
        <v>125</v>
      </c>
      <c r="C8" s="345"/>
      <c r="D8" s="356">
        <f>'[7]Model Budgets-Groups- Specialty'!D10</f>
        <v>47000</v>
      </c>
      <c r="E8" s="345">
        <f>'[7]Model Budgets-Groups- Specialty'!E10</f>
        <v>0.19</v>
      </c>
      <c r="F8" s="357">
        <f>'[7]Model Budgets-Groups- Specialty'!F10</f>
        <v>8930</v>
      </c>
      <c r="G8" s="358"/>
      <c r="H8" s="434" t="str">
        <f>W6</f>
        <v>Direct care</v>
      </c>
      <c r="I8" s="435"/>
      <c r="J8" s="435">
        <f>(((47000*(1+E27)*(1+E29))*(1+E30)))</f>
        <v>51937.508057937601</v>
      </c>
      <c r="K8" s="436">
        <v>0.19</v>
      </c>
      <c r="L8" s="437">
        <f>K8*J8</f>
        <v>9868.1265310081435</v>
      </c>
      <c r="M8" s="358"/>
      <c r="N8" s="358"/>
      <c r="P8" s="52" t="s">
        <v>80</v>
      </c>
      <c r="Q8" s="348"/>
      <c r="R8" s="359">
        <f>X6</f>
        <v>51937.508057937601</v>
      </c>
      <c r="S8" s="348">
        <v>0.19</v>
      </c>
      <c r="T8" s="361">
        <f>R8*S8</f>
        <v>9868.1265310081435</v>
      </c>
      <c r="W8" s="66" t="s">
        <v>81</v>
      </c>
      <c r="X8" s="481">
        <f>D15*(E$27+1)*(E$29+1)*(E$30+1)</f>
        <v>1038.750161158752</v>
      </c>
      <c r="Y8" s="113" t="s">
        <v>116</v>
      </c>
      <c r="Z8" s="349"/>
      <c r="AA8" s="349"/>
      <c r="AB8" s="349"/>
      <c r="AC8" s="350"/>
    </row>
    <row r="9" spans="2:29" ht="15.75" thickBot="1">
      <c r="B9" s="362" t="s">
        <v>82</v>
      </c>
      <c r="C9" s="310"/>
      <c r="D9" s="310"/>
      <c r="E9" s="363">
        <f>'[7]Model Budgets-Groups- Specialty'!E11</f>
        <v>0.2</v>
      </c>
      <c r="F9" s="364">
        <f>'[7]Model Budgets-Groups- Specialty'!F11</f>
        <v>9455.6442877284917</v>
      </c>
      <c r="G9" s="358"/>
      <c r="H9" s="438" t="s">
        <v>82</v>
      </c>
      <c r="I9" s="439"/>
      <c r="J9" s="439"/>
      <c r="K9" s="440">
        <v>0.2</v>
      </c>
      <c r="L9" s="441">
        <f>SUM(L7:L8)</f>
        <v>10448.991518870003</v>
      </c>
      <c r="M9" s="358"/>
      <c r="N9" s="358"/>
      <c r="O9" s="365">
        <f>T9</f>
        <v>10448.991518870003</v>
      </c>
      <c r="P9" s="366" t="s">
        <v>82</v>
      </c>
      <c r="Q9" s="367"/>
      <c r="R9" s="367"/>
      <c r="S9" s="368">
        <v>0.2</v>
      </c>
      <c r="T9" s="369">
        <f>SUM(T7:T8)</f>
        <v>10448.991518870003</v>
      </c>
      <c r="W9" s="66" t="s">
        <v>83</v>
      </c>
      <c r="X9" s="482">
        <f>D18*(E$27+1)*(E$29+1)*(E$30+1)</f>
        <v>109.61353884269474</v>
      </c>
      <c r="Y9" s="113" t="s">
        <v>116</v>
      </c>
      <c r="Z9" s="51"/>
      <c r="AA9" s="51"/>
      <c r="AB9" s="51"/>
      <c r="AC9" s="86"/>
    </row>
    <row r="10" spans="2:29">
      <c r="B10" s="344"/>
      <c r="C10" s="345"/>
      <c r="D10" s="345"/>
      <c r="E10" s="345"/>
      <c r="F10" s="346"/>
      <c r="G10" s="338"/>
      <c r="H10" s="47"/>
      <c r="I10" s="145"/>
      <c r="J10" s="145"/>
      <c r="K10" s="436"/>
      <c r="L10" s="432"/>
      <c r="M10" s="338"/>
      <c r="N10" s="338"/>
      <c r="P10" s="370"/>
      <c r="Q10" s="348"/>
      <c r="R10" s="348"/>
      <c r="S10" s="348"/>
      <c r="T10" s="371"/>
      <c r="W10" s="66" t="s">
        <v>68</v>
      </c>
      <c r="X10" s="481">
        <f>F19*(E$27+1)*(E$29+1)*(E$30+1)</f>
        <v>3521.8050676733433</v>
      </c>
      <c r="Y10" s="113" t="s">
        <v>116</v>
      </c>
      <c r="Z10" s="51"/>
      <c r="AA10" s="51"/>
      <c r="AB10" s="51"/>
      <c r="AC10" s="86"/>
    </row>
    <row r="11" spans="2:29">
      <c r="B11" s="344" t="s">
        <v>23</v>
      </c>
      <c r="C11" s="345"/>
      <c r="D11" s="345"/>
      <c r="E11" s="345"/>
      <c r="F11" s="346"/>
      <c r="G11" s="338"/>
      <c r="H11" s="47" t="s">
        <v>23</v>
      </c>
      <c r="I11" s="145"/>
      <c r="J11" s="145"/>
      <c r="K11" s="436"/>
      <c r="L11" s="432"/>
      <c r="M11" s="338"/>
      <c r="N11" s="338"/>
      <c r="P11" s="370" t="s">
        <v>23</v>
      </c>
      <c r="Q11" s="348"/>
      <c r="R11" s="348"/>
      <c r="S11" s="348"/>
      <c r="T11" s="371"/>
      <c r="W11" s="66" t="s">
        <v>84</v>
      </c>
      <c r="X11" s="481">
        <f>F20*(E$27+1)*(E$29+1)*(E$30+1)</f>
        <v>1933.8433851359746</v>
      </c>
      <c r="Y11" s="113" t="s">
        <v>116</v>
      </c>
      <c r="Z11" s="51"/>
      <c r="AA11" s="51"/>
      <c r="AB11" s="51"/>
      <c r="AC11" s="86"/>
    </row>
    <row r="12" spans="2:29" ht="15.75" thickBot="1">
      <c r="B12" s="344" t="s">
        <v>85</v>
      </c>
      <c r="C12" s="345"/>
      <c r="D12" s="372">
        <f>'[7]Model Budgets-Groups- Specialty'!D14</f>
        <v>0.21590826871491237</v>
      </c>
      <c r="E12" s="372"/>
      <c r="F12" s="357">
        <f>'[7]Model Budgets-Groups- Specialty'!F14</f>
        <v>2041.5517877475093</v>
      </c>
      <c r="G12" s="358"/>
      <c r="H12" s="434" t="s">
        <v>85</v>
      </c>
      <c r="I12" s="435"/>
      <c r="J12" s="442">
        <v>0.21590826871491237</v>
      </c>
      <c r="K12" s="436"/>
      <c r="L12" s="443">
        <f>J12*L9</f>
        <v>2256.0236686560252</v>
      </c>
      <c r="M12" s="358"/>
      <c r="N12" s="358"/>
      <c r="O12" s="318">
        <f>T12</f>
        <v>2507.7579645288006</v>
      </c>
      <c r="P12" s="370" t="s">
        <v>85</v>
      </c>
      <c r="Q12" s="348"/>
      <c r="R12" s="373">
        <f>X15</f>
        <v>0.24</v>
      </c>
      <c r="S12" s="373"/>
      <c r="T12" s="360">
        <f>R12*T9</f>
        <v>2507.7579645288006</v>
      </c>
      <c r="W12" s="66" t="s">
        <v>69</v>
      </c>
      <c r="X12" s="482">
        <f>D21*(E$27+1)*(E$29+1)*(E$30+1)</f>
        <v>48.978838184015842</v>
      </c>
      <c r="Y12" s="113" t="s">
        <v>116</v>
      </c>
      <c r="Z12" s="51"/>
      <c r="AA12" s="51"/>
      <c r="AB12" s="51"/>
      <c r="AC12" s="86"/>
    </row>
    <row r="13" spans="2:29" ht="15.75" thickBot="1">
      <c r="B13" s="362" t="s">
        <v>27</v>
      </c>
      <c r="C13" s="310"/>
      <c r="D13" s="310"/>
      <c r="E13" s="310"/>
      <c r="F13" s="364">
        <f>'[7]Model Budgets-Groups- Specialty'!$F$15</f>
        <v>11497.196075476</v>
      </c>
      <c r="G13" s="358"/>
      <c r="H13" s="438" t="s">
        <v>27</v>
      </c>
      <c r="I13" s="439"/>
      <c r="J13" s="439"/>
      <c r="K13" s="440"/>
      <c r="L13" s="441">
        <f>SUM(L9:L12)</f>
        <v>12705.015187526029</v>
      </c>
      <c r="M13" s="358"/>
      <c r="N13" s="358"/>
      <c r="O13" s="365">
        <f>SUM(O9:O12)</f>
        <v>12956.749483398804</v>
      </c>
      <c r="P13" s="366" t="s">
        <v>27</v>
      </c>
      <c r="Q13" s="367"/>
      <c r="R13" s="367"/>
      <c r="S13" s="367"/>
      <c r="T13" s="369">
        <f>T12+T9</f>
        <v>12956.749483398804</v>
      </c>
      <c r="W13" s="66" t="s">
        <v>86</v>
      </c>
      <c r="X13" s="481">
        <f>F22*(E$27+1)*(E$29+1)*(E$30+1)</f>
        <v>4972.7401332067911</v>
      </c>
      <c r="Y13" s="113" t="s">
        <v>116</v>
      </c>
      <c r="Z13" s="51"/>
      <c r="AA13" s="51"/>
      <c r="AB13" s="51"/>
      <c r="AC13" s="86"/>
    </row>
    <row r="14" spans="2:29">
      <c r="B14" s="344"/>
      <c r="C14" s="345"/>
      <c r="D14" s="345" t="s">
        <v>87</v>
      </c>
      <c r="E14" s="374" t="s">
        <v>88</v>
      </c>
      <c r="F14" s="346"/>
      <c r="G14" s="338"/>
      <c r="H14" s="429"/>
      <c r="I14" s="430"/>
      <c r="J14" s="469" t="s">
        <v>87</v>
      </c>
      <c r="K14" s="470" t="s">
        <v>88</v>
      </c>
      <c r="L14" s="431"/>
      <c r="M14" s="338"/>
      <c r="N14" s="338"/>
      <c r="P14" s="370"/>
      <c r="Q14" s="348"/>
      <c r="R14" s="348"/>
      <c r="S14" s="375"/>
      <c r="T14" s="371"/>
      <c r="W14" s="52"/>
      <c r="X14" s="71"/>
      <c r="Y14" s="51"/>
      <c r="Z14" s="51"/>
      <c r="AA14" s="51"/>
      <c r="AB14" s="51"/>
      <c r="AC14" s="86"/>
    </row>
    <row r="15" spans="2:29">
      <c r="B15" s="376" t="s">
        <v>89</v>
      </c>
      <c r="C15" s="345"/>
      <c r="D15" s="345">
        <f>'[7]Model Budgets-Groups- Specialty'!$D$17</f>
        <v>940</v>
      </c>
      <c r="E15" s="345">
        <f>'[7]Model Budgets-Groups- Specialty'!$E$17</f>
        <v>5</v>
      </c>
      <c r="F15" s="357">
        <f>'[8]Model Budgets-Groups- Specialty'!$F$17</f>
        <v>4700</v>
      </c>
      <c r="G15" s="358"/>
      <c r="H15" s="434" t="s">
        <v>89</v>
      </c>
      <c r="I15" s="435"/>
      <c r="J15" s="435">
        <f>X8</f>
        <v>1038.750161158752</v>
      </c>
      <c r="K15" s="436">
        <v>5</v>
      </c>
      <c r="L15" s="437">
        <f>K15*J15</f>
        <v>5193.7508057937603</v>
      </c>
      <c r="M15" s="358"/>
      <c r="N15" s="358"/>
      <c r="P15" s="377" t="s">
        <v>81</v>
      </c>
      <c r="Q15" s="348"/>
      <c r="R15" s="378">
        <f>X53</f>
        <v>553.31333333333339</v>
      </c>
      <c r="S15" s="348">
        <v>9</v>
      </c>
      <c r="T15" s="361">
        <f>S15*R15</f>
        <v>4979.8200000000006</v>
      </c>
      <c r="W15" s="52" t="s">
        <v>24</v>
      </c>
      <c r="X15" s="71">
        <f>'Master Lookup'!D24</f>
        <v>0.24</v>
      </c>
      <c r="Y15" s="51"/>
      <c r="Z15" s="51"/>
      <c r="AA15" s="51"/>
      <c r="AB15" s="51"/>
      <c r="AC15" s="86"/>
    </row>
    <row r="16" spans="2:29" ht="15.75" thickBot="1">
      <c r="B16" s="376"/>
      <c r="C16" s="345"/>
      <c r="D16" s="345"/>
      <c r="E16" s="345"/>
      <c r="F16" s="346"/>
      <c r="G16" s="338"/>
      <c r="H16" s="47"/>
      <c r="I16" s="145"/>
      <c r="J16" s="145"/>
      <c r="K16" s="436"/>
      <c r="L16" s="432"/>
      <c r="M16" s="338"/>
      <c r="N16" s="338"/>
      <c r="P16" s="377" t="str">
        <f>W9</f>
        <v>Occupancy</v>
      </c>
      <c r="Q16" s="348"/>
      <c r="R16" s="379">
        <f>X9</f>
        <v>109.61353884269474</v>
      </c>
      <c r="S16" s="348"/>
      <c r="T16" s="361">
        <f>R16*X49</f>
        <v>1644.2030826404211</v>
      </c>
      <c r="W16" s="52" t="s">
        <v>26</v>
      </c>
      <c r="X16" s="71">
        <f>'Master Lookup'!D23</f>
        <v>0.12</v>
      </c>
      <c r="Y16" s="51"/>
      <c r="Z16" s="51"/>
      <c r="AA16" s="51"/>
      <c r="AB16" s="51"/>
      <c r="AC16" s="86"/>
    </row>
    <row r="17" spans="2:29" ht="15.75" thickBot="1">
      <c r="B17" s="380" t="s">
        <v>90</v>
      </c>
      <c r="C17" s="345"/>
      <c r="D17" s="345" t="str">
        <f>'[7]Model Budgets-Groups- Specialty'!D19</f>
        <v>Standard/session</v>
      </c>
      <c r="E17" s="345"/>
      <c r="F17" s="357">
        <f>'[7]Model Budgets-Groups- Specialty'!$F$19</f>
        <v>1487.8947368421054</v>
      </c>
      <c r="G17" s="358"/>
      <c r="H17" s="434" t="s">
        <v>91</v>
      </c>
      <c r="I17" s="435"/>
      <c r="J17" s="444">
        <f>X9</f>
        <v>109.61353884269474</v>
      </c>
      <c r="K17" s="436"/>
      <c r="L17" s="437">
        <f>J17*J4</f>
        <v>1644.2030826404211</v>
      </c>
      <c r="M17" s="358"/>
      <c r="N17" s="358"/>
      <c r="P17" s="370" t="s">
        <v>68</v>
      </c>
      <c r="Q17" s="348"/>
      <c r="R17" s="381">
        <f>X10</f>
        <v>3521.8050676733433</v>
      </c>
      <c r="S17" s="348"/>
      <c r="T17" s="361">
        <f>(R17*X47)*X49</f>
        <v>528270.76015100139</v>
      </c>
      <c r="W17" s="234" t="s">
        <v>54</v>
      </c>
      <c r="X17" s="235">
        <v>6.3E-3</v>
      </c>
      <c r="Y17" s="328" t="s">
        <v>283</v>
      </c>
      <c r="Z17" s="69"/>
      <c r="AA17" s="69"/>
      <c r="AB17" s="69"/>
      <c r="AC17" s="70"/>
    </row>
    <row r="18" spans="2:29" ht="15.75" thickBot="1">
      <c r="B18" s="344"/>
      <c r="C18" s="345"/>
      <c r="D18" s="382">
        <f>'[7]Model Budgets-Groups- Specialty'!D20</f>
        <v>99.192982456140356</v>
      </c>
      <c r="E18" s="345"/>
      <c r="F18" s="346"/>
      <c r="G18" s="338"/>
      <c r="H18" s="445" t="s">
        <v>68</v>
      </c>
      <c r="I18" s="446"/>
      <c r="J18" s="446"/>
      <c r="K18" s="447"/>
      <c r="L18" s="448">
        <f>X10</f>
        <v>3521.8050676733433</v>
      </c>
      <c r="M18" s="338"/>
      <c r="N18" s="338"/>
      <c r="P18" s="370" t="s">
        <v>84</v>
      </c>
      <c r="Q18" s="348"/>
      <c r="R18" s="384"/>
      <c r="S18" s="348"/>
      <c r="T18" s="361">
        <f>X11</f>
        <v>1933.8433851359746</v>
      </c>
      <c r="W18" s="721" t="s">
        <v>55</v>
      </c>
      <c r="X18" s="722">
        <f>'Master Lookup'!D26</f>
        <v>1.8120393120392975E-2</v>
      </c>
      <c r="Y18" s="723" t="s">
        <v>56</v>
      </c>
      <c r="Z18" s="723"/>
      <c r="AA18" s="723"/>
      <c r="AB18" s="723"/>
      <c r="AC18" s="70"/>
    </row>
    <row r="19" spans="2:29">
      <c r="B19" s="344" t="s">
        <v>68</v>
      </c>
      <c r="C19" s="345"/>
      <c r="D19" s="345"/>
      <c r="E19" s="345"/>
      <c r="F19" s="385">
        <v>3187</v>
      </c>
      <c r="G19" s="383"/>
      <c r="H19" s="434" t="s">
        <v>92</v>
      </c>
      <c r="I19" s="435"/>
      <c r="J19" s="435"/>
      <c r="K19" s="436"/>
      <c r="L19" s="437">
        <f>X11</f>
        <v>1933.8433851359746</v>
      </c>
      <c r="M19" s="383"/>
      <c r="N19" s="383"/>
      <c r="P19" s="370" t="s">
        <v>69</v>
      </c>
      <c r="Q19" s="348"/>
      <c r="R19" s="381">
        <f>X12</f>
        <v>48.978838184015842</v>
      </c>
      <c r="S19" s="348"/>
      <c r="T19" s="361">
        <f>(R19*X49)</f>
        <v>734.68257276023769</v>
      </c>
      <c r="U19" s="318"/>
      <c r="V19" s="318"/>
    </row>
    <row r="20" spans="2:29">
      <c r="B20" s="344" t="s">
        <v>92</v>
      </c>
      <c r="C20" s="345"/>
      <c r="D20" s="345"/>
      <c r="E20" s="345"/>
      <c r="F20" s="357">
        <f>'[7]Model Budgets-Groups- Specialty'!$F$23</f>
        <v>1750</v>
      </c>
      <c r="G20" s="358"/>
      <c r="H20" s="434" t="s">
        <v>69</v>
      </c>
      <c r="I20" s="435"/>
      <c r="J20" s="455">
        <f>X12</f>
        <v>48.978838184015842</v>
      </c>
      <c r="K20" s="436"/>
      <c r="L20" s="437">
        <f>J20*J4</f>
        <v>734.68257276023769</v>
      </c>
      <c r="M20" s="358"/>
      <c r="N20" s="358"/>
      <c r="P20" s="370" t="s">
        <v>86</v>
      </c>
      <c r="Q20" s="348"/>
      <c r="R20" s="381">
        <f>X13</f>
        <v>4972.7401332067911</v>
      </c>
      <c r="S20" s="348"/>
      <c r="T20" s="361">
        <f>R20*15</f>
        <v>74591.101998101862</v>
      </c>
      <c r="U20" s="318">
        <v>15859</v>
      </c>
      <c r="V20" s="318"/>
    </row>
    <row r="21" spans="2:29">
      <c r="B21" s="344" t="s">
        <v>69</v>
      </c>
      <c r="C21" s="345"/>
      <c r="D21" s="382">
        <f>'[7]Model Budgets-Groups- Specialty'!$D$24</f>
        <v>44.322599999999994</v>
      </c>
      <c r="E21" s="345"/>
      <c r="F21" s="357">
        <f>'[7]Model Budgets-Groups- Specialty'!$F$24</f>
        <v>664.83899999999994</v>
      </c>
      <c r="G21" s="358"/>
      <c r="H21" s="434" t="s">
        <v>86</v>
      </c>
      <c r="I21" s="435"/>
      <c r="J21" s="435"/>
      <c r="K21" s="436"/>
      <c r="L21" s="437">
        <f>X13</f>
        <v>4972.7401332067911</v>
      </c>
      <c r="M21" s="358"/>
      <c r="N21" s="358"/>
      <c r="P21" s="370"/>
      <c r="Q21" s="348"/>
      <c r="R21" s="384"/>
      <c r="S21" s="348"/>
      <c r="T21" s="361"/>
      <c r="U21" s="318"/>
      <c r="V21" s="318"/>
    </row>
    <row r="22" spans="2:29" ht="15.75" thickBot="1">
      <c r="B22" s="344" t="s">
        <v>86</v>
      </c>
      <c r="C22" s="345"/>
      <c r="D22" s="345"/>
      <c r="E22" s="345"/>
      <c r="F22" s="357">
        <f>'[7]Model Budgets-Groups- Specialty'!$F$25</f>
        <v>4500</v>
      </c>
      <c r="G22" s="358"/>
      <c r="H22" s="47"/>
      <c r="I22" s="145"/>
      <c r="J22" s="145"/>
      <c r="K22" s="436"/>
      <c r="L22" s="432"/>
      <c r="M22" s="358"/>
      <c r="N22" s="358"/>
      <c r="P22" s="370"/>
      <c r="Q22" s="348"/>
      <c r="R22" s="348"/>
      <c r="S22" s="348"/>
      <c r="T22" s="361"/>
      <c r="U22" s="318">
        <f>T19/U4</f>
        <v>4.0815698486679874</v>
      </c>
      <c r="V22" s="365"/>
    </row>
    <row r="23" spans="2:29" ht="15.75" thickBot="1">
      <c r="B23" s="344"/>
      <c r="C23" s="345"/>
      <c r="D23" s="345"/>
      <c r="E23" s="345"/>
      <c r="F23" s="346"/>
      <c r="G23" s="338"/>
      <c r="H23" s="438" t="s">
        <v>93</v>
      </c>
      <c r="I23" s="449"/>
      <c r="J23" s="449"/>
      <c r="K23" s="449"/>
      <c r="L23" s="450">
        <f>SUM(L15:L22)</f>
        <v>18001.025047210529</v>
      </c>
      <c r="M23" s="338"/>
      <c r="N23" s="338"/>
      <c r="O23" s="365">
        <f>F15+F17+F19+F20+F21+F22</f>
        <v>16289.733736842105</v>
      </c>
      <c r="P23" s="370"/>
      <c r="Q23" s="348"/>
      <c r="R23" s="348"/>
      <c r="S23" s="348"/>
      <c r="T23" s="371"/>
      <c r="U23">
        <f>U4*7.09</f>
        <v>1276.2</v>
      </c>
    </row>
    <row r="24" spans="2:29" ht="15.75" thickBot="1">
      <c r="B24" s="362" t="s">
        <v>94</v>
      </c>
      <c r="C24" s="310"/>
      <c r="D24" s="310"/>
      <c r="E24" s="310"/>
      <c r="F24" s="387">
        <f>'[7]Model Budgets-Groups- Specialty'!F27</f>
        <v>27786.929812318107</v>
      </c>
      <c r="G24" s="388"/>
      <c r="H24" s="451" t="s">
        <v>94</v>
      </c>
      <c r="I24" s="452"/>
      <c r="J24" s="452"/>
      <c r="K24" s="453"/>
      <c r="L24" s="821">
        <f>L23+L13</f>
        <v>30706.04023473656</v>
      </c>
      <c r="M24" s="388"/>
      <c r="N24" s="388"/>
      <c r="O24" s="365">
        <f>O23+O13</f>
        <v>29246.483220240909</v>
      </c>
      <c r="P24" s="366" t="s">
        <v>94</v>
      </c>
      <c r="Q24" s="367"/>
      <c r="R24" s="367"/>
      <c r="S24" s="367"/>
      <c r="T24" s="389">
        <f>SUM(T13:T23)</f>
        <v>625111.1606730388</v>
      </c>
    </row>
    <row r="25" spans="2:29">
      <c r="B25" s="344" t="s">
        <v>95</v>
      </c>
      <c r="C25" s="345"/>
      <c r="D25" s="390">
        <f>F25/F24</f>
        <v>0.11306220647863946</v>
      </c>
      <c r="E25" s="345"/>
      <c r="F25" s="391">
        <f>'[7]Model Budgets-Groups- Specialty'!F28</f>
        <v>3141.6515958477721</v>
      </c>
      <c r="G25" s="388"/>
      <c r="H25" s="454" t="s">
        <v>95</v>
      </c>
      <c r="I25" s="455"/>
      <c r="J25" s="442">
        <f>X16</f>
        <v>0.12</v>
      </c>
      <c r="K25" s="436"/>
      <c r="L25" s="437">
        <f>J25*L24</f>
        <v>3684.7248281683869</v>
      </c>
      <c r="M25" s="388"/>
      <c r="N25" s="388"/>
      <c r="O25" s="365">
        <f>D25*O24</f>
        <v>3306.6719246209418</v>
      </c>
      <c r="P25" s="370" t="s">
        <v>95</v>
      </c>
      <c r="Q25" s="348"/>
      <c r="R25" s="392">
        <f>D25</f>
        <v>0.11306220647863946</v>
      </c>
      <c r="S25" s="348"/>
      <c r="T25" s="360">
        <f>R25*T24</f>
        <v>70676.447120117082</v>
      </c>
    </row>
    <row r="26" spans="2:29">
      <c r="B26" s="344" t="s">
        <v>96</v>
      </c>
      <c r="C26" s="345"/>
      <c r="D26" s="345"/>
      <c r="E26" s="345"/>
      <c r="F26" s="391">
        <f>'[7]Model Budgets-Groups- Specialty'!F29</f>
        <v>30928.581408165879</v>
      </c>
      <c r="G26" s="388"/>
      <c r="H26" s="456" t="s">
        <v>54</v>
      </c>
      <c r="I26" s="457"/>
      <c r="J26" s="458">
        <f>X17</f>
        <v>6.3E-3</v>
      </c>
      <c r="K26" s="459"/>
      <c r="L26" s="460">
        <f>J26*L9</f>
        <v>65.828646568881027</v>
      </c>
      <c r="M26" s="388"/>
      <c r="N26" s="388"/>
      <c r="O26" s="318">
        <f>T9*R26</f>
        <v>65.828646568881027</v>
      </c>
      <c r="P26" s="393" t="s">
        <v>54</v>
      </c>
      <c r="Q26" s="394"/>
      <c r="R26" s="395">
        <v>6.3E-3</v>
      </c>
      <c r="S26" s="394"/>
      <c r="T26" s="396">
        <f>R26*T9</f>
        <v>65.828646568881027</v>
      </c>
    </row>
    <row r="27" spans="2:29">
      <c r="B27" s="344" t="s">
        <v>97</v>
      </c>
      <c r="C27" s="345"/>
      <c r="D27" s="168"/>
      <c r="E27" s="397">
        <v>4.4599999999999973E-2</v>
      </c>
      <c r="F27" s="391">
        <f>'[7]Model Budgets-Groups- Specialty'!F30</f>
        <v>32307.996138970077</v>
      </c>
      <c r="G27" s="388"/>
      <c r="H27" s="461" t="s">
        <v>96</v>
      </c>
      <c r="I27" s="462"/>
      <c r="J27" s="462"/>
      <c r="K27" s="433"/>
      <c r="L27" s="820">
        <f>SUM(L24:L26)</f>
        <v>34456.593709473826</v>
      </c>
      <c r="M27" s="388"/>
      <c r="N27" s="388"/>
      <c r="O27" s="365">
        <f>SUM(O24:O26)</f>
        <v>32618.983791430732</v>
      </c>
      <c r="P27" s="370" t="s">
        <v>96</v>
      </c>
      <c r="Q27" s="348"/>
      <c r="R27" s="348"/>
      <c r="S27" s="348"/>
      <c r="T27" s="360">
        <f>SUM(T24:T26)</f>
        <v>695853.43643972476</v>
      </c>
    </row>
    <row r="28" spans="2:29">
      <c r="B28" s="362" t="s">
        <v>98</v>
      </c>
      <c r="C28" s="307"/>
      <c r="D28" s="307"/>
      <c r="E28" s="307"/>
      <c r="F28" s="399">
        <f>'[7]Model Budgets-Groups- Specialty'!F31</f>
        <v>2153.8664092646718</v>
      </c>
      <c r="G28" s="398"/>
      <c r="H28" s="724" t="s">
        <v>97</v>
      </c>
      <c r="I28" s="725"/>
      <c r="J28" s="726">
        <f>X18</f>
        <v>1.8120393120392975E-2</v>
      </c>
      <c r="K28" s="455"/>
      <c r="L28" s="437">
        <f>L27*(1+J28)</f>
        <v>35080.960733079155</v>
      </c>
      <c r="M28" s="398"/>
      <c r="N28" s="398"/>
      <c r="O28" s="318">
        <f>(O27*S32)+O27</f>
        <v>32824.483389316745</v>
      </c>
      <c r="P28" s="370" t="s">
        <v>97</v>
      </c>
      <c r="Q28" s="348"/>
      <c r="R28" s="348"/>
      <c r="S28" s="348"/>
      <c r="T28" s="360">
        <f>T27+(T27*S32)</f>
        <v>700237.31308929506</v>
      </c>
    </row>
    <row r="29" spans="2:29" ht="15.75" thickBot="1">
      <c r="B29" s="306" t="s">
        <v>63</v>
      </c>
      <c r="C29" s="310"/>
      <c r="D29" s="310"/>
      <c r="E29" s="308">
        <f>[9]Sheet1!N1</f>
        <v>2.9824052590873982E-2</v>
      </c>
      <c r="F29" s="400">
        <f>F28*(E29+1)+0.01</f>
        <v>2218.1134343282984</v>
      </c>
      <c r="G29" s="388"/>
      <c r="H29" s="472" t="s">
        <v>98</v>
      </c>
      <c r="I29" s="473"/>
      <c r="J29" s="473"/>
      <c r="K29" s="473"/>
      <c r="L29" s="93">
        <f>L28/J4</f>
        <v>2338.7307155386102</v>
      </c>
      <c r="M29" s="388"/>
      <c r="N29" s="388"/>
      <c r="O29" s="318">
        <f>O28/15</f>
        <v>2188.2988926211165</v>
      </c>
      <c r="P29" s="366" t="s">
        <v>98</v>
      </c>
      <c r="Q29" s="401"/>
      <c r="R29" s="401"/>
      <c r="S29" s="401"/>
      <c r="T29" s="402">
        <f>T28/15</f>
        <v>46682.48753928634</v>
      </c>
      <c r="V29" s="319"/>
    </row>
    <row r="30" spans="2:29">
      <c r="B30" s="306" t="s">
        <v>64</v>
      </c>
      <c r="C30" s="310"/>
      <c r="D30" s="310"/>
      <c r="E30" s="308">
        <f>'[10]CAF Spring17'!BK27</f>
        <v>2.7235921972764018E-2</v>
      </c>
      <c r="F30" s="471">
        <f>F29*(E30+1)-0.01</f>
        <v>2278.5157987524035</v>
      </c>
      <c r="G30" s="403"/>
      <c r="H30" s="388"/>
      <c r="I30" s="388"/>
      <c r="J30" s="388"/>
      <c r="K30" s="388"/>
      <c r="L30" s="388"/>
      <c r="M30" s="403"/>
      <c r="N30" s="403"/>
      <c r="P30" s="404" t="s">
        <v>63</v>
      </c>
      <c r="Q30" s="405"/>
      <c r="R30" s="405"/>
      <c r="S30" s="406">
        <v>2.9824052590873982E-2</v>
      </c>
      <c r="T30" s="407">
        <v>2218.1134343282984</v>
      </c>
    </row>
    <row r="31" spans="2:29" ht="15.75" thickBot="1">
      <c r="B31" s="168"/>
      <c r="C31" s="168"/>
      <c r="D31" s="168"/>
      <c r="E31" s="168"/>
      <c r="F31" s="168"/>
      <c r="G31" s="329"/>
      <c r="H31" s="403"/>
      <c r="I31" s="403"/>
      <c r="J31" s="403"/>
      <c r="K31" s="403"/>
      <c r="L31" s="403"/>
      <c r="M31" s="329"/>
      <c r="N31" s="329"/>
      <c r="P31" s="408" t="s">
        <v>64</v>
      </c>
      <c r="Q31" s="405"/>
      <c r="R31" s="409"/>
      <c r="S31" s="410">
        <v>2.7235921972764018E-2</v>
      </c>
      <c r="T31" s="411">
        <v>2278.5157987524035</v>
      </c>
    </row>
    <row r="32" spans="2:29" ht="15.75" thickBot="1">
      <c r="G32" s="318"/>
      <c r="H32" s="318"/>
      <c r="I32" s="318"/>
      <c r="J32" s="318"/>
      <c r="K32" s="318"/>
      <c r="L32" s="318"/>
      <c r="P32" s="412" t="s">
        <v>65</v>
      </c>
      <c r="Q32" s="413"/>
      <c r="R32" s="414"/>
      <c r="S32" s="415">
        <f>'[11]Aut-FamSupCtrs'!V12</f>
        <v>6.3E-3</v>
      </c>
      <c r="T32" s="416">
        <f>T29</f>
        <v>46682.48753928634</v>
      </c>
    </row>
    <row r="33" spans="2:29" ht="15.75" thickBot="1">
      <c r="F33" s="318"/>
      <c r="G33" s="318"/>
      <c r="H33" s="487" t="s">
        <v>118</v>
      </c>
      <c r="I33" s="386"/>
      <c r="J33" s="488" t="s">
        <v>120</v>
      </c>
      <c r="K33" s="489" t="s">
        <v>121</v>
      </c>
      <c r="M33" s="318"/>
      <c r="N33" s="318"/>
      <c r="Q33" s="417"/>
    </row>
    <row r="34" spans="2:29">
      <c r="D34" s="318"/>
      <c r="H34" s="484" t="s">
        <v>119</v>
      </c>
      <c r="I34" s="483"/>
      <c r="J34" s="486">
        <v>132.22999999999999</v>
      </c>
      <c r="K34" s="485">
        <f t="shared" ref="K34" si="0">J34*(X$18+1)</f>
        <v>134.62605958230955</v>
      </c>
      <c r="L34" s="418"/>
      <c r="Q34" s="348"/>
    </row>
    <row r="35" spans="2:29">
      <c r="D35" s="318"/>
      <c r="F35" s="418"/>
      <c r="G35" s="418"/>
      <c r="I35" s="418"/>
      <c r="J35" s="418"/>
      <c r="L35" s="319"/>
      <c r="M35" s="348"/>
    </row>
    <row r="36" spans="2:29">
      <c r="D36" s="318"/>
      <c r="F36" s="318"/>
      <c r="Q36" s="348"/>
    </row>
    <row r="37" spans="2:29">
      <c r="D37" s="318"/>
      <c r="Q37" s="348"/>
    </row>
    <row r="38" spans="2:29">
      <c r="D38" s="318"/>
      <c r="Q38" s="348"/>
    </row>
    <row r="39" spans="2:29">
      <c r="D39" s="318"/>
      <c r="E39" s="318"/>
      <c r="Q39" s="348"/>
    </row>
    <row r="40" spans="2:29">
      <c r="Q40" s="348"/>
    </row>
    <row r="41" spans="2:29">
      <c r="D41" s="318"/>
      <c r="Q41" s="348"/>
    </row>
    <row r="42" spans="2:29">
      <c r="H42" s="329"/>
      <c r="I42" s="329"/>
      <c r="J42" s="329"/>
      <c r="K42" s="329"/>
      <c r="Q42" s="348"/>
    </row>
    <row r="43" spans="2:29">
      <c r="H43" s="329"/>
      <c r="I43" s="329"/>
      <c r="J43" s="329"/>
      <c r="K43" s="329"/>
      <c r="Q43" s="348"/>
    </row>
    <row r="44" spans="2:29">
      <c r="H44" s="329"/>
      <c r="I44" s="329"/>
      <c r="J44" s="329"/>
      <c r="K44" s="329"/>
      <c r="Q44" s="348"/>
    </row>
    <row r="45" spans="2:29">
      <c r="B45" s="329"/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Q45" s="348"/>
    </row>
    <row r="46" spans="2:29" ht="15.75" thickBot="1"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Q46" s="348"/>
    </row>
    <row r="47" spans="2:29"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Q47" s="348"/>
      <c r="W47" s="42" t="s">
        <v>99</v>
      </c>
      <c r="X47" s="162">
        <v>10</v>
      </c>
      <c r="Y47" s="162" t="s">
        <v>100</v>
      </c>
      <c r="Z47" s="162"/>
      <c r="AA47" s="162"/>
      <c r="AB47" s="162"/>
      <c r="AC47" s="419"/>
    </row>
    <row r="48" spans="2:29"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Q48" s="348"/>
      <c r="W48" s="52" t="s">
        <v>101</v>
      </c>
      <c r="X48" s="51">
        <v>12</v>
      </c>
      <c r="Y48" s="51" t="s">
        <v>100</v>
      </c>
      <c r="Z48" s="51"/>
      <c r="AA48" s="51"/>
      <c r="AB48" s="51"/>
      <c r="AC48" s="86"/>
    </row>
    <row r="49" spans="2:29" ht="15.75" thickBot="1"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Q49" s="348"/>
      <c r="W49" s="61" t="s">
        <v>44</v>
      </c>
      <c r="X49" s="420">
        <v>15</v>
      </c>
      <c r="Y49" s="420" t="s">
        <v>100</v>
      </c>
      <c r="Z49" s="420"/>
      <c r="AA49" s="420"/>
      <c r="AB49" s="420"/>
      <c r="AC49" s="421"/>
    </row>
    <row r="50" spans="2:29"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Q50" s="348"/>
      <c r="X50" s="113"/>
    </row>
    <row r="51" spans="2:29" ht="76.900000000000006" customHeight="1">
      <c r="B51" s="353"/>
      <c r="C51" s="474"/>
      <c r="D51" s="475"/>
      <c r="E51" s="475"/>
      <c r="F51" s="329"/>
      <c r="G51" s="329"/>
      <c r="L51" s="329"/>
      <c r="M51" s="168"/>
      <c r="N51" s="168"/>
      <c r="P51" s="353" t="s">
        <v>66</v>
      </c>
      <c r="Q51" s="425" t="s">
        <v>110</v>
      </c>
      <c r="R51" s="426">
        <v>2015</v>
      </c>
      <c r="S51" s="426">
        <v>2018</v>
      </c>
      <c r="T51" s="353">
        <v>2020</v>
      </c>
    </row>
    <row r="52" spans="2:29">
      <c r="B52" s="338"/>
      <c r="C52" s="476"/>
      <c r="D52" s="477"/>
      <c r="E52" s="478"/>
      <c r="F52" s="329"/>
      <c r="G52" s="329"/>
      <c r="L52" s="329"/>
      <c r="M52" s="168"/>
      <c r="N52" s="168"/>
      <c r="P52" t="s">
        <v>111</v>
      </c>
      <c r="Q52" s="316">
        <v>125</v>
      </c>
      <c r="R52" s="316">
        <v>128.72499999999999</v>
      </c>
      <c r="S52" s="316">
        <v>132.23094405594404</v>
      </c>
      <c r="T52" s="316">
        <f>(S52*S32)+S52</f>
        <v>133.06399900349649</v>
      </c>
      <c r="X52" s="317">
        <v>8299.7000000000007</v>
      </c>
      <c r="Y52" t="s">
        <v>102</v>
      </c>
    </row>
    <row r="53" spans="2:29" ht="60">
      <c r="B53" s="479"/>
      <c r="C53" s="329"/>
      <c r="D53" s="329"/>
      <c r="E53" s="329"/>
      <c r="F53" s="329"/>
      <c r="G53" s="329"/>
      <c r="L53" s="329"/>
      <c r="M53" s="168"/>
      <c r="N53" s="168"/>
      <c r="P53" s="136" t="s">
        <v>113</v>
      </c>
      <c r="X53" s="317">
        <f>X52/X49</f>
        <v>553.31333333333339</v>
      </c>
      <c r="Y53" t="s">
        <v>103</v>
      </c>
    </row>
    <row r="54" spans="2:29" ht="84.75" customHeight="1">
      <c r="B54" s="136"/>
      <c r="X54" s="422">
        <f>X53*9</f>
        <v>4979.8200000000006</v>
      </c>
      <c r="Y54" s="423" t="s">
        <v>104</v>
      </c>
      <c r="Z54" s="423"/>
      <c r="AA54" s="423"/>
      <c r="AB54" s="423"/>
    </row>
    <row r="56" spans="2:29">
      <c r="X56" s="317">
        <v>3716</v>
      </c>
      <c r="Y56" t="s">
        <v>105</v>
      </c>
    </row>
    <row r="57" spans="2:29">
      <c r="X57" s="317">
        <f>X56/X47</f>
        <v>371.6</v>
      </c>
      <c r="Y57" t="s">
        <v>106</v>
      </c>
    </row>
    <row r="59" spans="2:29">
      <c r="X59" s="317">
        <v>1025</v>
      </c>
      <c r="Y59" t="s">
        <v>107</v>
      </c>
    </row>
    <row r="60" spans="2:29">
      <c r="X60" s="424">
        <f>X59/X49</f>
        <v>68.333333333333329</v>
      </c>
      <c r="Y60" t="s">
        <v>108</v>
      </c>
    </row>
    <row r="61" spans="2:29">
      <c r="X61" s="424">
        <f>X60/X47</f>
        <v>6.833333333333333</v>
      </c>
      <c r="Y61" t="s">
        <v>109</v>
      </c>
    </row>
    <row r="63" spans="2:29">
      <c r="X63" s="316">
        <v>1898</v>
      </c>
      <c r="Y63" t="s">
        <v>112</v>
      </c>
    </row>
    <row r="65" spans="24:25">
      <c r="X65" s="316">
        <v>44.32</v>
      </c>
      <c r="Y65" t="s">
        <v>114</v>
      </c>
    </row>
    <row r="66" spans="24:25">
      <c r="X66" s="316"/>
    </row>
    <row r="67" spans="24:25">
      <c r="X67" s="316">
        <v>3371.64</v>
      </c>
      <c r="Y67" t="s">
        <v>115</v>
      </c>
    </row>
    <row r="68" spans="24:25">
      <c r="X68" s="316">
        <f>X67/X47</f>
        <v>337.16399999999999</v>
      </c>
    </row>
  </sheetData>
  <mergeCells count="4">
    <mergeCell ref="W3:AC3"/>
    <mergeCell ref="H3:L3"/>
    <mergeCell ref="W7:AC7"/>
    <mergeCell ref="W4:AC4"/>
  </mergeCells>
  <pageMargins left="0.7" right="0.7" top="0.75" bottom="0.75" header="0.3" footer="0.3"/>
  <pageSetup scale="6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35"/>
  <sheetViews>
    <sheetView workbookViewId="0">
      <selection activeCell="L23" sqref="L23"/>
    </sheetView>
  </sheetViews>
  <sheetFormatPr defaultRowHeight="15"/>
  <cols>
    <col min="2" max="2" width="30.42578125" hidden="1" customWidth="1"/>
    <col min="3" max="5" width="0" hidden="1" customWidth="1"/>
    <col min="6" max="6" width="15.5703125" hidden="1" customWidth="1"/>
    <col min="7" max="7" width="4" style="329" customWidth="1"/>
    <col min="8" max="8" width="33.42578125" bestFit="1" customWidth="1"/>
    <col min="9" max="9" width="12.140625" customWidth="1"/>
    <col min="11" max="11" width="16.7109375" customWidth="1"/>
    <col min="12" max="12" width="6" customWidth="1"/>
    <col min="13" max="14" width="0" hidden="1" customWidth="1"/>
    <col min="15" max="15" width="26.140625" customWidth="1"/>
    <col min="16" max="16" width="15.7109375" bestFit="1" customWidth="1"/>
    <col min="257" max="257" width="30.42578125" customWidth="1"/>
    <col min="261" max="261" width="15.5703125" customWidth="1"/>
    <col min="513" max="513" width="30.42578125" customWidth="1"/>
    <col min="517" max="517" width="15.5703125" customWidth="1"/>
    <col min="769" max="769" width="30.42578125" customWidth="1"/>
    <col min="773" max="773" width="15.5703125" customWidth="1"/>
    <col min="1025" max="1025" width="30.42578125" customWidth="1"/>
    <col min="1029" max="1029" width="15.5703125" customWidth="1"/>
    <col min="1281" max="1281" width="30.42578125" customWidth="1"/>
    <col min="1285" max="1285" width="15.5703125" customWidth="1"/>
    <col min="1537" max="1537" width="30.42578125" customWidth="1"/>
    <col min="1541" max="1541" width="15.5703125" customWidth="1"/>
    <col min="1793" max="1793" width="30.42578125" customWidth="1"/>
    <col min="1797" max="1797" width="15.5703125" customWidth="1"/>
    <col min="2049" max="2049" width="30.42578125" customWidth="1"/>
    <col min="2053" max="2053" width="15.5703125" customWidth="1"/>
    <col min="2305" max="2305" width="30.42578125" customWidth="1"/>
    <col min="2309" max="2309" width="15.5703125" customWidth="1"/>
    <col min="2561" max="2561" width="30.42578125" customWidth="1"/>
    <col min="2565" max="2565" width="15.5703125" customWidth="1"/>
    <col min="2817" max="2817" width="30.42578125" customWidth="1"/>
    <col min="2821" max="2821" width="15.5703125" customWidth="1"/>
    <col min="3073" max="3073" width="30.42578125" customWidth="1"/>
    <col min="3077" max="3077" width="15.5703125" customWidth="1"/>
    <col min="3329" max="3329" width="30.42578125" customWidth="1"/>
    <col min="3333" max="3333" width="15.5703125" customWidth="1"/>
    <col min="3585" max="3585" width="30.42578125" customWidth="1"/>
    <col min="3589" max="3589" width="15.5703125" customWidth="1"/>
    <col min="3841" max="3841" width="30.42578125" customWidth="1"/>
    <col min="3845" max="3845" width="15.5703125" customWidth="1"/>
    <col min="4097" max="4097" width="30.42578125" customWidth="1"/>
    <col min="4101" max="4101" width="15.5703125" customWidth="1"/>
    <col min="4353" max="4353" width="30.42578125" customWidth="1"/>
    <col min="4357" max="4357" width="15.5703125" customWidth="1"/>
    <col min="4609" max="4609" width="30.42578125" customWidth="1"/>
    <col min="4613" max="4613" width="15.5703125" customWidth="1"/>
    <col min="4865" max="4865" width="30.42578125" customWidth="1"/>
    <col min="4869" max="4869" width="15.5703125" customWidth="1"/>
    <col min="5121" max="5121" width="30.42578125" customWidth="1"/>
    <col min="5125" max="5125" width="15.5703125" customWidth="1"/>
    <col min="5377" max="5377" width="30.42578125" customWidth="1"/>
    <col min="5381" max="5381" width="15.5703125" customWidth="1"/>
    <col min="5633" max="5633" width="30.42578125" customWidth="1"/>
    <col min="5637" max="5637" width="15.5703125" customWidth="1"/>
    <col min="5889" max="5889" width="30.42578125" customWidth="1"/>
    <col min="5893" max="5893" width="15.5703125" customWidth="1"/>
    <col min="6145" max="6145" width="30.42578125" customWidth="1"/>
    <col min="6149" max="6149" width="15.5703125" customWidth="1"/>
    <col min="6401" max="6401" width="30.42578125" customWidth="1"/>
    <col min="6405" max="6405" width="15.5703125" customWidth="1"/>
    <col min="6657" max="6657" width="30.42578125" customWidth="1"/>
    <col min="6661" max="6661" width="15.5703125" customWidth="1"/>
    <col min="6913" max="6913" width="30.42578125" customWidth="1"/>
    <col min="6917" max="6917" width="15.5703125" customWidth="1"/>
    <col min="7169" max="7169" width="30.42578125" customWidth="1"/>
    <col min="7173" max="7173" width="15.5703125" customWidth="1"/>
    <col min="7425" max="7425" width="30.42578125" customWidth="1"/>
    <col min="7429" max="7429" width="15.5703125" customWidth="1"/>
    <col min="7681" max="7681" width="30.42578125" customWidth="1"/>
    <col min="7685" max="7685" width="15.5703125" customWidth="1"/>
    <col min="7937" max="7937" width="30.42578125" customWidth="1"/>
    <col min="7941" max="7941" width="15.5703125" customWidth="1"/>
    <col min="8193" max="8193" width="30.42578125" customWidth="1"/>
    <col min="8197" max="8197" width="15.5703125" customWidth="1"/>
    <col min="8449" max="8449" width="30.42578125" customWidth="1"/>
    <col min="8453" max="8453" width="15.5703125" customWidth="1"/>
    <col min="8705" max="8705" width="30.42578125" customWidth="1"/>
    <col min="8709" max="8709" width="15.5703125" customWidth="1"/>
    <col min="8961" max="8961" width="30.42578125" customWidth="1"/>
    <col min="8965" max="8965" width="15.5703125" customWidth="1"/>
    <col min="9217" max="9217" width="30.42578125" customWidth="1"/>
    <col min="9221" max="9221" width="15.5703125" customWidth="1"/>
    <col min="9473" max="9473" width="30.42578125" customWidth="1"/>
    <col min="9477" max="9477" width="15.5703125" customWidth="1"/>
    <col min="9729" max="9729" width="30.42578125" customWidth="1"/>
    <col min="9733" max="9733" width="15.5703125" customWidth="1"/>
    <col min="9985" max="9985" width="30.42578125" customWidth="1"/>
    <col min="9989" max="9989" width="15.5703125" customWidth="1"/>
    <col min="10241" max="10241" width="30.42578125" customWidth="1"/>
    <col min="10245" max="10245" width="15.5703125" customWidth="1"/>
    <col min="10497" max="10497" width="30.42578125" customWidth="1"/>
    <col min="10501" max="10501" width="15.5703125" customWidth="1"/>
    <col min="10753" max="10753" width="30.42578125" customWidth="1"/>
    <col min="10757" max="10757" width="15.5703125" customWidth="1"/>
    <col min="11009" max="11009" width="30.42578125" customWidth="1"/>
    <col min="11013" max="11013" width="15.5703125" customWidth="1"/>
    <col min="11265" max="11265" width="30.42578125" customWidth="1"/>
    <col min="11269" max="11269" width="15.5703125" customWidth="1"/>
    <col min="11521" max="11521" width="30.42578125" customWidth="1"/>
    <col min="11525" max="11525" width="15.5703125" customWidth="1"/>
    <col min="11777" max="11777" width="30.42578125" customWidth="1"/>
    <col min="11781" max="11781" width="15.5703125" customWidth="1"/>
    <col min="12033" max="12033" width="30.42578125" customWidth="1"/>
    <col min="12037" max="12037" width="15.5703125" customWidth="1"/>
    <col min="12289" max="12289" width="30.42578125" customWidth="1"/>
    <col min="12293" max="12293" width="15.5703125" customWidth="1"/>
    <col min="12545" max="12545" width="30.42578125" customWidth="1"/>
    <col min="12549" max="12549" width="15.5703125" customWidth="1"/>
    <col min="12801" max="12801" width="30.42578125" customWidth="1"/>
    <col min="12805" max="12805" width="15.5703125" customWidth="1"/>
    <col min="13057" max="13057" width="30.42578125" customWidth="1"/>
    <col min="13061" max="13061" width="15.5703125" customWidth="1"/>
    <col min="13313" max="13313" width="30.42578125" customWidth="1"/>
    <col min="13317" max="13317" width="15.5703125" customWidth="1"/>
    <col min="13569" max="13569" width="30.42578125" customWidth="1"/>
    <col min="13573" max="13573" width="15.5703125" customWidth="1"/>
    <col min="13825" max="13825" width="30.42578125" customWidth="1"/>
    <col min="13829" max="13829" width="15.5703125" customWidth="1"/>
    <col min="14081" max="14081" width="30.42578125" customWidth="1"/>
    <col min="14085" max="14085" width="15.5703125" customWidth="1"/>
    <col min="14337" max="14337" width="30.42578125" customWidth="1"/>
    <col min="14341" max="14341" width="15.5703125" customWidth="1"/>
    <col min="14593" max="14593" width="30.42578125" customWidth="1"/>
    <col min="14597" max="14597" width="15.5703125" customWidth="1"/>
    <col min="14849" max="14849" width="30.42578125" customWidth="1"/>
    <col min="14853" max="14853" width="15.5703125" customWidth="1"/>
    <col min="15105" max="15105" width="30.42578125" customWidth="1"/>
    <col min="15109" max="15109" width="15.5703125" customWidth="1"/>
    <col min="15361" max="15361" width="30.42578125" customWidth="1"/>
    <col min="15365" max="15365" width="15.5703125" customWidth="1"/>
    <col min="15617" max="15617" width="30.42578125" customWidth="1"/>
    <col min="15621" max="15621" width="15.5703125" customWidth="1"/>
    <col min="15873" max="15873" width="30.42578125" customWidth="1"/>
    <col min="15877" max="15877" width="15.5703125" customWidth="1"/>
    <col min="16129" max="16129" width="30.42578125" customWidth="1"/>
    <col min="16133" max="16133" width="15.5703125" customWidth="1"/>
  </cols>
  <sheetData>
    <row r="1" spans="1:23">
      <c r="A1" s="329"/>
      <c r="B1" s="334" t="s">
        <v>128</v>
      </c>
      <c r="C1" s="334"/>
      <c r="D1" s="168"/>
      <c r="E1" s="168"/>
      <c r="F1" s="168"/>
      <c r="H1" s="490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75" thickBot="1">
      <c r="A2" s="329"/>
      <c r="B2" s="168" t="s">
        <v>74</v>
      </c>
      <c r="C2" s="168"/>
      <c r="D2" s="168"/>
      <c r="E2" s="168"/>
      <c r="F2" s="168"/>
      <c r="H2" s="427">
        <v>43522</v>
      </c>
      <c r="I2" s="161"/>
      <c r="J2" s="161"/>
      <c r="K2" s="161"/>
      <c r="L2" s="161"/>
      <c r="M2" s="161">
        <v>53993</v>
      </c>
      <c r="N2" s="161"/>
      <c r="O2" s="161"/>
      <c r="P2" s="161"/>
      <c r="Q2" s="161"/>
      <c r="R2" s="161"/>
      <c r="S2" s="161"/>
      <c r="T2" s="161"/>
      <c r="U2" s="161"/>
      <c r="V2" s="161"/>
      <c r="W2" s="161"/>
    </row>
    <row r="3" spans="1:23" ht="15.75" thickBot="1">
      <c r="A3" s="329"/>
      <c r="B3" s="168"/>
      <c r="C3" s="168"/>
      <c r="D3" s="168"/>
      <c r="E3" s="168"/>
      <c r="F3" s="168"/>
      <c r="H3" s="876" t="s">
        <v>128</v>
      </c>
      <c r="I3" s="877"/>
      <c r="J3" s="877"/>
      <c r="K3" s="878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</row>
    <row r="4" spans="1:23" ht="15.75" thickBot="1">
      <c r="A4" s="329"/>
      <c r="B4" s="335" t="s">
        <v>129</v>
      </c>
      <c r="C4" s="336"/>
      <c r="D4" s="336"/>
      <c r="E4" s="336"/>
      <c r="F4" s="337"/>
      <c r="G4" s="338"/>
      <c r="H4" s="491" t="s">
        <v>129</v>
      </c>
      <c r="I4" s="172"/>
      <c r="J4" s="172"/>
      <c r="K4" s="173">
        <v>12</v>
      </c>
      <c r="L4" s="161"/>
      <c r="M4" s="161"/>
      <c r="N4" s="161"/>
      <c r="O4" s="855" t="s">
        <v>2</v>
      </c>
      <c r="P4" s="856"/>
      <c r="Q4" s="856"/>
      <c r="R4" s="856"/>
      <c r="S4" s="856"/>
      <c r="T4" s="856"/>
      <c r="U4" s="857"/>
      <c r="V4" s="161"/>
      <c r="W4" s="161"/>
    </row>
    <row r="5" spans="1:23">
      <c r="A5" s="329"/>
      <c r="B5" s="344"/>
      <c r="C5" s="345"/>
      <c r="D5" s="345"/>
      <c r="E5" s="345"/>
      <c r="F5" s="346"/>
      <c r="G5" s="338"/>
      <c r="H5" s="492"/>
      <c r="I5" s="164"/>
      <c r="J5" s="164"/>
      <c r="K5" s="179"/>
      <c r="L5" s="161"/>
      <c r="M5" s="161"/>
      <c r="N5" s="161"/>
      <c r="O5" s="882" t="s">
        <v>117</v>
      </c>
      <c r="P5" s="883"/>
      <c r="Q5" s="883"/>
      <c r="R5" s="883"/>
      <c r="S5" s="883"/>
      <c r="T5" s="883"/>
      <c r="U5" s="884"/>
      <c r="V5" s="161"/>
      <c r="W5" s="161"/>
    </row>
    <row r="6" spans="1:23">
      <c r="A6" s="329"/>
      <c r="B6" s="344"/>
      <c r="C6" s="345"/>
      <c r="D6" s="351" t="s">
        <v>4</v>
      </c>
      <c r="E6" s="351" t="s">
        <v>5</v>
      </c>
      <c r="F6" s="352" t="s">
        <v>6</v>
      </c>
      <c r="G6" s="353"/>
      <c r="H6" s="312"/>
      <c r="I6" s="551" t="s">
        <v>4</v>
      </c>
      <c r="J6" s="551" t="s">
        <v>5</v>
      </c>
      <c r="K6" s="552" t="s">
        <v>6</v>
      </c>
      <c r="L6" s="161"/>
      <c r="M6" s="161"/>
      <c r="N6" s="161"/>
      <c r="O6" s="312" t="s">
        <v>78</v>
      </c>
      <c r="P6" s="730">
        <f>'Master Lookup'!D14</f>
        <v>58086.024969307065</v>
      </c>
      <c r="Q6" s="164" t="str">
        <f>'Specialty Family Skills Group'!Y5</f>
        <v xml:space="preserve">Salary rebased with prior compounding CAFs </v>
      </c>
      <c r="R6" s="164"/>
      <c r="S6" s="164"/>
      <c r="T6" s="164"/>
      <c r="U6" s="179"/>
      <c r="V6" s="161"/>
      <c r="W6" s="161"/>
    </row>
    <row r="7" spans="1:23" ht="15.75" thickBot="1">
      <c r="A7" s="329"/>
      <c r="B7" s="344" t="s">
        <v>78</v>
      </c>
      <c r="C7" s="345"/>
      <c r="D7" s="356">
        <f>52564</f>
        <v>52564</v>
      </c>
      <c r="E7" s="345">
        <f>'[7]Model Budgets-Groups- Specialty'!E9</f>
        <v>0.01</v>
      </c>
      <c r="F7" s="357">
        <f>'[7]Model Budgets-Groups- Specialty'!F9</f>
        <v>525.64428772849237</v>
      </c>
      <c r="G7" s="358"/>
      <c r="H7" s="497" t="str">
        <f>O6</f>
        <v>Management</v>
      </c>
      <c r="I7" s="498">
        <f>P6</f>
        <v>58086.024969307065</v>
      </c>
      <c r="J7" s="507">
        <v>0.01</v>
      </c>
      <c r="K7" s="500">
        <f>I7*J7</f>
        <v>580.86024969307061</v>
      </c>
      <c r="L7" s="161"/>
      <c r="M7" s="161"/>
      <c r="N7" s="161"/>
      <c r="O7" s="312" t="s">
        <v>131</v>
      </c>
      <c r="P7" s="730">
        <f>'Master Lookup'!D15</f>
        <v>51937.508057937601</v>
      </c>
      <c r="Q7" s="164" t="str">
        <f>'Specialty Family Skills Group'!Y6</f>
        <v xml:space="preserve">Salary rebased with prior compounding CAFs </v>
      </c>
      <c r="R7" s="164"/>
      <c r="S7" s="164"/>
      <c r="T7" s="164"/>
      <c r="U7" s="179"/>
      <c r="V7" s="161"/>
      <c r="W7" s="161"/>
    </row>
    <row r="8" spans="1:23" ht="15.75" thickBot="1">
      <c r="A8" s="329"/>
      <c r="B8" s="344" t="s">
        <v>132</v>
      </c>
      <c r="C8" s="345"/>
      <c r="D8" s="356">
        <f>47000</f>
        <v>47000</v>
      </c>
      <c r="E8" s="345">
        <f>'[7]Model Budgets-Groups- Specialty'!E10</f>
        <v>0.19</v>
      </c>
      <c r="F8" s="357">
        <f>'[7]Model Budgets-Groups- Specialty'!F10</f>
        <v>8930</v>
      </c>
      <c r="G8" s="358"/>
      <c r="H8" s="497" t="str">
        <f>O7</f>
        <v xml:space="preserve">Direct Care  </v>
      </c>
      <c r="I8" s="498">
        <f>P7</f>
        <v>51937.508057937601</v>
      </c>
      <c r="J8" s="507">
        <v>0.19</v>
      </c>
      <c r="K8" s="500">
        <f>I8*J8</f>
        <v>9868.1265310081435</v>
      </c>
      <c r="L8" s="161"/>
      <c r="M8" s="161"/>
      <c r="N8" s="161"/>
      <c r="O8" s="879" t="s">
        <v>22</v>
      </c>
      <c r="P8" s="880"/>
      <c r="Q8" s="880"/>
      <c r="R8" s="880"/>
      <c r="S8" s="880"/>
      <c r="T8" s="880"/>
      <c r="U8" s="881"/>
      <c r="V8" s="161"/>
      <c r="W8" s="161"/>
    </row>
    <row r="9" spans="1:23">
      <c r="A9" s="329"/>
      <c r="B9" s="362" t="s">
        <v>82</v>
      </c>
      <c r="C9" s="310"/>
      <c r="D9" s="310"/>
      <c r="E9" s="363">
        <f>'[7]Model Budgets-Groups- Specialty'!E11</f>
        <v>0.2</v>
      </c>
      <c r="F9" s="364">
        <f>'[7]Model Budgets-Groups- Specialty'!F11</f>
        <v>9455.6442877284917</v>
      </c>
      <c r="G9" s="358"/>
      <c r="H9" s="503" t="s">
        <v>82</v>
      </c>
      <c r="I9" s="504"/>
      <c r="J9" s="505">
        <v>0.2</v>
      </c>
      <c r="K9" s="553">
        <f>SUM(K7:K8)</f>
        <v>10448.986780701214</v>
      </c>
      <c r="L9" s="161"/>
      <c r="M9" s="161"/>
      <c r="N9" s="161"/>
      <c r="O9" s="312" t="s">
        <v>24</v>
      </c>
      <c r="P9" s="709">
        <f>'Master Lookup'!D24</f>
        <v>0.24</v>
      </c>
      <c r="Q9" s="164" t="s">
        <v>280</v>
      </c>
      <c r="R9" s="164"/>
      <c r="S9" s="164"/>
      <c r="T9" s="164"/>
      <c r="U9" s="179"/>
      <c r="V9" s="161"/>
      <c r="W9" s="161"/>
    </row>
    <row r="10" spans="1:23">
      <c r="A10" s="329"/>
      <c r="B10" s="344"/>
      <c r="C10" s="345"/>
      <c r="D10" s="345"/>
      <c r="E10" s="345"/>
      <c r="F10" s="346"/>
      <c r="G10" s="338"/>
      <c r="H10" s="497"/>
      <c r="I10" s="507"/>
      <c r="J10" s="507"/>
      <c r="K10" s="508"/>
      <c r="L10" s="161"/>
      <c r="M10" s="161"/>
      <c r="N10" s="161"/>
      <c r="O10" s="312" t="s">
        <v>26</v>
      </c>
      <c r="P10" s="709">
        <f>'Master Lookup'!D23</f>
        <v>0.12</v>
      </c>
      <c r="Q10" s="164" t="s">
        <v>281</v>
      </c>
      <c r="R10" s="164"/>
      <c r="S10" s="164"/>
      <c r="T10" s="164"/>
      <c r="U10" s="179"/>
      <c r="V10" s="161"/>
      <c r="W10" s="161"/>
    </row>
    <row r="11" spans="1:23">
      <c r="A11" s="329"/>
      <c r="B11" s="344" t="s">
        <v>23</v>
      </c>
      <c r="C11" s="345"/>
      <c r="D11" s="345"/>
      <c r="E11" s="345"/>
      <c r="F11" s="346"/>
      <c r="G11" s="338"/>
      <c r="H11" s="497"/>
      <c r="I11" s="507"/>
      <c r="J11" s="507"/>
      <c r="K11" s="508"/>
      <c r="L11" s="161"/>
      <c r="M11" s="161"/>
      <c r="N11" s="161"/>
      <c r="O11" s="776" t="s">
        <v>133</v>
      </c>
      <c r="P11" s="684">
        <f>D16*(E24+1)*(E26+1)*(E27+1)</f>
        <v>109.61353884269474</v>
      </c>
      <c r="Q11" s="164" t="s">
        <v>307</v>
      </c>
      <c r="R11" s="164"/>
      <c r="S11" s="164"/>
      <c r="T11" s="164"/>
      <c r="U11" s="179"/>
      <c r="V11" s="161"/>
      <c r="W11" s="161"/>
    </row>
    <row r="12" spans="1:23" ht="15.75" thickBot="1">
      <c r="A12" s="329"/>
      <c r="B12" s="344" t="s">
        <v>85</v>
      </c>
      <c r="C12" s="345"/>
      <c r="D12" s="372">
        <f>'[7]Model Budgets-Groups- Specialty'!D14</f>
        <v>0.21590826871491237</v>
      </c>
      <c r="E12" s="372"/>
      <c r="F12" s="357">
        <f>'[7]Model Budgets-Groups- Specialty'!F14</f>
        <v>2041.5517877475093</v>
      </c>
      <c r="G12" s="358"/>
      <c r="H12" s="497" t="s">
        <v>85</v>
      </c>
      <c r="I12" s="509">
        <v>0.21590826871491237</v>
      </c>
      <c r="J12" s="509"/>
      <c r="K12" s="512">
        <f>I12*K9</f>
        <v>2256.0226456462046</v>
      </c>
      <c r="L12" s="161"/>
      <c r="M12" s="161"/>
      <c r="N12" s="161"/>
      <c r="O12" s="312" t="str">
        <f>H16</f>
        <v>Curriculum</v>
      </c>
      <c r="P12" s="730">
        <f>F17*(E24+1)*(E26+1)*(E27+1)</f>
        <v>1657.5800444022639</v>
      </c>
      <c r="Q12" s="164" t="s">
        <v>307</v>
      </c>
      <c r="R12" s="164"/>
      <c r="S12" s="164"/>
      <c r="T12" s="164"/>
      <c r="U12" s="179"/>
      <c r="V12" s="161"/>
      <c r="W12" s="161"/>
    </row>
    <row r="13" spans="1:23" ht="15.75" thickBot="1">
      <c r="A13" s="329"/>
      <c r="B13" s="362" t="s">
        <v>27</v>
      </c>
      <c r="C13" s="310"/>
      <c r="D13" s="310"/>
      <c r="E13" s="310"/>
      <c r="F13" s="364">
        <f>'[7]Model Budgets-Groups- Specialty'!$F$15</f>
        <v>11497.196075476</v>
      </c>
      <c r="G13" s="358"/>
      <c r="H13" s="503" t="s">
        <v>27</v>
      </c>
      <c r="I13" s="504"/>
      <c r="J13" s="504"/>
      <c r="K13" s="553">
        <f>SUM(K9:K12)</f>
        <v>12705.009426347418</v>
      </c>
      <c r="L13" s="161"/>
      <c r="M13" s="161"/>
      <c r="N13" s="161"/>
      <c r="O13" s="768" t="s">
        <v>54</v>
      </c>
      <c r="P13" s="769">
        <v>6.3E-3</v>
      </c>
      <c r="Q13" s="770" t="s">
        <v>283</v>
      </c>
      <c r="R13" s="320"/>
      <c r="S13" s="320"/>
      <c r="T13" s="320"/>
      <c r="U13" s="321"/>
      <c r="V13" s="161"/>
      <c r="W13" s="161"/>
    </row>
    <row r="14" spans="1:23" ht="15.75" thickBot="1">
      <c r="A14" s="329"/>
      <c r="B14" s="376"/>
      <c r="C14" s="345"/>
      <c r="D14" s="345"/>
      <c r="E14" s="345"/>
      <c r="F14" s="346"/>
      <c r="G14" s="338"/>
      <c r="H14" s="510"/>
      <c r="I14" s="507"/>
      <c r="J14" s="507"/>
      <c r="K14" s="508"/>
      <c r="L14" s="161"/>
      <c r="M14" s="161"/>
      <c r="N14" s="161"/>
      <c r="O14" s="777" t="s">
        <v>55</v>
      </c>
      <c r="P14" s="778">
        <f>'Master Lookup'!D26</f>
        <v>1.8120393120392975E-2</v>
      </c>
      <c r="Q14" s="779" t="s">
        <v>56</v>
      </c>
      <c r="R14" s="320"/>
      <c r="S14" s="320"/>
      <c r="T14" s="320"/>
      <c r="U14" s="321"/>
      <c r="V14" s="161"/>
      <c r="W14" s="161"/>
    </row>
    <row r="15" spans="1:23">
      <c r="A15" s="329"/>
      <c r="B15" s="380" t="s">
        <v>90</v>
      </c>
      <c r="C15" s="345"/>
      <c r="D15" s="345" t="str">
        <f>'[7]Model Budgets-Groups- Specialty'!D19</f>
        <v>Standard/session</v>
      </c>
      <c r="E15" s="345"/>
      <c r="F15" s="357">
        <f>'[7]MB-Groups -Family Skills Dev.'!$G$18</f>
        <v>1190.3157894736842</v>
      </c>
      <c r="G15" s="358"/>
      <c r="H15" s="546" t="s">
        <v>91</v>
      </c>
      <c r="I15" s="511">
        <f>P11</f>
        <v>109.61353884269474</v>
      </c>
      <c r="J15" s="507"/>
      <c r="K15" s="500">
        <f>I15*K4</f>
        <v>1315.3624661123367</v>
      </c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</row>
    <row r="16" spans="1:23">
      <c r="A16" s="329"/>
      <c r="B16" s="344"/>
      <c r="C16" s="345"/>
      <c r="D16" s="382">
        <f>'[7]Model Budgets-Groups- Specialty'!D20</f>
        <v>99.192982456140356</v>
      </c>
      <c r="E16" s="345"/>
      <c r="F16" s="346"/>
      <c r="G16" s="388"/>
      <c r="H16" s="497" t="s">
        <v>92</v>
      </c>
      <c r="I16" s="507"/>
      <c r="J16" s="507"/>
      <c r="K16" s="500">
        <f>P12</f>
        <v>1657.5800444022639</v>
      </c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</row>
    <row r="17" spans="1:23">
      <c r="A17" s="329"/>
      <c r="B17" s="344" t="s">
        <v>92</v>
      </c>
      <c r="C17" s="345"/>
      <c r="D17" s="345"/>
      <c r="E17" s="345"/>
      <c r="F17" s="357">
        <f>'[7]MB-Groups -Family Skills Dev.'!$G$21</f>
        <v>1500</v>
      </c>
      <c r="G17" s="358"/>
      <c r="H17" s="497"/>
      <c r="I17" s="507"/>
      <c r="J17" s="507"/>
      <c r="K17" s="508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</row>
    <row r="18" spans="1:23">
      <c r="A18" s="329"/>
      <c r="B18" s="344"/>
      <c r="C18" s="345"/>
      <c r="D18" s="382"/>
      <c r="E18" s="345"/>
      <c r="F18" s="357"/>
      <c r="G18" s="358"/>
      <c r="H18" s="503" t="s">
        <v>94</v>
      </c>
      <c r="I18" s="504"/>
      <c r="J18" s="504"/>
      <c r="K18" s="506">
        <f>SUM(K13:K17)</f>
        <v>15677.95193686202</v>
      </c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</row>
    <row r="19" spans="1:23">
      <c r="A19" s="329"/>
      <c r="B19" s="344"/>
      <c r="C19" s="345"/>
      <c r="D19" s="345"/>
      <c r="E19" s="345"/>
      <c r="F19" s="357"/>
      <c r="G19" s="358"/>
      <c r="H19" s="497" t="s">
        <v>95</v>
      </c>
      <c r="I19" s="509">
        <f>P10</f>
        <v>0.12</v>
      </c>
      <c r="J19" s="507"/>
      <c r="K19" s="512">
        <f>I19*K18</f>
        <v>1881.3542324234425</v>
      </c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</row>
    <row r="20" spans="1:23">
      <c r="A20" s="329"/>
      <c r="B20" s="344"/>
      <c r="C20" s="345"/>
      <c r="D20" s="345"/>
      <c r="E20" s="345"/>
      <c r="F20" s="346"/>
      <c r="G20" s="338"/>
      <c r="H20" s="513" t="str">
        <f>O13</f>
        <v>PFMLA Trust Contribution</v>
      </c>
      <c r="I20" s="514">
        <f>P13</f>
        <v>6.3E-3</v>
      </c>
      <c r="J20" s="515"/>
      <c r="K20" s="554">
        <f>I20*K9</f>
        <v>65.828616718417649</v>
      </c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</row>
    <row r="21" spans="1:23">
      <c r="A21" s="329"/>
      <c r="B21" s="362" t="s">
        <v>94</v>
      </c>
      <c r="C21" s="310"/>
      <c r="D21" s="310"/>
      <c r="E21" s="310"/>
      <c r="F21" s="387">
        <f>'[7]MB-Groups -Family Skills Dev.'!$G$25</f>
        <v>14188.315789473683</v>
      </c>
      <c r="G21" s="388"/>
      <c r="H21" s="497" t="s">
        <v>130</v>
      </c>
      <c r="I21" s="509"/>
      <c r="J21" s="507"/>
      <c r="K21" s="512">
        <f>SUM(K18:K20)</f>
        <v>17625.13478600388</v>
      </c>
      <c r="L21" s="780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</row>
    <row r="22" spans="1:23" ht="15.75" thickBot="1">
      <c r="A22" s="329"/>
      <c r="B22" s="344" t="s">
        <v>95</v>
      </c>
      <c r="C22" s="345"/>
      <c r="D22" s="372">
        <f>'[7]MB-Groups -Family Skills Dev.'!$E$26</f>
        <v>0.11306220647863946</v>
      </c>
      <c r="E22" s="345"/>
      <c r="F22" s="391">
        <f>'[7]MB-Groups -Family Skills Dev.'!$G$26</f>
        <v>1604.1622893736139</v>
      </c>
      <c r="G22" s="388"/>
      <c r="H22" s="557" t="s">
        <v>98</v>
      </c>
      <c r="I22" s="558"/>
      <c r="J22" s="559"/>
      <c r="K22" s="560">
        <f>K21/K4</f>
        <v>1468.7612321669901</v>
      </c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</row>
    <row r="23" spans="1:23" ht="15.75" thickBot="1">
      <c r="A23" s="329"/>
      <c r="B23" s="344" t="s">
        <v>96</v>
      </c>
      <c r="C23" s="345"/>
      <c r="D23" s="345"/>
      <c r="E23" s="345"/>
      <c r="F23" s="391">
        <f>'[7]MB-Groups -Family Skills Dev.'!$G$27</f>
        <v>15792.478078847296</v>
      </c>
      <c r="G23" s="388"/>
      <c r="H23" s="718" t="s">
        <v>285</v>
      </c>
      <c r="I23" s="727">
        <f>P14</f>
        <v>1.8120393120392975E-2</v>
      </c>
      <c r="J23" s="330"/>
      <c r="K23" s="332">
        <f>K22*(1+I23)</f>
        <v>1495.3757630938489</v>
      </c>
      <c r="L23" s="166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</row>
    <row r="24" spans="1:23">
      <c r="A24" s="329"/>
      <c r="B24" s="344" t="s">
        <v>97</v>
      </c>
      <c r="C24" s="345"/>
      <c r="D24" s="345"/>
      <c r="E24" s="517">
        <f>'[6]Specialty Family Skills Group'!E27</f>
        <v>4.4599999999999973E-2</v>
      </c>
      <c r="F24" s="391">
        <f>'[7]MB-Groups -Family Skills Dev.'!$G$28</f>
        <v>16496.822601163887</v>
      </c>
      <c r="G24" s="388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</row>
    <row r="25" spans="1:23">
      <c r="A25" s="329"/>
      <c r="B25" s="522" t="s">
        <v>98</v>
      </c>
      <c r="C25" s="307"/>
      <c r="D25" s="523">
        <f>F25/F24</f>
        <v>8.3333333333333329E-2</v>
      </c>
      <c r="E25" s="307"/>
      <c r="F25" s="399">
        <f>'[7]MB-Groups -Family Skills Dev.'!$G$29</f>
        <v>1374.7352167636573</v>
      </c>
      <c r="G25" s="561"/>
      <c r="H25" s="164"/>
      <c r="I25" s="164"/>
      <c r="J25" s="164"/>
      <c r="K25" s="164"/>
      <c r="L25" s="164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</row>
    <row r="26" spans="1:23" ht="15.75" thickBot="1">
      <c r="A26" s="329"/>
      <c r="B26" s="306" t="s">
        <v>63</v>
      </c>
      <c r="C26" s="310"/>
      <c r="D26" s="310"/>
      <c r="E26" s="308">
        <f>[9]Sheet1!N1</f>
        <v>2.9824052590873982E-2</v>
      </c>
      <c r="F26" s="555">
        <f>F25*(E26+1)</f>
        <v>1415.735392166943</v>
      </c>
      <c r="G26" s="388"/>
      <c r="H26" s="790"/>
      <c r="I26" s="790"/>
      <c r="J26" s="798"/>
      <c r="K26" s="799"/>
      <c r="L26" s="164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</row>
    <row r="27" spans="1:23" ht="15.75" thickBot="1">
      <c r="A27" s="329"/>
      <c r="B27" s="306" t="s">
        <v>64</v>
      </c>
      <c r="C27" s="345"/>
      <c r="D27" s="345"/>
      <c r="E27" s="517">
        <f>'[10]CAF Spring17'!BK27</f>
        <v>2.7235921972764018E-2</v>
      </c>
      <c r="F27" s="564">
        <f>F26*(E27+1)+0.01</f>
        <v>1454.3042508420824</v>
      </c>
      <c r="G27" s="388"/>
      <c r="H27" s="802"/>
      <c r="I27" s="802"/>
      <c r="J27" s="800"/>
      <c r="K27" s="801"/>
      <c r="L27" s="164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3">
      <c r="A28" s="113"/>
      <c r="B28" s="661"/>
      <c r="C28" s="562"/>
      <c r="D28" s="562"/>
      <c r="E28" s="563"/>
      <c r="F28" s="329"/>
      <c r="H28" s="802"/>
      <c r="I28" s="802"/>
      <c r="J28" s="800"/>
      <c r="K28" s="801"/>
      <c r="L28" s="164"/>
      <c r="M28" s="161"/>
      <c r="N28" s="161"/>
      <c r="O28" s="161"/>
      <c r="P28" s="161"/>
      <c r="Q28" s="161"/>
      <c r="R28" s="161"/>
      <c r="S28" s="161"/>
      <c r="T28" s="161"/>
      <c r="U28" s="161"/>
    </row>
    <row r="29" spans="1:23">
      <c r="A29" s="329"/>
      <c r="B29" s="353"/>
      <c r="C29" s="474"/>
      <c r="D29" s="329"/>
      <c r="E29" s="475"/>
      <c r="F29" s="475"/>
      <c r="G29" s="475"/>
      <c r="H29" s="802"/>
      <c r="I29" s="802"/>
      <c r="J29" s="800"/>
      <c r="K29" s="801"/>
      <c r="L29" s="164"/>
      <c r="M29" s="161"/>
      <c r="N29" s="161"/>
      <c r="O29" s="161"/>
      <c r="P29" s="161"/>
      <c r="Q29" s="161"/>
      <c r="R29" s="161"/>
      <c r="S29" s="161"/>
      <c r="T29" s="161"/>
      <c r="U29" s="161"/>
    </row>
    <row r="30" spans="1:23">
      <c r="A30" s="329"/>
      <c r="B30" s="338"/>
      <c r="C30" s="476"/>
      <c r="D30" s="329"/>
      <c r="E30" s="329"/>
      <c r="F30" s="329"/>
      <c r="H30" s="802"/>
      <c r="I30" s="802"/>
      <c r="J30" s="800"/>
      <c r="K30" s="801"/>
      <c r="L30" s="164"/>
      <c r="M30" s="161"/>
      <c r="N30" s="161"/>
      <c r="O30" s="161"/>
      <c r="P30" s="161"/>
      <c r="Q30" s="161"/>
      <c r="R30" s="161"/>
      <c r="S30" s="161"/>
      <c r="T30" s="161"/>
      <c r="U30" s="161"/>
    </row>
    <row r="31" spans="1:23">
      <c r="A31" s="329"/>
      <c r="B31" s="529"/>
      <c r="C31" s="528"/>
      <c r="D31" s="329"/>
      <c r="E31" s="478"/>
      <c r="F31" s="478"/>
      <c r="G31" s="478"/>
      <c r="H31" s="802"/>
      <c r="I31" s="802"/>
      <c r="J31" s="800"/>
      <c r="K31" s="801"/>
      <c r="L31" s="164"/>
      <c r="M31" s="161"/>
      <c r="N31" s="161"/>
      <c r="O31" s="161"/>
      <c r="P31" s="161"/>
      <c r="Q31" s="161"/>
      <c r="R31" s="161"/>
      <c r="S31" s="161"/>
      <c r="T31" s="161"/>
      <c r="U31" s="161"/>
    </row>
    <row r="32" spans="1:23">
      <c r="A32" s="329"/>
      <c r="B32" s="529"/>
      <c r="C32" s="528"/>
      <c r="D32" s="329"/>
      <c r="E32" s="478"/>
      <c r="F32" s="478"/>
      <c r="G32" s="478"/>
      <c r="H32" s="164"/>
      <c r="I32" s="164"/>
      <c r="J32" s="164"/>
      <c r="K32" s="164"/>
      <c r="L32" s="164"/>
      <c r="M32" s="161"/>
      <c r="N32" s="161"/>
      <c r="O32" s="161"/>
      <c r="P32" s="161"/>
      <c r="Q32" s="161"/>
      <c r="R32" s="161"/>
      <c r="S32" s="161"/>
      <c r="T32" s="161"/>
      <c r="U32" s="161"/>
    </row>
    <row r="33" spans="1:21">
      <c r="A33" s="329"/>
      <c r="B33" s="529"/>
      <c r="C33" s="528"/>
      <c r="D33" s="329"/>
      <c r="E33" s="478"/>
      <c r="F33" s="478"/>
      <c r="G33" s="478"/>
      <c r="H33" s="164"/>
      <c r="I33" s="164"/>
      <c r="J33" s="164"/>
      <c r="K33" s="164"/>
      <c r="L33" s="164"/>
      <c r="M33" s="161"/>
      <c r="N33" s="161"/>
      <c r="O33" s="161"/>
      <c r="P33" s="161"/>
      <c r="Q33" s="161"/>
      <c r="R33" s="161"/>
      <c r="S33" s="161"/>
      <c r="T33" s="161"/>
      <c r="U33" s="161"/>
    </row>
    <row r="34" spans="1:21">
      <c r="A34" s="329"/>
      <c r="B34" s="529"/>
      <c r="C34" s="528"/>
      <c r="D34" s="329"/>
      <c r="E34" s="478"/>
      <c r="F34" s="478"/>
      <c r="G34" s="478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</row>
    <row r="35" spans="1:21">
      <c r="B35" s="525"/>
      <c r="C35" s="556"/>
      <c r="E35" s="318"/>
      <c r="F35" s="318"/>
      <c r="G35" s="478"/>
    </row>
  </sheetData>
  <mergeCells count="4">
    <mergeCell ref="H3:K3"/>
    <mergeCell ref="O8:U8"/>
    <mergeCell ref="O5:U5"/>
    <mergeCell ref="O4:U4"/>
  </mergeCells>
  <pageMargins left="0.7" right="0.7" top="0.75" bottom="0.75" header="0.3" footer="0.3"/>
  <pageSetup scale="7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42"/>
  <sheetViews>
    <sheetView topLeftCell="A13" workbookViewId="0">
      <selection activeCell="M21" sqref="M21:P29"/>
    </sheetView>
  </sheetViews>
  <sheetFormatPr defaultRowHeight="15"/>
  <cols>
    <col min="1" max="1" width="8.85546875" style="329"/>
    <col min="2" max="2" width="32" hidden="1" customWidth="1"/>
    <col min="3" max="3" width="0" hidden="1" customWidth="1"/>
    <col min="4" max="4" width="12.85546875" hidden="1" customWidth="1"/>
    <col min="5" max="5" width="13.5703125" hidden="1" customWidth="1"/>
    <col min="6" max="6" width="15.28515625" hidden="1" customWidth="1"/>
    <col min="8" max="8" width="32.28515625" customWidth="1"/>
    <col min="9" max="9" width="9.7109375" customWidth="1"/>
    <col min="11" max="11" width="16" customWidth="1"/>
    <col min="12" max="12" width="2" customWidth="1"/>
    <col min="14" max="14" width="24.28515625" customWidth="1"/>
    <col min="15" max="15" width="11.5703125" bestFit="1" customWidth="1"/>
    <col min="257" max="257" width="32" customWidth="1"/>
    <col min="259" max="259" width="12.85546875" customWidth="1"/>
    <col min="260" max="260" width="13.5703125" customWidth="1"/>
    <col min="261" max="261" width="15.28515625" customWidth="1"/>
    <col min="513" max="513" width="32" customWidth="1"/>
    <col min="515" max="515" width="12.85546875" customWidth="1"/>
    <col min="516" max="516" width="13.5703125" customWidth="1"/>
    <col min="517" max="517" width="15.28515625" customWidth="1"/>
    <col min="769" max="769" width="32" customWidth="1"/>
    <col min="771" max="771" width="12.85546875" customWidth="1"/>
    <col min="772" max="772" width="13.5703125" customWidth="1"/>
    <col min="773" max="773" width="15.28515625" customWidth="1"/>
    <col min="1025" max="1025" width="32" customWidth="1"/>
    <col min="1027" max="1027" width="12.85546875" customWidth="1"/>
    <col min="1028" max="1028" width="13.5703125" customWidth="1"/>
    <col min="1029" max="1029" width="15.28515625" customWidth="1"/>
    <col min="1281" max="1281" width="32" customWidth="1"/>
    <col min="1283" max="1283" width="12.85546875" customWidth="1"/>
    <col min="1284" max="1284" width="13.5703125" customWidth="1"/>
    <col min="1285" max="1285" width="15.28515625" customWidth="1"/>
    <col min="1537" max="1537" width="32" customWidth="1"/>
    <col min="1539" max="1539" width="12.85546875" customWidth="1"/>
    <col min="1540" max="1540" width="13.5703125" customWidth="1"/>
    <col min="1541" max="1541" width="15.28515625" customWidth="1"/>
    <col min="1793" max="1793" width="32" customWidth="1"/>
    <col min="1795" max="1795" width="12.85546875" customWidth="1"/>
    <col min="1796" max="1796" width="13.5703125" customWidth="1"/>
    <col min="1797" max="1797" width="15.28515625" customWidth="1"/>
    <col min="2049" max="2049" width="32" customWidth="1"/>
    <col min="2051" max="2051" width="12.85546875" customWidth="1"/>
    <col min="2052" max="2052" width="13.5703125" customWidth="1"/>
    <col min="2053" max="2053" width="15.28515625" customWidth="1"/>
    <col min="2305" max="2305" width="32" customWidth="1"/>
    <col min="2307" max="2307" width="12.85546875" customWidth="1"/>
    <col min="2308" max="2308" width="13.5703125" customWidth="1"/>
    <col min="2309" max="2309" width="15.28515625" customWidth="1"/>
    <col min="2561" max="2561" width="32" customWidth="1"/>
    <col min="2563" max="2563" width="12.85546875" customWidth="1"/>
    <col min="2564" max="2564" width="13.5703125" customWidth="1"/>
    <col min="2565" max="2565" width="15.28515625" customWidth="1"/>
    <col min="2817" max="2817" width="32" customWidth="1"/>
    <col min="2819" max="2819" width="12.85546875" customWidth="1"/>
    <col min="2820" max="2820" width="13.5703125" customWidth="1"/>
    <col min="2821" max="2821" width="15.28515625" customWidth="1"/>
    <col min="3073" max="3073" width="32" customWidth="1"/>
    <col min="3075" max="3075" width="12.85546875" customWidth="1"/>
    <col min="3076" max="3076" width="13.5703125" customWidth="1"/>
    <col min="3077" max="3077" width="15.28515625" customWidth="1"/>
    <col min="3329" max="3329" width="32" customWidth="1"/>
    <col min="3331" max="3331" width="12.85546875" customWidth="1"/>
    <col min="3332" max="3332" width="13.5703125" customWidth="1"/>
    <col min="3333" max="3333" width="15.28515625" customWidth="1"/>
    <col min="3585" max="3585" width="32" customWidth="1"/>
    <col min="3587" max="3587" width="12.85546875" customWidth="1"/>
    <col min="3588" max="3588" width="13.5703125" customWidth="1"/>
    <col min="3589" max="3589" width="15.28515625" customWidth="1"/>
    <col min="3841" max="3841" width="32" customWidth="1"/>
    <col min="3843" max="3843" width="12.85546875" customWidth="1"/>
    <col min="3844" max="3844" width="13.5703125" customWidth="1"/>
    <col min="3845" max="3845" width="15.28515625" customWidth="1"/>
    <col min="4097" max="4097" width="32" customWidth="1"/>
    <col min="4099" max="4099" width="12.85546875" customWidth="1"/>
    <col min="4100" max="4100" width="13.5703125" customWidth="1"/>
    <col min="4101" max="4101" width="15.28515625" customWidth="1"/>
    <col min="4353" max="4353" width="32" customWidth="1"/>
    <col min="4355" max="4355" width="12.85546875" customWidth="1"/>
    <col min="4356" max="4356" width="13.5703125" customWidth="1"/>
    <col min="4357" max="4357" width="15.28515625" customWidth="1"/>
    <col min="4609" max="4609" width="32" customWidth="1"/>
    <col min="4611" max="4611" width="12.85546875" customWidth="1"/>
    <col min="4612" max="4612" width="13.5703125" customWidth="1"/>
    <col min="4613" max="4613" width="15.28515625" customWidth="1"/>
    <col min="4865" max="4865" width="32" customWidth="1"/>
    <col min="4867" max="4867" width="12.85546875" customWidth="1"/>
    <col min="4868" max="4868" width="13.5703125" customWidth="1"/>
    <col min="4869" max="4869" width="15.28515625" customWidth="1"/>
    <col min="5121" max="5121" width="32" customWidth="1"/>
    <col min="5123" max="5123" width="12.85546875" customWidth="1"/>
    <col min="5124" max="5124" width="13.5703125" customWidth="1"/>
    <col min="5125" max="5125" width="15.28515625" customWidth="1"/>
    <col min="5377" max="5377" width="32" customWidth="1"/>
    <col min="5379" max="5379" width="12.85546875" customWidth="1"/>
    <col min="5380" max="5380" width="13.5703125" customWidth="1"/>
    <col min="5381" max="5381" width="15.28515625" customWidth="1"/>
    <col min="5633" max="5633" width="32" customWidth="1"/>
    <col min="5635" max="5635" width="12.85546875" customWidth="1"/>
    <col min="5636" max="5636" width="13.5703125" customWidth="1"/>
    <col min="5637" max="5637" width="15.28515625" customWidth="1"/>
    <col min="5889" max="5889" width="32" customWidth="1"/>
    <col min="5891" max="5891" width="12.85546875" customWidth="1"/>
    <col min="5892" max="5892" width="13.5703125" customWidth="1"/>
    <col min="5893" max="5893" width="15.28515625" customWidth="1"/>
    <col min="6145" max="6145" width="32" customWidth="1"/>
    <col min="6147" max="6147" width="12.85546875" customWidth="1"/>
    <col min="6148" max="6148" width="13.5703125" customWidth="1"/>
    <col min="6149" max="6149" width="15.28515625" customWidth="1"/>
    <col min="6401" max="6401" width="32" customWidth="1"/>
    <col min="6403" max="6403" width="12.85546875" customWidth="1"/>
    <col min="6404" max="6404" width="13.5703125" customWidth="1"/>
    <col min="6405" max="6405" width="15.28515625" customWidth="1"/>
    <col min="6657" max="6657" width="32" customWidth="1"/>
    <col min="6659" max="6659" width="12.85546875" customWidth="1"/>
    <col min="6660" max="6660" width="13.5703125" customWidth="1"/>
    <col min="6661" max="6661" width="15.28515625" customWidth="1"/>
    <col min="6913" max="6913" width="32" customWidth="1"/>
    <col min="6915" max="6915" width="12.85546875" customWidth="1"/>
    <col min="6916" max="6916" width="13.5703125" customWidth="1"/>
    <col min="6917" max="6917" width="15.28515625" customWidth="1"/>
    <col min="7169" max="7169" width="32" customWidth="1"/>
    <col min="7171" max="7171" width="12.85546875" customWidth="1"/>
    <col min="7172" max="7172" width="13.5703125" customWidth="1"/>
    <col min="7173" max="7173" width="15.28515625" customWidth="1"/>
    <col min="7425" max="7425" width="32" customWidth="1"/>
    <col min="7427" max="7427" width="12.85546875" customWidth="1"/>
    <col min="7428" max="7428" width="13.5703125" customWidth="1"/>
    <col min="7429" max="7429" width="15.28515625" customWidth="1"/>
    <col min="7681" max="7681" width="32" customWidth="1"/>
    <col min="7683" max="7683" width="12.85546875" customWidth="1"/>
    <col min="7684" max="7684" width="13.5703125" customWidth="1"/>
    <col min="7685" max="7685" width="15.28515625" customWidth="1"/>
    <col min="7937" max="7937" width="32" customWidth="1"/>
    <col min="7939" max="7939" width="12.85546875" customWidth="1"/>
    <col min="7940" max="7940" width="13.5703125" customWidth="1"/>
    <col min="7941" max="7941" width="15.28515625" customWidth="1"/>
    <col min="8193" max="8193" width="32" customWidth="1"/>
    <col min="8195" max="8195" width="12.85546875" customWidth="1"/>
    <col min="8196" max="8196" width="13.5703125" customWidth="1"/>
    <col min="8197" max="8197" width="15.28515625" customWidth="1"/>
    <col min="8449" max="8449" width="32" customWidth="1"/>
    <col min="8451" max="8451" width="12.85546875" customWidth="1"/>
    <col min="8452" max="8452" width="13.5703125" customWidth="1"/>
    <col min="8453" max="8453" width="15.28515625" customWidth="1"/>
    <col min="8705" max="8705" width="32" customWidth="1"/>
    <col min="8707" max="8707" width="12.85546875" customWidth="1"/>
    <col min="8708" max="8708" width="13.5703125" customWidth="1"/>
    <col min="8709" max="8709" width="15.28515625" customWidth="1"/>
    <col min="8961" max="8961" width="32" customWidth="1"/>
    <col min="8963" max="8963" width="12.85546875" customWidth="1"/>
    <col min="8964" max="8964" width="13.5703125" customWidth="1"/>
    <col min="8965" max="8965" width="15.28515625" customWidth="1"/>
    <col min="9217" max="9217" width="32" customWidth="1"/>
    <col min="9219" max="9219" width="12.85546875" customWidth="1"/>
    <col min="9220" max="9220" width="13.5703125" customWidth="1"/>
    <col min="9221" max="9221" width="15.28515625" customWidth="1"/>
    <col min="9473" max="9473" width="32" customWidth="1"/>
    <col min="9475" max="9475" width="12.85546875" customWidth="1"/>
    <col min="9476" max="9476" width="13.5703125" customWidth="1"/>
    <col min="9477" max="9477" width="15.28515625" customWidth="1"/>
    <col min="9729" max="9729" width="32" customWidth="1"/>
    <col min="9731" max="9731" width="12.85546875" customWidth="1"/>
    <col min="9732" max="9732" width="13.5703125" customWidth="1"/>
    <col min="9733" max="9733" width="15.28515625" customWidth="1"/>
    <col min="9985" max="9985" width="32" customWidth="1"/>
    <col min="9987" max="9987" width="12.85546875" customWidth="1"/>
    <col min="9988" max="9988" width="13.5703125" customWidth="1"/>
    <col min="9989" max="9989" width="15.28515625" customWidth="1"/>
    <col min="10241" max="10241" width="32" customWidth="1"/>
    <col min="10243" max="10243" width="12.85546875" customWidth="1"/>
    <col min="10244" max="10244" width="13.5703125" customWidth="1"/>
    <col min="10245" max="10245" width="15.28515625" customWidth="1"/>
    <col min="10497" max="10497" width="32" customWidth="1"/>
    <col min="10499" max="10499" width="12.85546875" customWidth="1"/>
    <col min="10500" max="10500" width="13.5703125" customWidth="1"/>
    <col min="10501" max="10501" width="15.28515625" customWidth="1"/>
    <col min="10753" max="10753" width="32" customWidth="1"/>
    <col min="10755" max="10755" width="12.85546875" customWidth="1"/>
    <col min="10756" max="10756" width="13.5703125" customWidth="1"/>
    <col min="10757" max="10757" width="15.28515625" customWidth="1"/>
    <col min="11009" max="11009" width="32" customWidth="1"/>
    <col min="11011" max="11011" width="12.85546875" customWidth="1"/>
    <col min="11012" max="11012" width="13.5703125" customWidth="1"/>
    <col min="11013" max="11013" width="15.28515625" customWidth="1"/>
    <col min="11265" max="11265" width="32" customWidth="1"/>
    <col min="11267" max="11267" width="12.85546875" customWidth="1"/>
    <col min="11268" max="11268" width="13.5703125" customWidth="1"/>
    <col min="11269" max="11269" width="15.28515625" customWidth="1"/>
    <col min="11521" max="11521" width="32" customWidth="1"/>
    <col min="11523" max="11523" width="12.85546875" customWidth="1"/>
    <col min="11524" max="11524" width="13.5703125" customWidth="1"/>
    <col min="11525" max="11525" width="15.28515625" customWidth="1"/>
    <col min="11777" max="11777" width="32" customWidth="1"/>
    <col min="11779" max="11779" width="12.85546875" customWidth="1"/>
    <col min="11780" max="11780" width="13.5703125" customWidth="1"/>
    <col min="11781" max="11781" width="15.28515625" customWidth="1"/>
    <col min="12033" max="12033" width="32" customWidth="1"/>
    <col min="12035" max="12035" width="12.85546875" customWidth="1"/>
    <col min="12036" max="12036" width="13.5703125" customWidth="1"/>
    <col min="12037" max="12037" width="15.28515625" customWidth="1"/>
    <col min="12289" max="12289" width="32" customWidth="1"/>
    <col min="12291" max="12291" width="12.85546875" customWidth="1"/>
    <col min="12292" max="12292" width="13.5703125" customWidth="1"/>
    <col min="12293" max="12293" width="15.28515625" customWidth="1"/>
    <col min="12545" max="12545" width="32" customWidth="1"/>
    <col min="12547" max="12547" width="12.85546875" customWidth="1"/>
    <col min="12548" max="12548" width="13.5703125" customWidth="1"/>
    <col min="12549" max="12549" width="15.28515625" customWidth="1"/>
    <col min="12801" max="12801" width="32" customWidth="1"/>
    <col min="12803" max="12803" width="12.85546875" customWidth="1"/>
    <col min="12804" max="12804" width="13.5703125" customWidth="1"/>
    <col min="12805" max="12805" width="15.28515625" customWidth="1"/>
    <col min="13057" max="13057" width="32" customWidth="1"/>
    <col min="13059" max="13059" width="12.85546875" customWidth="1"/>
    <col min="13060" max="13060" width="13.5703125" customWidth="1"/>
    <col min="13061" max="13061" width="15.28515625" customWidth="1"/>
    <col min="13313" max="13313" width="32" customWidth="1"/>
    <col min="13315" max="13315" width="12.85546875" customWidth="1"/>
    <col min="13316" max="13316" width="13.5703125" customWidth="1"/>
    <col min="13317" max="13317" width="15.28515625" customWidth="1"/>
    <col min="13569" max="13569" width="32" customWidth="1"/>
    <col min="13571" max="13571" width="12.85546875" customWidth="1"/>
    <col min="13572" max="13572" width="13.5703125" customWidth="1"/>
    <col min="13573" max="13573" width="15.28515625" customWidth="1"/>
    <col min="13825" max="13825" width="32" customWidth="1"/>
    <col min="13827" max="13827" width="12.85546875" customWidth="1"/>
    <col min="13828" max="13828" width="13.5703125" customWidth="1"/>
    <col min="13829" max="13829" width="15.28515625" customWidth="1"/>
    <col min="14081" max="14081" width="32" customWidth="1"/>
    <col min="14083" max="14083" width="12.85546875" customWidth="1"/>
    <col min="14084" max="14084" width="13.5703125" customWidth="1"/>
    <col min="14085" max="14085" width="15.28515625" customWidth="1"/>
    <col min="14337" max="14337" width="32" customWidth="1"/>
    <col min="14339" max="14339" width="12.85546875" customWidth="1"/>
    <col min="14340" max="14340" width="13.5703125" customWidth="1"/>
    <col min="14341" max="14341" width="15.28515625" customWidth="1"/>
    <col min="14593" max="14593" width="32" customWidth="1"/>
    <col min="14595" max="14595" width="12.85546875" customWidth="1"/>
    <col min="14596" max="14596" width="13.5703125" customWidth="1"/>
    <col min="14597" max="14597" width="15.28515625" customWidth="1"/>
    <col min="14849" max="14849" width="32" customWidth="1"/>
    <col min="14851" max="14851" width="12.85546875" customWidth="1"/>
    <col min="14852" max="14852" width="13.5703125" customWidth="1"/>
    <col min="14853" max="14853" width="15.28515625" customWidth="1"/>
    <col min="15105" max="15105" width="32" customWidth="1"/>
    <col min="15107" max="15107" width="12.85546875" customWidth="1"/>
    <col min="15108" max="15108" width="13.5703125" customWidth="1"/>
    <col min="15109" max="15109" width="15.28515625" customWidth="1"/>
    <col min="15361" max="15361" width="32" customWidth="1"/>
    <col min="15363" max="15363" width="12.85546875" customWidth="1"/>
    <col min="15364" max="15364" width="13.5703125" customWidth="1"/>
    <col min="15365" max="15365" width="15.28515625" customWidth="1"/>
    <col min="15617" max="15617" width="32" customWidth="1"/>
    <col min="15619" max="15619" width="12.85546875" customWidth="1"/>
    <col min="15620" max="15620" width="13.5703125" customWidth="1"/>
    <col min="15621" max="15621" width="15.28515625" customWidth="1"/>
    <col min="15873" max="15873" width="32" customWidth="1"/>
    <col min="15875" max="15875" width="12.85546875" customWidth="1"/>
    <col min="15876" max="15876" width="13.5703125" customWidth="1"/>
    <col min="15877" max="15877" width="15.28515625" customWidth="1"/>
    <col min="16129" max="16129" width="32" customWidth="1"/>
    <col min="16131" max="16131" width="12.85546875" customWidth="1"/>
    <col min="16132" max="16132" width="13.5703125" customWidth="1"/>
    <col min="16133" max="16133" width="15.28515625" customWidth="1"/>
  </cols>
  <sheetData>
    <row r="1" spans="2:20">
      <c r="B1" s="531" t="s">
        <v>122</v>
      </c>
      <c r="C1" s="532"/>
      <c r="D1" s="533"/>
      <c r="E1" s="533"/>
      <c r="F1" s="534"/>
      <c r="H1" s="490"/>
      <c r="I1" s="161"/>
      <c r="J1" s="161"/>
      <c r="K1" s="161"/>
    </row>
    <row r="2" spans="2:20" ht="15.75" thickBot="1">
      <c r="B2" s="535" t="s">
        <v>74</v>
      </c>
      <c r="C2" s="536"/>
      <c r="D2" s="536"/>
      <c r="E2" s="536"/>
      <c r="F2" s="537"/>
      <c r="H2" s="333">
        <v>43522</v>
      </c>
      <c r="I2" s="161"/>
      <c r="J2" s="161"/>
      <c r="K2" s="161"/>
    </row>
    <row r="3" spans="2:20" ht="15.75" thickBot="1">
      <c r="B3" s="535"/>
      <c r="C3" s="536"/>
      <c r="D3" s="536"/>
      <c r="E3" s="536"/>
      <c r="F3" s="537"/>
      <c r="H3" s="876" t="s">
        <v>122</v>
      </c>
      <c r="I3" s="877"/>
      <c r="J3" s="877"/>
      <c r="K3" s="878"/>
      <c r="L3" s="161"/>
      <c r="M3" s="161"/>
      <c r="N3" s="161"/>
      <c r="O3" s="161"/>
      <c r="P3" s="161"/>
      <c r="Q3" s="161"/>
      <c r="R3" s="161"/>
      <c r="S3" s="161"/>
      <c r="T3" s="161"/>
    </row>
    <row r="4" spans="2:20" ht="15.75" thickBot="1">
      <c r="B4" s="335" t="s">
        <v>123</v>
      </c>
      <c r="C4" s="336"/>
      <c r="D4" s="336"/>
      <c r="E4" s="336"/>
      <c r="F4" s="337"/>
      <c r="H4" s="893" t="s">
        <v>123</v>
      </c>
      <c r="I4" s="894"/>
      <c r="J4" s="894"/>
      <c r="K4" s="545">
        <v>13.00005</v>
      </c>
      <c r="L4" s="161"/>
      <c r="M4" s="161"/>
      <c r="N4" s="855" t="s">
        <v>2</v>
      </c>
      <c r="O4" s="856"/>
      <c r="P4" s="856"/>
      <c r="Q4" s="856"/>
      <c r="R4" s="856"/>
      <c r="S4" s="856"/>
      <c r="T4" s="857"/>
    </row>
    <row r="5" spans="2:20" ht="15.75" thickBot="1">
      <c r="B5" s="344"/>
      <c r="C5" s="345"/>
      <c r="D5" s="345"/>
      <c r="E5" s="345"/>
      <c r="F5" s="346"/>
      <c r="H5" s="492"/>
      <c r="I5" s="164"/>
      <c r="J5" s="164"/>
      <c r="K5" s="179"/>
      <c r="L5" s="161"/>
      <c r="M5" s="161"/>
      <c r="N5" s="879" t="s">
        <v>117</v>
      </c>
      <c r="O5" s="880"/>
      <c r="P5" s="880"/>
      <c r="Q5" s="880"/>
      <c r="R5" s="880"/>
      <c r="S5" s="880"/>
      <c r="T5" s="881"/>
    </row>
    <row r="6" spans="2:20">
      <c r="B6" s="344"/>
      <c r="C6" s="345"/>
      <c r="D6" s="351" t="s">
        <v>4</v>
      </c>
      <c r="E6" s="351" t="s">
        <v>5</v>
      </c>
      <c r="F6" s="352" t="s">
        <v>6</v>
      </c>
      <c r="H6" s="312"/>
      <c r="I6" s="493" t="s">
        <v>4</v>
      </c>
      <c r="J6" s="493" t="s">
        <v>5</v>
      </c>
      <c r="K6" s="494" t="s">
        <v>6</v>
      </c>
      <c r="L6" s="161"/>
      <c r="M6" s="161"/>
      <c r="N6" s="312" t="str">
        <f>B7</f>
        <v xml:space="preserve">Management </v>
      </c>
      <c r="O6" s="730">
        <f>'Master Lookup'!D16</f>
        <v>58086.024969307065</v>
      </c>
      <c r="P6" s="704" t="s">
        <v>72</v>
      </c>
      <c r="Q6" s="164"/>
      <c r="R6" s="164"/>
      <c r="S6" s="164"/>
      <c r="T6" s="179"/>
    </row>
    <row r="7" spans="2:20" ht="15.75" thickBot="1">
      <c r="B7" s="344" t="s">
        <v>126</v>
      </c>
      <c r="C7" s="345"/>
      <c r="D7" s="495">
        <f>'[8]MB-Groups -Fathers Program'!E9</f>
        <v>52564</v>
      </c>
      <c r="E7" s="496">
        <f>'[8]MB-Groups -Fathers Program'!$F$9</f>
        <v>0.01</v>
      </c>
      <c r="F7" s="357">
        <f>'[8]MB-Groups -Fathers Program'!G9</f>
        <v>525.64</v>
      </c>
      <c r="H7" s="497" t="str">
        <f>N6</f>
        <v xml:space="preserve">Management </v>
      </c>
      <c r="I7" s="498">
        <f>(((D7*(1+E24)*(1+E26))*(1+E27)))</f>
        <v>58086.024969307065</v>
      </c>
      <c r="J7" s="499">
        <v>0.01</v>
      </c>
      <c r="K7" s="500">
        <f>I7*J7</f>
        <v>580.86024969307061</v>
      </c>
      <c r="L7" s="161"/>
      <c r="M7" s="161"/>
      <c r="N7" s="312" t="str">
        <f>B8</f>
        <v>Direct care</v>
      </c>
      <c r="O7" s="730">
        <f>'Master Lookup'!D17</f>
        <v>51937.508057937601</v>
      </c>
      <c r="P7" s="704" t="s">
        <v>72</v>
      </c>
      <c r="Q7" s="164"/>
      <c r="R7" s="164"/>
      <c r="S7" s="164"/>
      <c r="T7" s="179"/>
    </row>
    <row r="8" spans="2:20" ht="15.75" thickBot="1">
      <c r="B8" s="344" t="s">
        <v>125</v>
      </c>
      <c r="C8" s="345"/>
      <c r="D8" s="501">
        <f>'[8]MB-Groups -Fathers Program'!E10</f>
        <v>47000</v>
      </c>
      <c r="E8" s="496">
        <f>'[8]MB-Groups -Fathers Program'!F10</f>
        <v>0.15</v>
      </c>
      <c r="F8" s="502">
        <f>'[8]MB-Groups -Fathers Program'!G10</f>
        <v>7050</v>
      </c>
      <c r="H8" s="497" t="str">
        <f>N7</f>
        <v>Direct care</v>
      </c>
      <c r="I8" s="498">
        <f>O7</f>
        <v>51937.508057937601</v>
      </c>
      <c r="J8" s="499">
        <v>0.15</v>
      </c>
      <c r="K8" s="500">
        <f>I8*J8</f>
        <v>7790.6262086906399</v>
      </c>
      <c r="L8" s="161"/>
      <c r="M8" s="161"/>
      <c r="N8" s="879" t="s">
        <v>22</v>
      </c>
      <c r="O8" s="880"/>
      <c r="P8" s="880"/>
      <c r="Q8" s="880"/>
      <c r="R8" s="880"/>
      <c r="S8" s="880"/>
      <c r="T8" s="881"/>
    </row>
    <row r="9" spans="2:20">
      <c r="B9" s="362" t="s">
        <v>82</v>
      </c>
      <c r="C9" s="310"/>
      <c r="D9" s="310"/>
      <c r="E9" s="363">
        <f>'[7]Model Budgets-Groups- Specialty'!E11</f>
        <v>0.2</v>
      </c>
      <c r="F9" s="387">
        <f>'[8]MB-Groups -Fathers Program'!$G$11</f>
        <v>7575.64</v>
      </c>
      <c r="H9" s="503" t="s">
        <v>82</v>
      </c>
      <c r="I9" s="504"/>
      <c r="J9" s="505">
        <f>SUM(J7:J8)</f>
        <v>0.16</v>
      </c>
      <c r="K9" s="506">
        <f>SUM(K7:K8)</f>
        <v>8371.4864583837098</v>
      </c>
      <c r="L9" s="161"/>
      <c r="M9" s="161"/>
      <c r="N9" s="312" t="s">
        <v>24</v>
      </c>
      <c r="O9" s="709">
        <f>'Master Lookup'!D24</f>
        <v>0.24</v>
      </c>
      <c r="P9" s="164" t="s">
        <v>280</v>
      </c>
      <c r="Q9" s="164"/>
      <c r="R9" s="164"/>
      <c r="S9" s="164"/>
      <c r="T9" s="179"/>
    </row>
    <row r="10" spans="2:20">
      <c r="B10" s="344"/>
      <c r="C10" s="345"/>
      <c r="D10" s="345"/>
      <c r="E10" s="345"/>
      <c r="F10" s="346"/>
      <c r="H10" s="497"/>
      <c r="I10" s="507"/>
      <c r="J10" s="507"/>
      <c r="K10" s="508"/>
      <c r="L10" s="161"/>
      <c r="M10" s="161"/>
      <c r="N10" s="312" t="s">
        <v>26</v>
      </c>
      <c r="O10" s="709">
        <f>'Master Lookup'!D23</f>
        <v>0.12</v>
      </c>
      <c r="P10" s="164" t="s">
        <v>281</v>
      </c>
      <c r="Q10" s="164"/>
      <c r="R10" s="164"/>
      <c r="S10" s="164"/>
      <c r="T10" s="179"/>
    </row>
    <row r="11" spans="2:20">
      <c r="B11" s="344" t="s">
        <v>23</v>
      </c>
      <c r="C11" s="345"/>
      <c r="D11" s="345"/>
      <c r="E11" s="345"/>
      <c r="F11" s="346"/>
      <c r="H11" s="497" t="s">
        <v>23</v>
      </c>
      <c r="I11" s="507"/>
      <c r="J11" s="507"/>
      <c r="K11" s="508"/>
      <c r="L11" s="161"/>
      <c r="M11" s="161"/>
      <c r="N11" s="312" t="str">
        <f>B15</f>
        <v>Occupancy (fixed)</v>
      </c>
      <c r="O11" s="165">
        <f>D16*(E24+1)*(E26+1)*(E27+1)</f>
        <v>109.61353884269474</v>
      </c>
      <c r="P11" s="164" t="s">
        <v>307</v>
      </c>
      <c r="Q11" s="164"/>
      <c r="R11" s="164"/>
      <c r="S11" s="164"/>
      <c r="T11" s="179"/>
    </row>
    <row r="12" spans="2:20">
      <c r="B12" s="344" t="s">
        <v>85</v>
      </c>
      <c r="C12" s="345"/>
      <c r="D12" s="372">
        <f>'[8]MB-Groups -Fathers Program'!$E$14</f>
        <v>0.21590826871491237</v>
      </c>
      <c r="E12" s="372"/>
      <c r="F12" s="357">
        <f>'[8]MB-Groups -Fathers Program'!$G$14</f>
        <v>1635.6433168074389</v>
      </c>
      <c r="H12" s="497" t="s">
        <v>85</v>
      </c>
      <c r="I12" s="509">
        <f>O9</f>
        <v>0.24</v>
      </c>
      <c r="J12" s="509"/>
      <c r="K12" s="500">
        <f>I12*K9</f>
        <v>2009.1567500120902</v>
      </c>
      <c r="L12" s="161"/>
      <c r="M12" s="161"/>
      <c r="N12" s="312" t="str">
        <f>B17</f>
        <v>Curriculum</v>
      </c>
      <c r="O12" s="684">
        <f>F17*(E24+1)*(E26+1)*(E27+1)</f>
        <v>972.44695938266148</v>
      </c>
      <c r="P12" s="164" t="s">
        <v>307</v>
      </c>
      <c r="Q12" s="164"/>
      <c r="R12" s="164"/>
      <c r="S12" s="164"/>
      <c r="T12" s="179"/>
    </row>
    <row r="13" spans="2:20" ht="15.75" thickBot="1">
      <c r="B13" s="362" t="s">
        <v>27</v>
      </c>
      <c r="C13" s="310"/>
      <c r="D13" s="310"/>
      <c r="E13" s="310"/>
      <c r="F13" s="387">
        <f>'[8]MB-Groups -Fathers Program'!$G$15</f>
        <v>9211.2833168074394</v>
      </c>
      <c r="H13" s="503" t="s">
        <v>27</v>
      </c>
      <c r="I13" s="504"/>
      <c r="J13" s="504"/>
      <c r="K13" s="506">
        <f>SUM(K9:K12)</f>
        <v>10380.643208395801</v>
      </c>
      <c r="L13" s="161"/>
      <c r="M13" s="161"/>
      <c r="N13" s="312" t="str">
        <f>B18</f>
        <v>Transportation (incidental cost)</v>
      </c>
      <c r="O13" s="165">
        <f>F18*(E24+1)*(E26+1)*(E27+1)</f>
        <v>276.26334073371061</v>
      </c>
      <c r="P13" s="164" t="s">
        <v>307</v>
      </c>
      <c r="Q13" s="164"/>
      <c r="R13" s="164"/>
      <c r="S13" s="164"/>
      <c r="T13" s="179"/>
    </row>
    <row r="14" spans="2:20" ht="15.75" thickBot="1">
      <c r="B14" s="376"/>
      <c r="C14" s="345"/>
      <c r="D14" s="345"/>
      <c r="E14" s="345"/>
      <c r="F14" s="346"/>
      <c r="H14" s="510"/>
      <c r="I14" s="507"/>
      <c r="J14" s="507"/>
      <c r="K14" s="508"/>
      <c r="L14" s="161"/>
      <c r="M14" s="161"/>
      <c r="N14" s="768" t="s">
        <v>54</v>
      </c>
      <c r="O14" s="769">
        <v>6.3E-3</v>
      </c>
      <c r="P14" s="770" t="s">
        <v>283</v>
      </c>
      <c r="Q14" s="320"/>
      <c r="R14" s="320"/>
      <c r="S14" s="320"/>
      <c r="T14" s="321"/>
    </row>
    <row r="15" spans="2:20" ht="15.75" thickBot="1">
      <c r="B15" s="380" t="s">
        <v>90</v>
      </c>
      <c r="C15" s="345"/>
      <c r="D15" s="345" t="str">
        <f>'[7]Model Budgets-Groups- Specialty'!D19</f>
        <v>Standard/session</v>
      </c>
      <c r="E15" s="345"/>
      <c r="F15" s="391">
        <f>'[8]MB-Groups -Fathers Program'!$G$19</f>
        <v>1289.5087719298247</v>
      </c>
      <c r="H15" s="546" t="s">
        <v>91</v>
      </c>
      <c r="I15" s="511">
        <f>O11</f>
        <v>109.61353884269474</v>
      </c>
      <c r="J15" s="507"/>
      <c r="K15" s="512">
        <f>I15*K4</f>
        <v>1424.9814856319738</v>
      </c>
      <c r="L15" s="161"/>
      <c r="M15" s="161"/>
      <c r="N15" s="715" t="s">
        <v>55</v>
      </c>
      <c r="O15" s="716">
        <f>'Master Lookup'!D26</f>
        <v>1.8120393120392975E-2</v>
      </c>
      <c r="P15" s="717" t="s">
        <v>56</v>
      </c>
      <c r="Q15" s="717"/>
      <c r="R15" s="683"/>
      <c r="S15" s="683"/>
      <c r="T15" s="711"/>
    </row>
    <row r="16" spans="2:20">
      <c r="B16" s="344"/>
      <c r="C16" s="345"/>
      <c r="D16" s="382">
        <f>'[7]Model Budgets-Groups- Specialty'!D20</f>
        <v>99.192982456140356</v>
      </c>
      <c r="E16" s="345"/>
      <c r="F16" s="346"/>
      <c r="H16" s="497"/>
      <c r="I16" s="161"/>
      <c r="J16" s="507"/>
      <c r="K16" s="508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2:20">
      <c r="B17" s="344" t="s">
        <v>92</v>
      </c>
      <c r="C17" s="345"/>
      <c r="D17" s="345"/>
      <c r="E17" s="345"/>
      <c r="F17" s="357">
        <f>'[8]MB-Groups -Fathers Program'!$G$23</f>
        <v>880</v>
      </c>
      <c r="H17" s="497" t="s">
        <v>92</v>
      </c>
      <c r="I17" s="507"/>
      <c r="J17" s="507"/>
      <c r="K17" s="500">
        <f>O12</f>
        <v>972.44695938266148</v>
      </c>
      <c r="L17" s="161"/>
      <c r="M17" s="161"/>
      <c r="N17" s="161"/>
      <c r="O17" s="161"/>
      <c r="P17" s="161"/>
      <c r="Q17" s="161"/>
      <c r="R17" s="161"/>
      <c r="S17" s="161"/>
      <c r="T17" s="161"/>
    </row>
    <row r="18" spans="2:20">
      <c r="B18" s="344" t="s">
        <v>124</v>
      </c>
      <c r="C18" s="345"/>
      <c r="D18" s="382"/>
      <c r="E18" s="345"/>
      <c r="F18" s="357">
        <f>'[8]MB-Groups -Fathers Program'!$G$25</f>
        <v>250</v>
      </c>
      <c r="H18" s="497" t="s">
        <v>124</v>
      </c>
      <c r="I18" s="511"/>
      <c r="J18" s="507"/>
      <c r="K18" s="500">
        <f>O13</f>
        <v>276.26334073371061</v>
      </c>
      <c r="L18" s="161"/>
      <c r="M18" s="161"/>
      <c r="N18" s="161"/>
      <c r="O18" s="161"/>
      <c r="P18" s="161"/>
      <c r="Q18" s="161"/>
      <c r="R18" s="161"/>
      <c r="S18" s="161"/>
      <c r="T18" s="161"/>
    </row>
    <row r="19" spans="2:20">
      <c r="B19" s="344"/>
      <c r="C19" s="345"/>
      <c r="D19" s="345"/>
      <c r="E19" s="345"/>
      <c r="F19" s="357"/>
      <c r="H19" s="497"/>
      <c r="I19" s="507"/>
      <c r="J19" s="507"/>
      <c r="K19" s="508"/>
      <c r="L19" s="161"/>
      <c r="M19" s="161"/>
      <c r="N19" s="161"/>
      <c r="O19" s="161"/>
      <c r="P19" s="161"/>
      <c r="Q19" s="161"/>
      <c r="R19" s="161"/>
      <c r="S19" s="161"/>
      <c r="T19" s="161"/>
    </row>
    <row r="20" spans="2:20">
      <c r="B20" s="344"/>
      <c r="C20" s="345"/>
      <c r="D20" s="345"/>
      <c r="E20" s="345"/>
      <c r="F20" s="346"/>
      <c r="H20" s="503" t="s">
        <v>94</v>
      </c>
      <c r="I20" s="504"/>
      <c r="J20" s="504"/>
      <c r="K20" s="506">
        <f>SUM(K13:K19)</f>
        <v>13054.334994144147</v>
      </c>
      <c r="L20" s="161"/>
      <c r="M20" s="161"/>
      <c r="N20" s="161"/>
      <c r="O20" s="161"/>
      <c r="P20" s="161"/>
      <c r="Q20" s="161"/>
      <c r="R20" s="161"/>
      <c r="S20" s="161"/>
      <c r="T20" s="161"/>
    </row>
    <row r="21" spans="2:20">
      <c r="B21" s="362" t="s">
        <v>94</v>
      </c>
      <c r="C21" s="310"/>
      <c r="D21" s="310"/>
      <c r="E21" s="310"/>
      <c r="F21" s="387">
        <f>'[8]MB-Groups -Fathers Program'!G27</f>
        <v>11630.792088737264</v>
      </c>
      <c r="H21" s="497" t="s">
        <v>95</v>
      </c>
      <c r="I21" s="509">
        <f>O10</f>
        <v>0.12</v>
      </c>
      <c r="J21" s="507"/>
      <c r="K21" s="512">
        <f>K20*I21</f>
        <v>1566.5201992972975</v>
      </c>
      <c r="L21" s="161"/>
      <c r="M21" s="161"/>
      <c r="N21" s="161"/>
      <c r="O21" s="807"/>
      <c r="P21" s="161"/>
      <c r="Q21" s="161"/>
      <c r="R21" s="161"/>
      <c r="S21" s="161"/>
      <c r="T21" s="161"/>
    </row>
    <row r="22" spans="2:20" ht="15.75" thickBot="1">
      <c r="B22" s="344" t="s">
        <v>95</v>
      </c>
      <c r="C22" s="345"/>
      <c r="D22" s="372">
        <f>'[7]MB-Groups -Family Skills Dev.'!$E$26</f>
        <v>0.11306220647863946</v>
      </c>
      <c r="E22" s="345"/>
      <c r="F22" s="391">
        <f>'[8]MB-Groups -Fathers Program'!G28</f>
        <v>1315.0030166469389</v>
      </c>
      <c r="H22" s="513" t="s">
        <v>54</v>
      </c>
      <c r="I22" s="514">
        <f>O14</f>
        <v>6.3E-3</v>
      </c>
      <c r="J22" s="515"/>
      <c r="K22" s="516">
        <f>I22*K9</f>
        <v>52.740364687817369</v>
      </c>
      <c r="L22" s="161"/>
      <c r="M22" s="161"/>
      <c r="N22" s="161"/>
      <c r="O22" s="807"/>
      <c r="P22" s="161"/>
      <c r="Q22" s="161"/>
      <c r="R22" s="161"/>
      <c r="S22" s="161"/>
      <c r="T22" s="161"/>
    </row>
    <row r="23" spans="2:20" ht="15.75" thickTop="1">
      <c r="B23" s="344" t="s">
        <v>96</v>
      </c>
      <c r="C23" s="345"/>
      <c r="D23" s="345"/>
      <c r="E23" s="345"/>
      <c r="F23" s="391">
        <f>'[8]MB-Groups -Fathers Program'!G29</f>
        <v>12945.795105384203</v>
      </c>
      <c r="H23" s="497" t="s">
        <v>96</v>
      </c>
      <c r="I23" s="507"/>
      <c r="J23" s="507"/>
      <c r="K23" s="512">
        <f>K22+K21+K20</f>
        <v>14673.595558129262</v>
      </c>
      <c r="L23" s="161"/>
      <c r="M23" s="161"/>
      <c r="N23" s="161"/>
      <c r="O23" s="161"/>
      <c r="P23" s="161"/>
      <c r="Q23" s="161"/>
      <c r="R23" s="161"/>
      <c r="S23" s="161"/>
      <c r="T23" s="161"/>
    </row>
    <row r="24" spans="2:20">
      <c r="B24" s="344" t="s">
        <v>97</v>
      </c>
      <c r="C24" s="345"/>
      <c r="D24" s="345"/>
      <c r="E24" s="517">
        <f>'[6]Specialty Family Skills Group'!E27</f>
        <v>4.4599999999999973E-2</v>
      </c>
      <c r="F24" s="391">
        <f>'[8]MB-Groups -Fathers Program'!G30</f>
        <v>13523.696281184326</v>
      </c>
      <c r="H24" s="518" t="s">
        <v>98</v>
      </c>
      <c r="I24" s="519"/>
      <c r="J24" s="520"/>
      <c r="K24" s="521">
        <f>K23/K4</f>
        <v>1128.7337785723334</v>
      </c>
      <c r="L24" s="161"/>
      <c r="M24" s="161"/>
      <c r="N24" s="161"/>
      <c r="O24" s="161"/>
      <c r="P24" s="161"/>
      <c r="Q24" s="161"/>
      <c r="R24" s="161"/>
      <c r="S24" s="161"/>
      <c r="T24" s="161"/>
    </row>
    <row r="25" spans="2:20">
      <c r="B25" s="362" t="s">
        <v>98</v>
      </c>
      <c r="C25" s="307"/>
      <c r="D25" s="523">
        <f>F25/F24</f>
        <v>7.6922756794483294E-2</v>
      </c>
      <c r="E25" s="307"/>
      <c r="F25" s="538">
        <v>1040.28</v>
      </c>
      <c r="H25" s="728" t="s">
        <v>127</v>
      </c>
      <c r="I25" s="729">
        <f>O15</f>
        <v>1.8120393120392975E-2</v>
      </c>
      <c r="J25" s="526"/>
      <c r="K25" s="527">
        <f>K24*(I25+1)</f>
        <v>1149.1868783683308</v>
      </c>
      <c r="L25" s="161"/>
      <c r="M25" s="166"/>
      <c r="N25" s="161"/>
      <c r="O25" s="161"/>
      <c r="P25" s="161"/>
      <c r="Q25" s="161"/>
      <c r="R25" s="161"/>
      <c r="S25" s="161"/>
      <c r="T25" s="161"/>
    </row>
    <row r="26" spans="2:20">
      <c r="B26" s="539" t="s">
        <v>63</v>
      </c>
      <c r="C26" s="351"/>
      <c r="D26" s="351"/>
      <c r="E26" s="524">
        <f>'[6]Family Skills Dev Group'!E26</f>
        <v>2.9824052590873982E-2</v>
      </c>
      <c r="F26" s="540">
        <f>F25*(E26+1)</f>
        <v>1071.3053654292344</v>
      </c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</row>
    <row r="27" spans="2:20" ht="15.75" thickBot="1">
      <c r="B27" s="541" t="s">
        <v>64</v>
      </c>
      <c r="C27" s="542"/>
      <c r="D27" s="542"/>
      <c r="E27" s="543">
        <f>'[10]CAF Spring17'!BK27</f>
        <v>2.7235921972764018E-2</v>
      </c>
      <c r="F27" s="544">
        <f>F26*(E27+1)</f>
        <v>1100.4833547710684</v>
      </c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</row>
    <row r="28" spans="2:20" s="329" customFormat="1" ht="15.75" thickBot="1">
      <c r="H28" s="428"/>
      <c r="I28" s="428"/>
      <c r="J28" s="428"/>
      <c r="K28" s="428"/>
      <c r="L28" s="428"/>
      <c r="M28" s="771"/>
      <c r="N28" s="428"/>
      <c r="O28" s="428"/>
      <c r="P28" s="428"/>
      <c r="Q28" s="428"/>
      <c r="R28" s="428"/>
      <c r="S28" s="428"/>
      <c r="T28" s="428"/>
    </row>
    <row r="29" spans="2:20" s="329" customFormat="1" ht="15.75" thickBot="1">
      <c r="H29" s="547" t="s">
        <v>118</v>
      </c>
      <c r="I29" s="548"/>
      <c r="J29" s="549" t="s">
        <v>120</v>
      </c>
      <c r="K29" s="550" t="s">
        <v>121</v>
      </c>
      <c r="L29" s="428"/>
      <c r="M29" s="428"/>
      <c r="N29" s="428"/>
      <c r="O29" s="428"/>
      <c r="P29" s="428"/>
      <c r="Q29" s="428"/>
      <c r="R29" s="428"/>
      <c r="S29" s="428"/>
      <c r="T29" s="428"/>
    </row>
    <row r="30" spans="2:20" s="329" customFormat="1" ht="15.75" thickBot="1">
      <c r="B30" s="353"/>
      <c r="C30" s="474"/>
      <c r="E30" s="475"/>
      <c r="F30" s="475"/>
      <c r="H30" s="889" t="s">
        <v>67</v>
      </c>
      <c r="I30" s="890"/>
      <c r="J30" s="772">
        <v>66.3</v>
      </c>
      <c r="K30" s="773">
        <f>J30*(I$25+1)</f>
        <v>67.501382063882062</v>
      </c>
      <c r="L30" s="428"/>
      <c r="M30" s="822"/>
      <c r="N30" s="428"/>
      <c r="O30" s="428"/>
      <c r="P30" s="428"/>
      <c r="Q30" s="428"/>
      <c r="R30" s="428"/>
      <c r="S30" s="428"/>
      <c r="T30" s="428"/>
    </row>
    <row r="31" spans="2:20" s="329" customFormat="1" ht="15.75" thickBot="1">
      <c r="B31" s="338"/>
      <c r="C31" s="528"/>
      <c r="E31" s="478"/>
      <c r="F31" s="478"/>
      <c r="H31" s="885" t="s">
        <v>68</v>
      </c>
      <c r="I31" s="886"/>
      <c r="J31" s="774">
        <v>162.59</v>
      </c>
      <c r="K31" s="773">
        <f t="shared" ref="K31:K34" si="0">J31*(I$25+1)</f>
        <v>165.53619471744472</v>
      </c>
      <c r="L31" s="428"/>
      <c r="M31" s="822"/>
      <c r="N31" s="428"/>
      <c r="O31" s="428"/>
      <c r="P31" s="428"/>
      <c r="Q31" s="428"/>
      <c r="R31" s="428"/>
      <c r="S31" s="428"/>
      <c r="T31" s="428"/>
    </row>
    <row r="32" spans="2:20" s="329" customFormat="1" ht="15.75" thickBot="1">
      <c r="B32" s="529"/>
      <c r="C32" s="528"/>
      <c r="E32" s="478"/>
      <c r="F32" s="478"/>
      <c r="H32" s="885" t="s">
        <v>69</v>
      </c>
      <c r="I32" s="886"/>
      <c r="J32" s="774">
        <v>46.88</v>
      </c>
      <c r="K32" s="773">
        <f t="shared" si="0"/>
        <v>47.729484029484027</v>
      </c>
      <c r="L32" s="428"/>
      <c r="M32" s="822"/>
      <c r="N32" s="428"/>
      <c r="O32" s="428"/>
      <c r="P32" s="428"/>
      <c r="Q32" s="428"/>
      <c r="R32" s="428"/>
      <c r="S32" s="428"/>
      <c r="T32" s="428"/>
    </row>
    <row r="33" spans="2:20" s="329" customFormat="1" ht="15.75" thickBot="1">
      <c r="B33" s="529"/>
      <c r="C33" s="528"/>
      <c r="E33" s="478"/>
      <c r="F33" s="478"/>
      <c r="H33" s="887" t="s">
        <v>119</v>
      </c>
      <c r="I33" s="888"/>
      <c r="J33" s="774">
        <v>132.22999999999999</v>
      </c>
      <c r="K33" s="773">
        <f t="shared" si="0"/>
        <v>134.62605958230955</v>
      </c>
      <c r="L33" s="428"/>
      <c r="M33" s="822"/>
      <c r="N33" s="428"/>
      <c r="O33" s="428"/>
      <c r="P33" s="428"/>
      <c r="Q33" s="428"/>
      <c r="R33" s="428"/>
      <c r="S33" s="428"/>
      <c r="T33" s="428"/>
    </row>
    <row r="34" spans="2:20" s="329" customFormat="1" ht="15.75" thickBot="1">
      <c r="B34" s="529"/>
      <c r="C34" s="530"/>
      <c r="E34" s="478"/>
      <c r="F34" s="478"/>
      <c r="H34" s="891" t="s">
        <v>70</v>
      </c>
      <c r="I34" s="892"/>
      <c r="J34" s="775">
        <v>158.68</v>
      </c>
      <c r="K34" s="773">
        <f t="shared" si="0"/>
        <v>161.55534398034396</v>
      </c>
      <c r="L34" s="428"/>
      <c r="M34" s="822"/>
      <c r="N34" s="428"/>
      <c r="O34" s="428"/>
      <c r="P34" s="428"/>
      <c r="Q34" s="428"/>
      <c r="R34" s="428"/>
      <c r="S34" s="428"/>
      <c r="T34" s="428"/>
    </row>
    <row r="35" spans="2:20" s="329" customFormat="1">
      <c r="B35" s="529"/>
      <c r="C35" s="530"/>
      <c r="E35" s="478"/>
      <c r="F35" s="47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</row>
    <row r="36" spans="2:20" s="329" customFormat="1">
      <c r="E36" s="478"/>
      <c r="F36" s="47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</row>
    <row r="37" spans="2:20" s="329" customFormat="1"/>
    <row r="38" spans="2:20" s="329" customFormat="1"/>
    <row r="39" spans="2:20" s="329" customFormat="1"/>
    <row r="40" spans="2:20" s="329" customFormat="1"/>
    <row r="41" spans="2:20" s="329" customFormat="1"/>
    <row r="42" spans="2:20" s="329" customFormat="1"/>
  </sheetData>
  <mergeCells count="10">
    <mergeCell ref="N4:T4"/>
    <mergeCell ref="N5:T5"/>
    <mergeCell ref="N8:T8"/>
    <mergeCell ref="H4:J4"/>
    <mergeCell ref="H3:K3"/>
    <mergeCell ref="H31:I31"/>
    <mergeCell ref="H32:I32"/>
    <mergeCell ref="H33:I33"/>
    <mergeCell ref="H30:I30"/>
    <mergeCell ref="H34:I34"/>
  </mergeCells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1:U44"/>
  <sheetViews>
    <sheetView topLeftCell="D22" workbookViewId="0">
      <selection activeCell="S38" sqref="S38"/>
    </sheetView>
  </sheetViews>
  <sheetFormatPr defaultRowHeight="15"/>
  <cols>
    <col min="3" max="3" width="35.7109375" customWidth="1"/>
    <col min="6" max="6" width="10.140625" hidden="1" customWidth="1"/>
    <col min="7" max="7" width="9.140625" hidden="1" customWidth="1"/>
    <col min="8" max="8" width="9" hidden="1" customWidth="1"/>
    <col min="9" max="9" width="14.5703125" hidden="1" customWidth="1"/>
    <col min="10" max="11" width="0" hidden="1" customWidth="1"/>
    <col min="12" max="12" width="26.140625" bestFit="1" customWidth="1"/>
    <col min="13" max="13" width="8.5703125" bestFit="1" customWidth="1"/>
    <col min="14" max="14" width="6" customWidth="1"/>
    <col min="15" max="15" width="11" bestFit="1" customWidth="1"/>
    <col min="19" max="19" width="21.42578125" bestFit="1" customWidth="1"/>
    <col min="20" max="20" width="11" bestFit="1" customWidth="1"/>
    <col min="21" max="21" width="41.7109375" bestFit="1" customWidth="1"/>
  </cols>
  <sheetData>
    <row r="1" spans="3:12" ht="18">
      <c r="C1" s="565" t="s">
        <v>151</v>
      </c>
      <c r="D1" s="566"/>
    </row>
    <row r="3" spans="3:12" ht="15.75" thickBot="1">
      <c r="L3" s="766" t="s">
        <v>304</v>
      </c>
    </row>
    <row r="4" spans="3:12" ht="15.75" hidden="1">
      <c r="C4" s="895" t="s">
        <v>152</v>
      </c>
      <c r="D4" s="896"/>
      <c r="E4" s="896"/>
      <c r="F4" s="896"/>
      <c r="G4" s="896"/>
      <c r="H4" s="896"/>
      <c r="I4" s="897"/>
    </row>
    <row r="5" spans="3:12" s="601" customFormat="1" ht="23.45" hidden="1" customHeight="1">
      <c r="C5" s="597"/>
      <c r="D5" s="598" t="s">
        <v>3</v>
      </c>
      <c r="E5" s="598" t="s">
        <v>134</v>
      </c>
      <c r="F5" s="599" t="s">
        <v>135</v>
      </c>
      <c r="G5" s="599" t="s">
        <v>136</v>
      </c>
      <c r="H5" s="598" t="s">
        <v>137</v>
      </c>
      <c r="I5" s="600" t="s">
        <v>138</v>
      </c>
    </row>
    <row r="6" spans="3:12" hidden="1">
      <c r="C6" s="47" t="s">
        <v>139</v>
      </c>
      <c r="D6" s="145">
        <v>8</v>
      </c>
      <c r="E6" s="145"/>
      <c r="F6" s="455">
        <f>'Master Lookup'!D18</f>
        <v>36865.745036892295</v>
      </c>
      <c r="G6" s="455">
        <f>+F6/D6</f>
        <v>4608.2181296115368</v>
      </c>
      <c r="H6" s="455">
        <f>+G6/52</f>
        <v>88.619579415606481</v>
      </c>
      <c r="I6" s="602">
        <f>+H6/7</f>
        <v>12.659939916515212</v>
      </c>
    </row>
    <row r="7" spans="3:12" ht="15.75" hidden="1" thickBot="1">
      <c r="C7" s="585" t="s">
        <v>140</v>
      </c>
      <c r="D7" s="582">
        <v>6</v>
      </c>
      <c r="E7" s="582">
        <v>8</v>
      </c>
      <c r="F7" s="603">
        <f>'Master Lookup'!D19</f>
        <v>44685.751559869437</v>
      </c>
      <c r="G7" s="603">
        <f>(+F7/D7)/E7</f>
        <v>930.9531574972799</v>
      </c>
      <c r="H7" s="603">
        <f>+G7/52</f>
        <v>17.902945336486152</v>
      </c>
      <c r="I7" s="604">
        <f>+H7/7</f>
        <v>2.5575636194980218</v>
      </c>
    </row>
    <row r="8" spans="3:12" ht="15.75" hidden="1" thickTop="1">
      <c r="C8" s="583" t="s">
        <v>141</v>
      </c>
      <c r="D8" s="581"/>
      <c r="E8" s="581"/>
      <c r="F8" s="605"/>
      <c r="G8" s="606">
        <f>SUM(G6:G7)</f>
        <v>5539.1712871088166</v>
      </c>
      <c r="H8" s="606">
        <f>SUM(H6:H7)</f>
        <v>106.52252475209264</v>
      </c>
      <c r="I8" s="607">
        <f>SUM(I6:I7)</f>
        <v>15.217503536013233</v>
      </c>
    </row>
    <row r="9" spans="3:12" hidden="1">
      <c r="C9" s="47" t="s">
        <v>150</v>
      </c>
      <c r="D9" s="145"/>
      <c r="E9" s="145"/>
      <c r="F9" s="455">
        <f>20000*(1.1%+1)*(4.46%+1)*(2.98%+1)*(2.72%+1)</f>
        <v>22342.875779934719</v>
      </c>
      <c r="G9" s="455">
        <f>+F9/8</f>
        <v>2792.8594724918398</v>
      </c>
      <c r="H9" s="455">
        <f>+G9/52</f>
        <v>53.708836009458459</v>
      </c>
      <c r="I9" s="602">
        <f>+H9/7</f>
        <v>7.6726908584940654</v>
      </c>
    </row>
    <row r="10" spans="3:12" ht="15.75" hidden="1" thickBot="1">
      <c r="C10" s="585" t="s">
        <v>142</v>
      </c>
      <c r="D10" s="582"/>
      <c r="E10" s="582"/>
      <c r="F10" s="603">
        <f>SUM(F6:F9)*0.1</f>
        <v>10389.437237669646</v>
      </c>
      <c r="G10" s="603">
        <f>+F10/8</f>
        <v>1298.6796547087058</v>
      </c>
      <c r="H10" s="603">
        <f>+G10/52</f>
        <v>24.974608744398189</v>
      </c>
      <c r="I10" s="604">
        <f>+H10/7</f>
        <v>3.5678012491997415</v>
      </c>
    </row>
    <row r="11" spans="3:12" ht="15.75" hidden="1" thickTop="1">
      <c r="C11" s="583" t="s">
        <v>143</v>
      </c>
      <c r="D11" s="584"/>
      <c r="E11" s="584"/>
      <c r="F11" s="608"/>
      <c r="G11" s="608"/>
      <c r="H11" s="608"/>
      <c r="I11" s="607">
        <f>SUM(I8:I10)</f>
        <v>26.45799564370704</v>
      </c>
    </row>
    <row r="12" spans="3:12" hidden="1">
      <c r="C12" s="586" t="s">
        <v>144</v>
      </c>
      <c r="D12" s="145"/>
      <c r="E12" s="145"/>
      <c r="F12" s="455">
        <f>SUM(F8:F10)*0.25</f>
        <v>8183.0782544010908</v>
      </c>
      <c r="G12" s="455">
        <f>SUM(G8:G10)*0.25</f>
        <v>2407.6776035773405</v>
      </c>
      <c r="H12" s="455">
        <f>SUM(H8:H10)*0.25</f>
        <v>46.301492376487317</v>
      </c>
      <c r="I12" s="602">
        <f>SUM(I8:I10)*0.25</f>
        <v>6.61449891092676</v>
      </c>
    </row>
    <row r="13" spans="3:12" hidden="1">
      <c r="C13" s="587" t="s">
        <v>145</v>
      </c>
      <c r="D13" s="578"/>
      <c r="E13" s="578"/>
      <c r="F13" s="609"/>
      <c r="G13" s="609"/>
      <c r="H13" s="609"/>
      <c r="I13" s="610">
        <f>SUM(I11:I12)</f>
        <v>33.072494554633799</v>
      </c>
    </row>
    <row r="14" spans="3:12" hidden="1">
      <c r="C14" s="579"/>
      <c r="D14" s="580"/>
      <c r="E14" s="580"/>
      <c r="F14" s="611"/>
      <c r="G14" s="611"/>
      <c r="H14" s="611"/>
      <c r="I14" s="612"/>
    </row>
    <row r="15" spans="3:12" hidden="1">
      <c r="C15" s="588" t="s">
        <v>146</v>
      </c>
      <c r="D15" s="589"/>
      <c r="E15" s="589"/>
      <c r="F15" s="613"/>
      <c r="G15" s="614"/>
      <c r="H15" s="614"/>
      <c r="I15" s="615">
        <f>(I13+I19)/0.8*(20%)</f>
        <v>9.0605111867193386</v>
      </c>
    </row>
    <row r="16" spans="3:12" hidden="1">
      <c r="C16" s="577" t="s">
        <v>33</v>
      </c>
      <c r="D16" s="590"/>
      <c r="E16" s="591">
        <v>6.3E-3</v>
      </c>
      <c r="F16" s="616"/>
      <c r="G16" s="617"/>
      <c r="H16" s="617"/>
      <c r="I16" s="618">
        <f>I11*E16</f>
        <v>0.16668537255535434</v>
      </c>
    </row>
    <row r="17" spans="3:21" ht="15.75" hidden="1" thickBot="1">
      <c r="C17" s="47"/>
      <c r="D17" s="580"/>
      <c r="E17" s="580"/>
      <c r="F17" s="455"/>
      <c r="G17" s="611"/>
      <c r="H17" s="611"/>
      <c r="I17" s="619"/>
    </row>
    <row r="18" spans="3:21" ht="15.75" hidden="1" thickTop="1">
      <c r="C18" s="592" t="s">
        <v>147</v>
      </c>
      <c r="D18" s="590"/>
      <c r="E18" s="590"/>
      <c r="F18" s="616"/>
      <c r="G18" s="617"/>
      <c r="H18" s="617"/>
      <c r="I18" s="620">
        <f>I13+I15+I16</f>
        <v>42.299691113908494</v>
      </c>
    </row>
    <row r="19" spans="3:21" hidden="1">
      <c r="C19" s="586" t="s">
        <v>148</v>
      </c>
      <c r="D19" s="593"/>
      <c r="E19" s="593"/>
      <c r="F19" s="455"/>
      <c r="G19" s="621"/>
      <c r="H19" s="455"/>
      <c r="I19" s="602">
        <f>2.84*(1%+1)*(4.46%+1)*(2.98%+1)*(2.72%+1)</f>
        <v>3.1695501922435585</v>
      </c>
    </row>
    <row r="20" spans="3:21" ht="15.75" hidden="1" thickBot="1">
      <c r="C20" s="586" t="s">
        <v>153</v>
      </c>
      <c r="D20" s="593"/>
      <c r="E20" s="594">
        <f>'Fall 2018'!BQ39</f>
        <v>2.5376928471248276E-2</v>
      </c>
      <c r="F20" s="455"/>
      <c r="G20" s="621"/>
      <c r="H20" s="455"/>
      <c r="I20" s="604">
        <f>(I18+I19)*(E20)</f>
        <v>1.1538696842681482</v>
      </c>
    </row>
    <row r="21" spans="3:21" ht="16.5" hidden="1" thickTop="1" thickBot="1">
      <c r="C21" s="595" t="s">
        <v>149</v>
      </c>
      <c r="D21" s="596"/>
      <c r="E21" s="596"/>
      <c r="F21" s="622"/>
      <c r="G21" s="622"/>
      <c r="H21" s="623"/>
      <c r="I21" s="624">
        <f>SUM(I18:I19)+I20</f>
        <v>46.623110990420201</v>
      </c>
    </row>
    <row r="22" spans="3:21" ht="15.75" thickBot="1">
      <c r="C22" s="569"/>
      <c r="D22" s="145"/>
      <c r="E22" s="568"/>
      <c r="F22" s="568"/>
      <c r="G22" s="570"/>
      <c r="H22" s="145"/>
      <c r="I22" s="567"/>
      <c r="L22" s="898" t="s">
        <v>152</v>
      </c>
      <c r="M22" s="899"/>
      <c r="N22" s="899"/>
      <c r="O22" s="900"/>
    </row>
    <row r="23" spans="3:21" ht="15.75" thickBot="1">
      <c r="C23" s="569"/>
      <c r="D23" s="145"/>
      <c r="E23" s="568"/>
      <c r="F23" s="568"/>
      <c r="G23" s="570"/>
      <c r="H23" s="145"/>
      <c r="I23" s="567"/>
      <c r="J23" s="51"/>
      <c r="K23" s="51"/>
      <c r="L23" s="167"/>
      <c r="M23" s="320" t="s">
        <v>4</v>
      </c>
      <c r="N23" s="320" t="s">
        <v>5</v>
      </c>
      <c r="O23" s="321" t="s">
        <v>6</v>
      </c>
      <c r="S23" s="855" t="s">
        <v>2</v>
      </c>
      <c r="T23" s="856"/>
      <c r="U23" s="857"/>
    </row>
    <row r="24" spans="3:21">
      <c r="C24" s="569"/>
      <c r="D24" s="145"/>
      <c r="E24" s="568"/>
      <c r="F24" s="568"/>
      <c r="G24" s="570"/>
      <c r="H24" s="145"/>
      <c r="I24" s="567"/>
      <c r="J24" s="51"/>
      <c r="K24" s="51"/>
      <c r="L24" s="312" t="s">
        <v>286</v>
      </c>
      <c r="M24" s="730">
        <f>T25</f>
        <v>36865.745036892295</v>
      </c>
      <c r="N24" s="164">
        <v>0.6</v>
      </c>
      <c r="O24" s="731">
        <f>M24*N24</f>
        <v>22119.447022135377</v>
      </c>
      <c r="S24" s="707"/>
      <c r="T24" s="172"/>
      <c r="U24" s="173"/>
    </row>
    <row r="25" spans="3:21" ht="15.75" thickBot="1">
      <c r="C25" s="571"/>
      <c r="D25" s="145"/>
      <c r="E25" s="573"/>
      <c r="F25" s="572"/>
      <c r="G25" s="568"/>
      <c r="H25" s="145"/>
      <c r="I25" s="574"/>
      <c r="J25" s="51"/>
      <c r="K25" s="51"/>
      <c r="L25" s="312" t="str">
        <f>S26</f>
        <v>IFC Staff</v>
      </c>
      <c r="M25" s="730">
        <f>T26</f>
        <v>44685.751559869437</v>
      </c>
      <c r="N25" s="164">
        <v>1</v>
      </c>
      <c r="O25" s="731">
        <f>M25*N25</f>
        <v>44685.751559869437</v>
      </c>
      <c r="S25" s="312" t="s">
        <v>126</v>
      </c>
      <c r="T25" s="730">
        <f>'Master Lookup'!D18</f>
        <v>36865.745036892295</v>
      </c>
      <c r="U25" s="179" t="s">
        <v>72</v>
      </c>
    </row>
    <row r="26" spans="3:21" ht="15.75" thickBot="1">
      <c r="C26" s="571"/>
      <c r="D26" s="145"/>
      <c r="E26" s="568"/>
      <c r="F26" s="568"/>
      <c r="G26" s="568"/>
      <c r="H26" s="145"/>
      <c r="I26" s="575"/>
      <c r="J26" s="51"/>
      <c r="K26" s="51"/>
      <c r="L26" s="167" t="s">
        <v>82</v>
      </c>
      <c r="M26" s="320"/>
      <c r="N26" s="320">
        <f>SUM(N24:N25)</f>
        <v>1.6</v>
      </c>
      <c r="O26" s="732">
        <f>SUM(O24:O25)</f>
        <v>66805.198582004814</v>
      </c>
      <c r="S26" s="312" t="s">
        <v>308</v>
      </c>
      <c r="T26" s="730">
        <f>'Master Lookup'!D19</f>
        <v>44685.751559869437</v>
      </c>
      <c r="U26" s="179" t="s">
        <v>72</v>
      </c>
    </row>
    <row r="27" spans="3:21">
      <c r="C27" s="571"/>
      <c r="D27" s="145"/>
      <c r="E27" s="570"/>
      <c r="F27" s="462"/>
      <c r="G27" s="568"/>
      <c r="H27" s="145"/>
      <c r="I27" s="576"/>
      <c r="J27" s="51"/>
      <c r="K27" s="51"/>
      <c r="L27" s="312"/>
      <c r="M27" s="164"/>
      <c r="N27" s="164"/>
      <c r="O27" s="731"/>
      <c r="S27" s="312"/>
      <c r="T27" s="730"/>
      <c r="U27" s="179"/>
    </row>
    <row r="28" spans="3:21">
      <c r="C28" s="51"/>
      <c r="D28" s="51"/>
      <c r="E28" s="51"/>
      <c r="F28" s="51"/>
      <c r="G28" s="51"/>
      <c r="H28" s="51"/>
      <c r="I28" s="51"/>
      <c r="J28" s="51"/>
      <c r="K28" s="51"/>
      <c r="L28" s="312" t="s">
        <v>23</v>
      </c>
      <c r="M28" s="164"/>
      <c r="N28" s="164"/>
      <c r="O28" s="731"/>
      <c r="S28" s="312" t="s">
        <v>86</v>
      </c>
      <c r="T28" s="730">
        <f>'Master Lookup'!D31</f>
        <v>3229.3870573998524</v>
      </c>
      <c r="U28" s="179" t="s">
        <v>291</v>
      </c>
    </row>
    <row r="29" spans="3:21" ht="15.75" thickBot="1">
      <c r="J29" s="51"/>
      <c r="K29" s="51"/>
      <c r="L29" s="312" t="s">
        <v>85</v>
      </c>
      <c r="M29" s="733">
        <f>T32</f>
        <v>0.24</v>
      </c>
      <c r="N29" s="164"/>
      <c r="O29" s="680">
        <f>M29*O26</f>
        <v>16033.247659681154</v>
      </c>
      <c r="S29" s="312" t="s">
        <v>287</v>
      </c>
      <c r="T29" s="730">
        <f>'Master Lookup'!D33</f>
        <v>178.16741415351552</v>
      </c>
      <c r="U29" s="179" t="s">
        <v>293</v>
      </c>
    </row>
    <row r="30" spans="3:21" ht="15.75" thickBot="1">
      <c r="L30" s="167" t="s">
        <v>27</v>
      </c>
      <c r="M30" s="320"/>
      <c r="N30" s="320"/>
      <c r="O30" s="732">
        <f>SUM(O26:O29)</f>
        <v>82838.446241685975</v>
      </c>
      <c r="S30" s="312"/>
      <c r="T30" s="730"/>
      <c r="U30" s="179"/>
    </row>
    <row r="31" spans="3:21">
      <c r="L31" s="312"/>
      <c r="M31" s="730"/>
      <c r="N31" s="164"/>
      <c r="O31" s="731"/>
      <c r="S31" s="312"/>
      <c r="T31" s="164"/>
      <c r="U31" s="179"/>
    </row>
    <row r="32" spans="3:21">
      <c r="L32" s="312" t="s">
        <v>86</v>
      </c>
      <c r="M32" s="730">
        <f>T28</f>
        <v>3229.3870573998524</v>
      </c>
      <c r="N32" s="164"/>
      <c r="O32" s="680">
        <f>M32*N26</f>
        <v>5167.0192918397643</v>
      </c>
      <c r="S32" s="312" t="s">
        <v>24</v>
      </c>
      <c r="T32" s="762">
        <f>'Master Lookup'!D24</f>
        <v>0.24</v>
      </c>
      <c r="U32" s="179" t="s">
        <v>280</v>
      </c>
    </row>
    <row r="33" spans="12:21">
      <c r="L33" s="312" t="s">
        <v>287</v>
      </c>
      <c r="M33" s="730">
        <f>T29</f>
        <v>178.16741415351552</v>
      </c>
      <c r="N33" s="164"/>
      <c r="O33" s="680">
        <f>M33*N26</f>
        <v>285.06786264562487</v>
      </c>
      <c r="S33" s="312" t="s">
        <v>26</v>
      </c>
      <c r="T33" s="762">
        <f>'Master Lookup'!D23</f>
        <v>0.12</v>
      </c>
      <c r="U33" s="179" t="s">
        <v>281</v>
      </c>
    </row>
    <row r="34" spans="12:21">
      <c r="L34" s="312"/>
      <c r="M34" s="730"/>
      <c r="N34" s="164"/>
      <c r="O34" s="680"/>
      <c r="S34" s="513" t="s">
        <v>54</v>
      </c>
      <c r="T34" s="514">
        <v>6.3E-3</v>
      </c>
      <c r="U34" s="749" t="s">
        <v>283</v>
      </c>
    </row>
    <row r="35" spans="12:21" ht="15.75" thickBot="1">
      <c r="L35" s="312"/>
      <c r="M35" s="730"/>
      <c r="N35" s="164"/>
      <c r="O35" s="179"/>
      <c r="S35" s="715" t="s">
        <v>55</v>
      </c>
      <c r="T35" s="763">
        <f>'Master Lookup'!D26</f>
        <v>1.8120393120392975E-2</v>
      </c>
      <c r="U35" s="750" t="s">
        <v>56</v>
      </c>
    </row>
    <row r="36" spans="12:21" ht="15.75" thickBot="1">
      <c r="L36" s="312"/>
      <c r="M36" s="730"/>
      <c r="N36" s="164"/>
      <c r="O36" s="179"/>
      <c r="S36" s="161"/>
      <c r="T36" s="161"/>
      <c r="U36" s="161"/>
    </row>
    <row r="37" spans="12:21" ht="15.75" thickBot="1">
      <c r="L37" s="167" t="s">
        <v>94</v>
      </c>
      <c r="M37" s="320"/>
      <c r="N37" s="320"/>
      <c r="O37" s="732">
        <f>SUM(O30:O36)</f>
        <v>88290.533396171362</v>
      </c>
    </row>
    <row r="38" spans="12:21">
      <c r="L38" s="707" t="s">
        <v>95</v>
      </c>
      <c r="M38" s="734">
        <f>T33</f>
        <v>0.12</v>
      </c>
      <c r="N38" s="172"/>
      <c r="O38" s="742">
        <f>M38*O37</f>
        <v>10594.864007540564</v>
      </c>
    </row>
    <row r="39" spans="12:21" ht="15.75" thickBot="1">
      <c r="L39" s="736" t="s">
        <v>54</v>
      </c>
      <c r="M39" s="737">
        <f>T34</f>
        <v>6.3E-3</v>
      </c>
      <c r="N39" s="683"/>
      <c r="O39" s="738">
        <f>M39*O37</f>
        <v>556.23036039587964</v>
      </c>
    </row>
    <row r="40" spans="12:21">
      <c r="L40" s="707" t="s">
        <v>96</v>
      </c>
      <c r="M40" s="172"/>
      <c r="N40" s="172"/>
      <c r="O40" s="735">
        <f>SUM(O37:O39)</f>
        <v>99441.627764107805</v>
      </c>
    </row>
    <row r="41" spans="12:21" ht="15.75" thickBot="1">
      <c r="L41" s="764" t="s">
        <v>55</v>
      </c>
      <c r="M41" s="765">
        <f>T35</f>
        <v>1.8120393120392975E-2</v>
      </c>
      <c r="N41" s="739"/>
      <c r="O41" s="740">
        <f>M41*O40</f>
        <v>1801.9213876174181</v>
      </c>
      <c r="T41" s="51"/>
    </row>
    <row r="42" spans="12:21" ht="15.75" thickTop="1">
      <c r="L42" s="312" t="s">
        <v>35</v>
      </c>
      <c r="M42" s="164"/>
      <c r="N42" s="164"/>
      <c r="O42" s="731">
        <f>SUM(O40:O41)</f>
        <v>101243.54915172522</v>
      </c>
      <c r="T42" s="51"/>
    </row>
    <row r="43" spans="12:21" ht="15.75" thickBot="1">
      <c r="L43" s="741" t="s">
        <v>96</v>
      </c>
      <c r="M43" s="743"/>
      <c r="N43" s="743"/>
      <c r="O43" s="744">
        <f>(O42/360)/6</f>
        <v>46.872013496169082</v>
      </c>
      <c r="P43" s="166"/>
    </row>
    <row r="44" spans="12:21">
      <c r="L44" s="161"/>
      <c r="M44" s="161"/>
      <c r="N44" s="161"/>
      <c r="O44" s="745"/>
    </row>
  </sheetData>
  <mergeCells count="3">
    <mergeCell ref="C4:I4"/>
    <mergeCell ref="L22:O22"/>
    <mergeCell ref="S23:U23"/>
  </mergeCells>
  <pageMargins left="0.7" right="0.7" top="0.75" bottom="0.75" header="0.3" footer="0.3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0"/>
  <sheetViews>
    <sheetView topLeftCell="AZ12" workbookViewId="0">
      <selection activeCell="BT31" sqref="BT31"/>
    </sheetView>
  </sheetViews>
  <sheetFormatPr defaultRowHeight="12.75"/>
  <cols>
    <col min="1" max="1" width="38.42578125" style="627" customWidth="1"/>
    <col min="2" max="2" width="12.85546875" style="632" customWidth="1"/>
    <col min="3" max="58" width="7.7109375" style="627" customWidth="1"/>
    <col min="59" max="59" width="13" style="627" customWidth="1"/>
    <col min="60" max="60" width="8.42578125" style="627" customWidth="1"/>
    <col min="61" max="61" width="8.140625" style="627" customWidth="1"/>
    <col min="62" max="67" width="8.140625" style="627" bestFit="1" customWidth="1"/>
    <col min="68" max="68" width="7.42578125" style="627" bestFit="1" customWidth="1"/>
    <col min="69" max="69" width="9" style="627" bestFit="1" customWidth="1"/>
    <col min="70" max="82" width="7.7109375" style="627" customWidth="1"/>
    <col min="83" max="256" width="8.85546875" style="627"/>
    <col min="257" max="257" width="38.42578125" style="627" customWidth="1"/>
    <col min="258" max="258" width="12.85546875" style="627" customWidth="1"/>
    <col min="259" max="314" width="7.7109375" style="627" customWidth="1"/>
    <col min="315" max="315" width="13" style="627" customWidth="1"/>
    <col min="316" max="316" width="8.42578125" style="627" customWidth="1"/>
    <col min="317" max="317" width="8.140625" style="627" customWidth="1"/>
    <col min="318" max="323" width="8.140625" style="627" bestFit="1" customWidth="1"/>
    <col min="324" max="324" width="7.42578125" style="627" bestFit="1" customWidth="1"/>
    <col min="325" max="325" width="9" style="627" bestFit="1" customWidth="1"/>
    <col min="326" max="338" width="7.7109375" style="627" customWidth="1"/>
    <col min="339" max="512" width="8.85546875" style="627"/>
    <col min="513" max="513" width="38.42578125" style="627" customWidth="1"/>
    <col min="514" max="514" width="12.85546875" style="627" customWidth="1"/>
    <col min="515" max="570" width="7.7109375" style="627" customWidth="1"/>
    <col min="571" max="571" width="13" style="627" customWidth="1"/>
    <col min="572" max="572" width="8.42578125" style="627" customWidth="1"/>
    <col min="573" max="573" width="8.140625" style="627" customWidth="1"/>
    <col min="574" max="579" width="8.140625" style="627" bestFit="1" customWidth="1"/>
    <col min="580" max="580" width="7.42578125" style="627" bestFit="1" customWidth="1"/>
    <col min="581" max="581" width="9" style="627" bestFit="1" customWidth="1"/>
    <col min="582" max="594" width="7.7109375" style="627" customWidth="1"/>
    <col min="595" max="768" width="8.85546875" style="627"/>
    <col min="769" max="769" width="38.42578125" style="627" customWidth="1"/>
    <col min="770" max="770" width="12.85546875" style="627" customWidth="1"/>
    <col min="771" max="826" width="7.7109375" style="627" customWidth="1"/>
    <col min="827" max="827" width="13" style="627" customWidth="1"/>
    <col min="828" max="828" width="8.42578125" style="627" customWidth="1"/>
    <col min="829" max="829" width="8.140625" style="627" customWidth="1"/>
    <col min="830" max="835" width="8.140625" style="627" bestFit="1" customWidth="1"/>
    <col min="836" max="836" width="7.42578125" style="627" bestFit="1" customWidth="1"/>
    <col min="837" max="837" width="9" style="627" bestFit="1" customWidth="1"/>
    <col min="838" max="850" width="7.7109375" style="627" customWidth="1"/>
    <col min="851" max="1024" width="8.85546875" style="627"/>
    <col min="1025" max="1025" width="38.42578125" style="627" customWidth="1"/>
    <col min="1026" max="1026" width="12.85546875" style="627" customWidth="1"/>
    <col min="1027" max="1082" width="7.7109375" style="627" customWidth="1"/>
    <col min="1083" max="1083" width="13" style="627" customWidth="1"/>
    <col min="1084" max="1084" width="8.42578125" style="627" customWidth="1"/>
    <col min="1085" max="1085" width="8.140625" style="627" customWidth="1"/>
    <col min="1086" max="1091" width="8.140625" style="627" bestFit="1" customWidth="1"/>
    <col min="1092" max="1092" width="7.42578125" style="627" bestFit="1" customWidth="1"/>
    <col min="1093" max="1093" width="9" style="627" bestFit="1" customWidth="1"/>
    <col min="1094" max="1106" width="7.7109375" style="627" customWidth="1"/>
    <col min="1107" max="1280" width="8.85546875" style="627"/>
    <col min="1281" max="1281" width="38.42578125" style="627" customWidth="1"/>
    <col min="1282" max="1282" width="12.85546875" style="627" customWidth="1"/>
    <col min="1283" max="1338" width="7.7109375" style="627" customWidth="1"/>
    <col min="1339" max="1339" width="13" style="627" customWidth="1"/>
    <col min="1340" max="1340" width="8.42578125" style="627" customWidth="1"/>
    <col min="1341" max="1341" width="8.140625" style="627" customWidth="1"/>
    <col min="1342" max="1347" width="8.140625" style="627" bestFit="1" customWidth="1"/>
    <col min="1348" max="1348" width="7.42578125" style="627" bestFit="1" customWidth="1"/>
    <col min="1349" max="1349" width="9" style="627" bestFit="1" customWidth="1"/>
    <col min="1350" max="1362" width="7.7109375" style="627" customWidth="1"/>
    <col min="1363" max="1536" width="8.85546875" style="627"/>
    <col min="1537" max="1537" width="38.42578125" style="627" customWidth="1"/>
    <col min="1538" max="1538" width="12.85546875" style="627" customWidth="1"/>
    <col min="1539" max="1594" width="7.7109375" style="627" customWidth="1"/>
    <col min="1595" max="1595" width="13" style="627" customWidth="1"/>
    <col min="1596" max="1596" width="8.42578125" style="627" customWidth="1"/>
    <col min="1597" max="1597" width="8.140625" style="627" customWidth="1"/>
    <col min="1598" max="1603" width="8.140625" style="627" bestFit="1" customWidth="1"/>
    <col min="1604" max="1604" width="7.42578125" style="627" bestFit="1" customWidth="1"/>
    <col min="1605" max="1605" width="9" style="627" bestFit="1" customWidth="1"/>
    <col min="1606" max="1618" width="7.7109375" style="627" customWidth="1"/>
    <col min="1619" max="1792" width="8.85546875" style="627"/>
    <col min="1793" max="1793" width="38.42578125" style="627" customWidth="1"/>
    <col min="1794" max="1794" width="12.85546875" style="627" customWidth="1"/>
    <col min="1795" max="1850" width="7.7109375" style="627" customWidth="1"/>
    <col min="1851" max="1851" width="13" style="627" customWidth="1"/>
    <col min="1852" max="1852" width="8.42578125" style="627" customWidth="1"/>
    <col min="1853" max="1853" width="8.140625" style="627" customWidth="1"/>
    <col min="1854" max="1859" width="8.140625" style="627" bestFit="1" customWidth="1"/>
    <col min="1860" max="1860" width="7.42578125" style="627" bestFit="1" customWidth="1"/>
    <col min="1861" max="1861" width="9" style="627" bestFit="1" customWidth="1"/>
    <col min="1862" max="1874" width="7.7109375" style="627" customWidth="1"/>
    <col min="1875" max="2048" width="8.85546875" style="627"/>
    <col min="2049" max="2049" width="38.42578125" style="627" customWidth="1"/>
    <col min="2050" max="2050" width="12.85546875" style="627" customWidth="1"/>
    <col min="2051" max="2106" width="7.7109375" style="627" customWidth="1"/>
    <col min="2107" max="2107" width="13" style="627" customWidth="1"/>
    <col min="2108" max="2108" width="8.42578125" style="627" customWidth="1"/>
    <col min="2109" max="2109" width="8.140625" style="627" customWidth="1"/>
    <col min="2110" max="2115" width="8.140625" style="627" bestFit="1" customWidth="1"/>
    <col min="2116" max="2116" width="7.42578125" style="627" bestFit="1" customWidth="1"/>
    <col min="2117" max="2117" width="9" style="627" bestFit="1" customWidth="1"/>
    <col min="2118" max="2130" width="7.7109375" style="627" customWidth="1"/>
    <col min="2131" max="2304" width="8.85546875" style="627"/>
    <col min="2305" max="2305" width="38.42578125" style="627" customWidth="1"/>
    <col min="2306" max="2306" width="12.85546875" style="627" customWidth="1"/>
    <col min="2307" max="2362" width="7.7109375" style="627" customWidth="1"/>
    <col min="2363" max="2363" width="13" style="627" customWidth="1"/>
    <col min="2364" max="2364" width="8.42578125" style="627" customWidth="1"/>
    <col min="2365" max="2365" width="8.140625" style="627" customWidth="1"/>
    <col min="2366" max="2371" width="8.140625" style="627" bestFit="1" customWidth="1"/>
    <col min="2372" max="2372" width="7.42578125" style="627" bestFit="1" customWidth="1"/>
    <col min="2373" max="2373" width="9" style="627" bestFit="1" customWidth="1"/>
    <col min="2374" max="2386" width="7.7109375" style="627" customWidth="1"/>
    <col min="2387" max="2560" width="8.85546875" style="627"/>
    <col min="2561" max="2561" width="38.42578125" style="627" customWidth="1"/>
    <col min="2562" max="2562" width="12.85546875" style="627" customWidth="1"/>
    <col min="2563" max="2618" width="7.7109375" style="627" customWidth="1"/>
    <col min="2619" max="2619" width="13" style="627" customWidth="1"/>
    <col min="2620" max="2620" width="8.42578125" style="627" customWidth="1"/>
    <col min="2621" max="2621" width="8.140625" style="627" customWidth="1"/>
    <col min="2622" max="2627" width="8.140625" style="627" bestFit="1" customWidth="1"/>
    <col min="2628" max="2628" width="7.42578125" style="627" bestFit="1" customWidth="1"/>
    <col min="2629" max="2629" width="9" style="627" bestFit="1" customWidth="1"/>
    <col min="2630" max="2642" width="7.7109375" style="627" customWidth="1"/>
    <col min="2643" max="2816" width="8.85546875" style="627"/>
    <col min="2817" max="2817" width="38.42578125" style="627" customWidth="1"/>
    <col min="2818" max="2818" width="12.85546875" style="627" customWidth="1"/>
    <col min="2819" max="2874" width="7.7109375" style="627" customWidth="1"/>
    <col min="2875" max="2875" width="13" style="627" customWidth="1"/>
    <col min="2876" max="2876" width="8.42578125" style="627" customWidth="1"/>
    <col min="2877" max="2877" width="8.140625" style="627" customWidth="1"/>
    <col min="2878" max="2883" width="8.140625" style="627" bestFit="1" customWidth="1"/>
    <col min="2884" max="2884" width="7.42578125" style="627" bestFit="1" customWidth="1"/>
    <col min="2885" max="2885" width="9" style="627" bestFit="1" customWidth="1"/>
    <col min="2886" max="2898" width="7.7109375" style="627" customWidth="1"/>
    <col min="2899" max="3072" width="8.85546875" style="627"/>
    <col min="3073" max="3073" width="38.42578125" style="627" customWidth="1"/>
    <col min="3074" max="3074" width="12.85546875" style="627" customWidth="1"/>
    <col min="3075" max="3130" width="7.7109375" style="627" customWidth="1"/>
    <col min="3131" max="3131" width="13" style="627" customWidth="1"/>
    <col min="3132" max="3132" width="8.42578125" style="627" customWidth="1"/>
    <col min="3133" max="3133" width="8.140625" style="627" customWidth="1"/>
    <col min="3134" max="3139" width="8.140625" style="627" bestFit="1" customWidth="1"/>
    <col min="3140" max="3140" width="7.42578125" style="627" bestFit="1" customWidth="1"/>
    <col min="3141" max="3141" width="9" style="627" bestFit="1" customWidth="1"/>
    <col min="3142" max="3154" width="7.7109375" style="627" customWidth="1"/>
    <col min="3155" max="3328" width="8.85546875" style="627"/>
    <col min="3329" max="3329" width="38.42578125" style="627" customWidth="1"/>
    <col min="3330" max="3330" width="12.85546875" style="627" customWidth="1"/>
    <col min="3331" max="3386" width="7.7109375" style="627" customWidth="1"/>
    <col min="3387" max="3387" width="13" style="627" customWidth="1"/>
    <col min="3388" max="3388" width="8.42578125" style="627" customWidth="1"/>
    <col min="3389" max="3389" width="8.140625" style="627" customWidth="1"/>
    <col min="3390" max="3395" width="8.140625" style="627" bestFit="1" customWidth="1"/>
    <col min="3396" max="3396" width="7.42578125" style="627" bestFit="1" customWidth="1"/>
    <col min="3397" max="3397" width="9" style="627" bestFit="1" customWidth="1"/>
    <col min="3398" max="3410" width="7.7109375" style="627" customWidth="1"/>
    <col min="3411" max="3584" width="8.85546875" style="627"/>
    <col min="3585" max="3585" width="38.42578125" style="627" customWidth="1"/>
    <col min="3586" max="3586" width="12.85546875" style="627" customWidth="1"/>
    <col min="3587" max="3642" width="7.7109375" style="627" customWidth="1"/>
    <col min="3643" max="3643" width="13" style="627" customWidth="1"/>
    <col min="3644" max="3644" width="8.42578125" style="627" customWidth="1"/>
    <col min="3645" max="3645" width="8.140625" style="627" customWidth="1"/>
    <col min="3646" max="3651" width="8.140625" style="627" bestFit="1" customWidth="1"/>
    <col min="3652" max="3652" width="7.42578125" style="627" bestFit="1" customWidth="1"/>
    <col min="3653" max="3653" width="9" style="627" bestFit="1" customWidth="1"/>
    <col min="3654" max="3666" width="7.7109375" style="627" customWidth="1"/>
    <col min="3667" max="3840" width="8.85546875" style="627"/>
    <col min="3841" max="3841" width="38.42578125" style="627" customWidth="1"/>
    <col min="3842" max="3842" width="12.85546875" style="627" customWidth="1"/>
    <col min="3843" max="3898" width="7.7109375" style="627" customWidth="1"/>
    <col min="3899" max="3899" width="13" style="627" customWidth="1"/>
    <col min="3900" max="3900" width="8.42578125" style="627" customWidth="1"/>
    <col min="3901" max="3901" width="8.140625" style="627" customWidth="1"/>
    <col min="3902" max="3907" width="8.140625" style="627" bestFit="1" customWidth="1"/>
    <col min="3908" max="3908" width="7.42578125" style="627" bestFit="1" customWidth="1"/>
    <col min="3909" max="3909" width="9" style="627" bestFit="1" customWidth="1"/>
    <col min="3910" max="3922" width="7.7109375" style="627" customWidth="1"/>
    <col min="3923" max="4096" width="8.85546875" style="627"/>
    <col min="4097" max="4097" width="38.42578125" style="627" customWidth="1"/>
    <col min="4098" max="4098" width="12.85546875" style="627" customWidth="1"/>
    <col min="4099" max="4154" width="7.7109375" style="627" customWidth="1"/>
    <col min="4155" max="4155" width="13" style="627" customWidth="1"/>
    <col min="4156" max="4156" width="8.42578125" style="627" customWidth="1"/>
    <col min="4157" max="4157" width="8.140625" style="627" customWidth="1"/>
    <col min="4158" max="4163" width="8.140625" style="627" bestFit="1" customWidth="1"/>
    <col min="4164" max="4164" width="7.42578125" style="627" bestFit="1" customWidth="1"/>
    <col min="4165" max="4165" width="9" style="627" bestFit="1" customWidth="1"/>
    <col min="4166" max="4178" width="7.7109375" style="627" customWidth="1"/>
    <col min="4179" max="4352" width="8.85546875" style="627"/>
    <col min="4353" max="4353" width="38.42578125" style="627" customWidth="1"/>
    <col min="4354" max="4354" width="12.85546875" style="627" customWidth="1"/>
    <col min="4355" max="4410" width="7.7109375" style="627" customWidth="1"/>
    <col min="4411" max="4411" width="13" style="627" customWidth="1"/>
    <col min="4412" max="4412" width="8.42578125" style="627" customWidth="1"/>
    <col min="4413" max="4413" width="8.140625" style="627" customWidth="1"/>
    <col min="4414" max="4419" width="8.140625" style="627" bestFit="1" customWidth="1"/>
    <col min="4420" max="4420" width="7.42578125" style="627" bestFit="1" customWidth="1"/>
    <col min="4421" max="4421" width="9" style="627" bestFit="1" customWidth="1"/>
    <col min="4422" max="4434" width="7.7109375" style="627" customWidth="1"/>
    <col min="4435" max="4608" width="8.85546875" style="627"/>
    <col min="4609" max="4609" width="38.42578125" style="627" customWidth="1"/>
    <col min="4610" max="4610" width="12.85546875" style="627" customWidth="1"/>
    <col min="4611" max="4666" width="7.7109375" style="627" customWidth="1"/>
    <col min="4667" max="4667" width="13" style="627" customWidth="1"/>
    <col min="4668" max="4668" width="8.42578125" style="627" customWidth="1"/>
    <col min="4669" max="4669" width="8.140625" style="627" customWidth="1"/>
    <col min="4670" max="4675" width="8.140625" style="627" bestFit="1" customWidth="1"/>
    <col min="4676" max="4676" width="7.42578125" style="627" bestFit="1" customWidth="1"/>
    <col min="4677" max="4677" width="9" style="627" bestFit="1" customWidth="1"/>
    <col min="4678" max="4690" width="7.7109375" style="627" customWidth="1"/>
    <col min="4691" max="4864" width="8.85546875" style="627"/>
    <col min="4865" max="4865" width="38.42578125" style="627" customWidth="1"/>
    <col min="4866" max="4866" width="12.85546875" style="627" customWidth="1"/>
    <col min="4867" max="4922" width="7.7109375" style="627" customWidth="1"/>
    <col min="4923" max="4923" width="13" style="627" customWidth="1"/>
    <col min="4924" max="4924" width="8.42578125" style="627" customWidth="1"/>
    <col min="4925" max="4925" width="8.140625" style="627" customWidth="1"/>
    <col min="4926" max="4931" width="8.140625" style="627" bestFit="1" customWidth="1"/>
    <col min="4932" max="4932" width="7.42578125" style="627" bestFit="1" customWidth="1"/>
    <col min="4933" max="4933" width="9" style="627" bestFit="1" customWidth="1"/>
    <col min="4934" max="4946" width="7.7109375" style="627" customWidth="1"/>
    <col min="4947" max="5120" width="8.85546875" style="627"/>
    <col min="5121" max="5121" width="38.42578125" style="627" customWidth="1"/>
    <col min="5122" max="5122" width="12.85546875" style="627" customWidth="1"/>
    <col min="5123" max="5178" width="7.7109375" style="627" customWidth="1"/>
    <col min="5179" max="5179" width="13" style="627" customWidth="1"/>
    <col min="5180" max="5180" width="8.42578125" style="627" customWidth="1"/>
    <col min="5181" max="5181" width="8.140625" style="627" customWidth="1"/>
    <col min="5182" max="5187" width="8.140625" style="627" bestFit="1" customWidth="1"/>
    <col min="5188" max="5188" width="7.42578125" style="627" bestFit="1" customWidth="1"/>
    <col min="5189" max="5189" width="9" style="627" bestFit="1" customWidth="1"/>
    <col min="5190" max="5202" width="7.7109375" style="627" customWidth="1"/>
    <col min="5203" max="5376" width="8.85546875" style="627"/>
    <col min="5377" max="5377" width="38.42578125" style="627" customWidth="1"/>
    <col min="5378" max="5378" width="12.85546875" style="627" customWidth="1"/>
    <col min="5379" max="5434" width="7.7109375" style="627" customWidth="1"/>
    <col min="5435" max="5435" width="13" style="627" customWidth="1"/>
    <col min="5436" max="5436" width="8.42578125" style="627" customWidth="1"/>
    <col min="5437" max="5437" width="8.140625" style="627" customWidth="1"/>
    <col min="5438" max="5443" width="8.140625" style="627" bestFit="1" customWidth="1"/>
    <col min="5444" max="5444" width="7.42578125" style="627" bestFit="1" customWidth="1"/>
    <col min="5445" max="5445" width="9" style="627" bestFit="1" customWidth="1"/>
    <col min="5446" max="5458" width="7.7109375" style="627" customWidth="1"/>
    <col min="5459" max="5632" width="8.85546875" style="627"/>
    <col min="5633" max="5633" width="38.42578125" style="627" customWidth="1"/>
    <col min="5634" max="5634" width="12.85546875" style="627" customWidth="1"/>
    <col min="5635" max="5690" width="7.7109375" style="627" customWidth="1"/>
    <col min="5691" max="5691" width="13" style="627" customWidth="1"/>
    <col min="5692" max="5692" width="8.42578125" style="627" customWidth="1"/>
    <col min="5693" max="5693" width="8.140625" style="627" customWidth="1"/>
    <col min="5694" max="5699" width="8.140625" style="627" bestFit="1" customWidth="1"/>
    <col min="5700" max="5700" width="7.42578125" style="627" bestFit="1" customWidth="1"/>
    <col min="5701" max="5701" width="9" style="627" bestFit="1" customWidth="1"/>
    <col min="5702" max="5714" width="7.7109375" style="627" customWidth="1"/>
    <col min="5715" max="5888" width="8.85546875" style="627"/>
    <col min="5889" max="5889" width="38.42578125" style="627" customWidth="1"/>
    <col min="5890" max="5890" width="12.85546875" style="627" customWidth="1"/>
    <col min="5891" max="5946" width="7.7109375" style="627" customWidth="1"/>
    <col min="5947" max="5947" width="13" style="627" customWidth="1"/>
    <col min="5948" max="5948" width="8.42578125" style="627" customWidth="1"/>
    <col min="5949" max="5949" width="8.140625" style="627" customWidth="1"/>
    <col min="5950" max="5955" width="8.140625" style="627" bestFit="1" customWidth="1"/>
    <col min="5956" max="5956" width="7.42578125" style="627" bestFit="1" customWidth="1"/>
    <col min="5957" max="5957" width="9" style="627" bestFit="1" customWidth="1"/>
    <col min="5958" max="5970" width="7.7109375" style="627" customWidth="1"/>
    <col min="5971" max="6144" width="8.85546875" style="627"/>
    <col min="6145" max="6145" width="38.42578125" style="627" customWidth="1"/>
    <col min="6146" max="6146" width="12.85546875" style="627" customWidth="1"/>
    <col min="6147" max="6202" width="7.7109375" style="627" customWidth="1"/>
    <col min="6203" max="6203" width="13" style="627" customWidth="1"/>
    <col min="6204" max="6204" width="8.42578125" style="627" customWidth="1"/>
    <col min="6205" max="6205" width="8.140625" style="627" customWidth="1"/>
    <col min="6206" max="6211" width="8.140625" style="627" bestFit="1" customWidth="1"/>
    <col min="6212" max="6212" width="7.42578125" style="627" bestFit="1" customWidth="1"/>
    <col min="6213" max="6213" width="9" style="627" bestFit="1" customWidth="1"/>
    <col min="6214" max="6226" width="7.7109375" style="627" customWidth="1"/>
    <col min="6227" max="6400" width="8.85546875" style="627"/>
    <col min="6401" max="6401" width="38.42578125" style="627" customWidth="1"/>
    <col min="6402" max="6402" width="12.85546875" style="627" customWidth="1"/>
    <col min="6403" max="6458" width="7.7109375" style="627" customWidth="1"/>
    <col min="6459" max="6459" width="13" style="627" customWidth="1"/>
    <col min="6460" max="6460" width="8.42578125" style="627" customWidth="1"/>
    <col min="6461" max="6461" width="8.140625" style="627" customWidth="1"/>
    <col min="6462" max="6467" width="8.140625" style="627" bestFit="1" customWidth="1"/>
    <col min="6468" max="6468" width="7.42578125" style="627" bestFit="1" customWidth="1"/>
    <col min="6469" max="6469" width="9" style="627" bestFit="1" customWidth="1"/>
    <col min="6470" max="6482" width="7.7109375" style="627" customWidth="1"/>
    <col min="6483" max="6656" width="8.85546875" style="627"/>
    <col min="6657" max="6657" width="38.42578125" style="627" customWidth="1"/>
    <col min="6658" max="6658" width="12.85546875" style="627" customWidth="1"/>
    <col min="6659" max="6714" width="7.7109375" style="627" customWidth="1"/>
    <col min="6715" max="6715" width="13" style="627" customWidth="1"/>
    <col min="6716" max="6716" width="8.42578125" style="627" customWidth="1"/>
    <col min="6717" max="6717" width="8.140625" style="627" customWidth="1"/>
    <col min="6718" max="6723" width="8.140625" style="627" bestFit="1" customWidth="1"/>
    <col min="6724" max="6724" width="7.42578125" style="627" bestFit="1" customWidth="1"/>
    <col min="6725" max="6725" width="9" style="627" bestFit="1" customWidth="1"/>
    <col min="6726" max="6738" width="7.7109375" style="627" customWidth="1"/>
    <col min="6739" max="6912" width="8.85546875" style="627"/>
    <col min="6913" max="6913" width="38.42578125" style="627" customWidth="1"/>
    <col min="6914" max="6914" width="12.85546875" style="627" customWidth="1"/>
    <col min="6915" max="6970" width="7.7109375" style="627" customWidth="1"/>
    <col min="6971" max="6971" width="13" style="627" customWidth="1"/>
    <col min="6972" max="6972" width="8.42578125" style="627" customWidth="1"/>
    <col min="6973" max="6973" width="8.140625" style="627" customWidth="1"/>
    <col min="6974" max="6979" width="8.140625" style="627" bestFit="1" customWidth="1"/>
    <col min="6980" max="6980" width="7.42578125" style="627" bestFit="1" customWidth="1"/>
    <col min="6981" max="6981" width="9" style="627" bestFit="1" customWidth="1"/>
    <col min="6982" max="6994" width="7.7109375" style="627" customWidth="1"/>
    <col min="6995" max="7168" width="8.85546875" style="627"/>
    <col min="7169" max="7169" width="38.42578125" style="627" customWidth="1"/>
    <col min="7170" max="7170" width="12.85546875" style="627" customWidth="1"/>
    <col min="7171" max="7226" width="7.7109375" style="627" customWidth="1"/>
    <col min="7227" max="7227" width="13" style="627" customWidth="1"/>
    <col min="7228" max="7228" width="8.42578125" style="627" customWidth="1"/>
    <col min="7229" max="7229" width="8.140625" style="627" customWidth="1"/>
    <col min="7230" max="7235" width="8.140625" style="627" bestFit="1" customWidth="1"/>
    <col min="7236" max="7236" width="7.42578125" style="627" bestFit="1" customWidth="1"/>
    <col min="7237" max="7237" width="9" style="627" bestFit="1" customWidth="1"/>
    <col min="7238" max="7250" width="7.7109375" style="627" customWidth="1"/>
    <col min="7251" max="7424" width="8.85546875" style="627"/>
    <col min="7425" max="7425" width="38.42578125" style="627" customWidth="1"/>
    <col min="7426" max="7426" width="12.85546875" style="627" customWidth="1"/>
    <col min="7427" max="7482" width="7.7109375" style="627" customWidth="1"/>
    <col min="7483" max="7483" width="13" style="627" customWidth="1"/>
    <col min="7484" max="7484" width="8.42578125" style="627" customWidth="1"/>
    <col min="7485" max="7485" width="8.140625" style="627" customWidth="1"/>
    <col min="7486" max="7491" width="8.140625" style="627" bestFit="1" customWidth="1"/>
    <col min="7492" max="7492" width="7.42578125" style="627" bestFit="1" customWidth="1"/>
    <col min="7493" max="7493" width="9" style="627" bestFit="1" customWidth="1"/>
    <col min="7494" max="7506" width="7.7109375" style="627" customWidth="1"/>
    <col min="7507" max="7680" width="8.85546875" style="627"/>
    <col min="7681" max="7681" width="38.42578125" style="627" customWidth="1"/>
    <col min="7682" max="7682" width="12.85546875" style="627" customWidth="1"/>
    <col min="7683" max="7738" width="7.7109375" style="627" customWidth="1"/>
    <col min="7739" max="7739" width="13" style="627" customWidth="1"/>
    <col min="7740" max="7740" width="8.42578125" style="627" customWidth="1"/>
    <col min="7741" max="7741" width="8.140625" style="627" customWidth="1"/>
    <col min="7742" max="7747" width="8.140625" style="627" bestFit="1" customWidth="1"/>
    <col min="7748" max="7748" width="7.42578125" style="627" bestFit="1" customWidth="1"/>
    <col min="7749" max="7749" width="9" style="627" bestFit="1" customWidth="1"/>
    <col min="7750" max="7762" width="7.7109375" style="627" customWidth="1"/>
    <col min="7763" max="7936" width="8.85546875" style="627"/>
    <col min="7937" max="7937" width="38.42578125" style="627" customWidth="1"/>
    <col min="7938" max="7938" width="12.85546875" style="627" customWidth="1"/>
    <col min="7939" max="7994" width="7.7109375" style="627" customWidth="1"/>
    <col min="7995" max="7995" width="13" style="627" customWidth="1"/>
    <col min="7996" max="7996" width="8.42578125" style="627" customWidth="1"/>
    <col min="7997" max="7997" width="8.140625" style="627" customWidth="1"/>
    <col min="7998" max="8003" width="8.140625" style="627" bestFit="1" customWidth="1"/>
    <col min="8004" max="8004" width="7.42578125" style="627" bestFit="1" customWidth="1"/>
    <col min="8005" max="8005" width="9" style="627" bestFit="1" customWidth="1"/>
    <col min="8006" max="8018" width="7.7109375" style="627" customWidth="1"/>
    <col min="8019" max="8192" width="8.85546875" style="627"/>
    <col min="8193" max="8193" width="38.42578125" style="627" customWidth="1"/>
    <col min="8194" max="8194" width="12.85546875" style="627" customWidth="1"/>
    <col min="8195" max="8250" width="7.7109375" style="627" customWidth="1"/>
    <col min="8251" max="8251" width="13" style="627" customWidth="1"/>
    <col min="8252" max="8252" width="8.42578125" style="627" customWidth="1"/>
    <col min="8253" max="8253" width="8.140625" style="627" customWidth="1"/>
    <col min="8254" max="8259" width="8.140625" style="627" bestFit="1" customWidth="1"/>
    <col min="8260" max="8260" width="7.42578125" style="627" bestFit="1" customWidth="1"/>
    <col min="8261" max="8261" width="9" style="627" bestFit="1" customWidth="1"/>
    <col min="8262" max="8274" width="7.7109375" style="627" customWidth="1"/>
    <col min="8275" max="8448" width="8.85546875" style="627"/>
    <col min="8449" max="8449" width="38.42578125" style="627" customWidth="1"/>
    <col min="8450" max="8450" width="12.85546875" style="627" customWidth="1"/>
    <col min="8451" max="8506" width="7.7109375" style="627" customWidth="1"/>
    <col min="8507" max="8507" width="13" style="627" customWidth="1"/>
    <col min="8508" max="8508" width="8.42578125" style="627" customWidth="1"/>
    <col min="8509" max="8509" width="8.140625" style="627" customWidth="1"/>
    <col min="8510" max="8515" width="8.140625" style="627" bestFit="1" customWidth="1"/>
    <col min="8516" max="8516" width="7.42578125" style="627" bestFit="1" customWidth="1"/>
    <col min="8517" max="8517" width="9" style="627" bestFit="1" customWidth="1"/>
    <col min="8518" max="8530" width="7.7109375" style="627" customWidth="1"/>
    <col min="8531" max="8704" width="8.85546875" style="627"/>
    <col min="8705" max="8705" width="38.42578125" style="627" customWidth="1"/>
    <col min="8706" max="8706" width="12.85546875" style="627" customWidth="1"/>
    <col min="8707" max="8762" width="7.7109375" style="627" customWidth="1"/>
    <col min="8763" max="8763" width="13" style="627" customWidth="1"/>
    <col min="8764" max="8764" width="8.42578125" style="627" customWidth="1"/>
    <col min="8765" max="8765" width="8.140625" style="627" customWidth="1"/>
    <col min="8766" max="8771" width="8.140625" style="627" bestFit="1" customWidth="1"/>
    <col min="8772" max="8772" width="7.42578125" style="627" bestFit="1" customWidth="1"/>
    <col min="8773" max="8773" width="9" style="627" bestFit="1" customWidth="1"/>
    <col min="8774" max="8786" width="7.7109375" style="627" customWidth="1"/>
    <col min="8787" max="8960" width="8.85546875" style="627"/>
    <col min="8961" max="8961" width="38.42578125" style="627" customWidth="1"/>
    <col min="8962" max="8962" width="12.85546875" style="627" customWidth="1"/>
    <col min="8963" max="9018" width="7.7109375" style="627" customWidth="1"/>
    <col min="9019" max="9019" width="13" style="627" customWidth="1"/>
    <col min="9020" max="9020" width="8.42578125" style="627" customWidth="1"/>
    <col min="9021" max="9021" width="8.140625" style="627" customWidth="1"/>
    <col min="9022" max="9027" width="8.140625" style="627" bestFit="1" customWidth="1"/>
    <col min="9028" max="9028" width="7.42578125" style="627" bestFit="1" customWidth="1"/>
    <col min="9029" max="9029" width="9" style="627" bestFit="1" customWidth="1"/>
    <col min="9030" max="9042" width="7.7109375" style="627" customWidth="1"/>
    <col min="9043" max="9216" width="8.85546875" style="627"/>
    <col min="9217" max="9217" width="38.42578125" style="627" customWidth="1"/>
    <col min="9218" max="9218" width="12.85546875" style="627" customWidth="1"/>
    <col min="9219" max="9274" width="7.7109375" style="627" customWidth="1"/>
    <col min="9275" max="9275" width="13" style="627" customWidth="1"/>
    <col min="9276" max="9276" width="8.42578125" style="627" customWidth="1"/>
    <col min="9277" max="9277" width="8.140625" style="627" customWidth="1"/>
    <col min="9278" max="9283" width="8.140625" style="627" bestFit="1" customWidth="1"/>
    <col min="9284" max="9284" width="7.42578125" style="627" bestFit="1" customWidth="1"/>
    <col min="9285" max="9285" width="9" style="627" bestFit="1" customWidth="1"/>
    <col min="9286" max="9298" width="7.7109375" style="627" customWidth="1"/>
    <col min="9299" max="9472" width="8.85546875" style="627"/>
    <col min="9473" max="9473" width="38.42578125" style="627" customWidth="1"/>
    <col min="9474" max="9474" width="12.85546875" style="627" customWidth="1"/>
    <col min="9475" max="9530" width="7.7109375" style="627" customWidth="1"/>
    <col min="9531" max="9531" width="13" style="627" customWidth="1"/>
    <col min="9532" max="9532" width="8.42578125" style="627" customWidth="1"/>
    <col min="9533" max="9533" width="8.140625" style="627" customWidth="1"/>
    <col min="9534" max="9539" width="8.140625" style="627" bestFit="1" customWidth="1"/>
    <col min="9540" max="9540" width="7.42578125" style="627" bestFit="1" customWidth="1"/>
    <col min="9541" max="9541" width="9" style="627" bestFit="1" customWidth="1"/>
    <col min="9542" max="9554" width="7.7109375" style="627" customWidth="1"/>
    <col min="9555" max="9728" width="8.85546875" style="627"/>
    <col min="9729" max="9729" width="38.42578125" style="627" customWidth="1"/>
    <col min="9730" max="9730" width="12.85546875" style="627" customWidth="1"/>
    <col min="9731" max="9786" width="7.7109375" style="627" customWidth="1"/>
    <col min="9787" max="9787" width="13" style="627" customWidth="1"/>
    <col min="9788" max="9788" width="8.42578125" style="627" customWidth="1"/>
    <col min="9789" max="9789" width="8.140625" style="627" customWidth="1"/>
    <col min="9790" max="9795" width="8.140625" style="627" bestFit="1" customWidth="1"/>
    <col min="9796" max="9796" width="7.42578125" style="627" bestFit="1" customWidth="1"/>
    <col min="9797" max="9797" width="9" style="627" bestFit="1" customWidth="1"/>
    <col min="9798" max="9810" width="7.7109375" style="627" customWidth="1"/>
    <col min="9811" max="9984" width="8.85546875" style="627"/>
    <col min="9985" max="9985" width="38.42578125" style="627" customWidth="1"/>
    <col min="9986" max="9986" width="12.85546875" style="627" customWidth="1"/>
    <col min="9987" max="10042" width="7.7109375" style="627" customWidth="1"/>
    <col min="10043" max="10043" width="13" style="627" customWidth="1"/>
    <col min="10044" max="10044" width="8.42578125" style="627" customWidth="1"/>
    <col min="10045" max="10045" width="8.140625" style="627" customWidth="1"/>
    <col min="10046" max="10051" width="8.140625" style="627" bestFit="1" customWidth="1"/>
    <col min="10052" max="10052" width="7.42578125" style="627" bestFit="1" customWidth="1"/>
    <col min="10053" max="10053" width="9" style="627" bestFit="1" customWidth="1"/>
    <col min="10054" max="10066" width="7.7109375" style="627" customWidth="1"/>
    <col min="10067" max="10240" width="8.85546875" style="627"/>
    <col min="10241" max="10241" width="38.42578125" style="627" customWidth="1"/>
    <col min="10242" max="10242" width="12.85546875" style="627" customWidth="1"/>
    <col min="10243" max="10298" width="7.7109375" style="627" customWidth="1"/>
    <col min="10299" max="10299" width="13" style="627" customWidth="1"/>
    <col min="10300" max="10300" width="8.42578125" style="627" customWidth="1"/>
    <col min="10301" max="10301" width="8.140625" style="627" customWidth="1"/>
    <col min="10302" max="10307" width="8.140625" style="627" bestFit="1" customWidth="1"/>
    <col min="10308" max="10308" width="7.42578125" style="627" bestFit="1" customWidth="1"/>
    <col min="10309" max="10309" width="9" style="627" bestFit="1" customWidth="1"/>
    <col min="10310" max="10322" width="7.7109375" style="627" customWidth="1"/>
    <col min="10323" max="10496" width="8.85546875" style="627"/>
    <col min="10497" max="10497" width="38.42578125" style="627" customWidth="1"/>
    <col min="10498" max="10498" width="12.85546875" style="627" customWidth="1"/>
    <col min="10499" max="10554" width="7.7109375" style="627" customWidth="1"/>
    <col min="10555" max="10555" width="13" style="627" customWidth="1"/>
    <col min="10556" max="10556" width="8.42578125" style="627" customWidth="1"/>
    <col min="10557" max="10557" width="8.140625" style="627" customWidth="1"/>
    <col min="10558" max="10563" width="8.140625" style="627" bestFit="1" customWidth="1"/>
    <col min="10564" max="10564" width="7.42578125" style="627" bestFit="1" customWidth="1"/>
    <col min="10565" max="10565" width="9" style="627" bestFit="1" customWidth="1"/>
    <col min="10566" max="10578" width="7.7109375" style="627" customWidth="1"/>
    <col min="10579" max="10752" width="8.85546875" style="627"/>
    <col min="10753" max="10753" width="38.42578125" style="627" customWidth="1"/>
    <col min="10754" max="10754" width="12.85546875" style="627" customWidth="1"/>
    <col min="10755" max="10810" width="7.7109375" style="627" customWidth="1"/>
    <col min="10811" max="10811" width="13" style="627" customWidth="1"/>
    <col min="10812" max="10812" width="8.42578125" style="627" customWidth="1"/>
    <col min="10813" max="10813" width="8.140625" style="627" customWidth="1"/>
    <col min="10814" max="10819" width="8.140625" style="627" bestFit="1" customWidth="1"/>
    <col min="10820" max="10820" width="7.42578125" style="627" bestFit="1" customWidth="1"/>
    <col min="10821" max="10821" width="9" style="627" bestFit="1" customWidth="1"/>
    <col min="10822" max="10834" width="7.7109375" style="627" customWidth="1"/>
    <col min="10835" max="11008" width="8.85546875" style="627"/>
    <col min="11009" max="11009" width="38.42578125" style="627" customWidth="1"/>
    <col min="11010" max="11010" width="12.85546875" style="627" customWidth="1"/>
    <col min="11011" max="11066" width="7.7109375" style="627" customWidth="1"/>
    <col min="11067" max="11067" width="13" style="627" customWidth="1"/>
    <col min="11068" max="11068" width="8.42578125" style="627" customWidth="1"/>
    <col min="11069" max="11069" width="8.140625" style="627" customWidth="1"/>
    <col min="11070" max="11075" width="8.140625" style="627" bestFit="1" customWidth="1"/>
    <col min="11076" max="11076" width="7.42578125" style="627" bestFit="1" customWidth="1"/>
    <col min="11077" max="11077" width="9" style="627" bestFit="1" customWidth="1"/>
    <col min="11078" max="11090" width="7.7109375" style="627" customWidth="1"/>
    <col min="11091" max="11264" width="8.85546875" style="627"/>
    <col min="11265" max="11265" width="38.42578125" style="627" customWidth="1"/>
    <col min="11266" max="11266" width="12.85546875" style="627" customWidth="1"/>
    <col min="11267" max="11322" width="7.7109375" style="627" customWidth="1"/>
    <col min="11323" max="11323" width="13" style="627" customWidth="1"/>
    <col min="11324" max="11324" width="8.42578125" style="627" customWidth="1"/>
    <col min="11325" max="11325" width="8.140625" style="627" customWidth="1"/>
    <col min="11326" max="11331" width="8.140625" style="627" bestFit="1" customWidth="1"/>
    <col min="11332" max="11332" width="7.42578125" style="627" bestFit="1" customWidth="1"/>
    <col min="11333" max="11333" width="9" style="627" bestFit="1" customWidth="1"/>
    <col min="11334" max="11346" width="7.7109375" style="627" customWidth="1"/>
    <col min="11347" max="11520" width="8.85546875" style="627"/>
    <col min="11521" max="11521" width="38.42578125" style="627" customWidth="1"/>
    <col min="11522" max="11522" width="12.85546875" style="627" customWidth="1"/>
    <col min="11523" max="11578" width="7.7109375" style="627" customWidth="1"/>
    <col min="11579" max="11579" width="13" style="627" customWidth="1"/>
    <col min="11580" max="11580" width="8.42578125" style="627" customWidth="1"/>
    <col min="11581" max="11581" width="8.140625" style="627" customWidth="1"/>
    <col min="11582" max="11587" width="8.140625" style="627" bestFit="1" customWidth="1"/>
    <col min="11588" max="11588" width="7.42578125" style="627" bestFit="1" customWidth="1"/>
    <col min="11589" max="11589" width="9" style="627" bestFit="1" customWidth="1"/>
    <col min="11590" max="11602" width="7.7109375" style="627" customWidth="1"/>
    <col min="11603" max="11776" width="8.85546875" style="627"/>
    <col min="11777" max="11777" width="38.42578125" style="627" customWidth="1"/>
    <col min="11778" max="11778" width="12.85546875" style="627" customWidth="1"/>
    <col min="11779" max="11834" width="7.7109375" style="627" customWidth="1"/>
    <col min="11835" max="11835" width="13" style="627" customWidth="1"/>
    <col min="11836" max="11836" width="8.42578125" style="627" customWidth="1"/>
    <col min="11837" max="11837" width="8.140625" style="627" customWidth="1"/>
    <col min="11838" max="11843" width="8.140625" style="627" bestFit="1" customWidth="1"/>
    <col min="11844" max="11844" width="7.42578125" style="627" bestFit="1" customWidth="1"/>
    <col min="11845" max="11845" width="9" style="627" bestFit="1" customWidth="1"/>
    <col min="11846" max="11858" width="7.7109375" style="627" customWidth="1"/>
    <col min="11859" max="12032" width="8.85546875" style="627"/>
    <col min="12033" max="12033" width="38.42578125" style="627" customWidth="1"/>
    <col min="12034" max="12034" width="12.85546875" style="627" customWidth="1"/>
    <col min="12035" max="12090" width="7.7109375" style="627" customWidth="1"/>
    <col min="12091" max="12091" width="13" style="627" customWidth="1"/>
    <col min="12092" max="12092" width="8.42578125" style="627" customWidth="1"/>
    <col min="12093" max="12093" width="8.140625" style="627" customWidth="1"/>
    <col min="12094" max="12099" width="8.140625" style="627" bestFit="1" customWidth="1"/>
    <col min="12100" max="12100" width="7.42578125" style="627" bestFit="1" customWidth="1"/>
    <col min="12101" max="12101" width="9" style="627" bestFit="1" customWidth="1"/>
    <col min="12102" max="12114" width="7.7109375" style="627" customWidth="1"/>
    <col min="12115" max="12288" width="8.85546875" style="627"/>
    <col min="12289" max="12289" width="38.42578125" style="627" customWidth="1"/>
    <col min="12290" max="12290" width="12.85546875" style="627" customWidth="1"/>
    <col min="12291" max="12346" width="7.7109375" style="627" customWidth="1"/>
    <col min="12347" max="12347" width="13" style="627" customWidth="1"/>
    <col min="12348" max="12348" width="8.42578125" style="627" customWidth="1"/>
    <col min="12349" max="12349" width="8.140625" style="627" customWidth="1"/>
    <col min="12350" max="12355" width="8.140625" style="627" bestFit="1" customWidth="1"/>
    <col min="12356" max="12356" width="7.42578125" style="627" bestFit="1" customWidth="1"/>
    <col min="12357" max="12357" width="9" style="627" bestFit="1" customWidth="1"/>
    <col min="12358" max="12370" width="7.7109375" style="627" customWidth="1"/>
    <col min="12371" max="12544" width="8.85546875" style="627"/>
    <col min="12545" max="12545" width="38.42578125" style="627" customWidth="1"/>
    <col min="12546" max="12546" width="12.85546875" style="627" customWidth="1"/>
    <col min="12547" max="12602" width="7.7109375" style="627" customWidth="1"/>
    <col min="12603" max="12603" width="13" style="627" customWidth="1"/>
    <col min="12604" max="12604" width="8.42578125" style="627" customWidth="1"/>
    <col min="12605" max="12605" width="8.140625" style="627" customWidth="1"/>
    <col min="12606" max="12611" width="8.140625" style="627" bestFit="1" customWidth="1"/>
    <col min="12612" max="12612" width="7.42578125" style="627" bestFit="1" customWidth="1"/>
    <col min="12613" max="12613" width="9" style="627" bestFit="1" customWidth="1"/>
    <col min="12614" max="12626" width="7.7109375" style="627" customWidth="1"/>
    <col min="12627" max="12800" width="8.85546875" style="627"/>
    <col min="12801" max="12801" width="38.42578125" style="627" customWidth="1"/>
    <col min="12802" max="12802" width="12.85546875" style="627" customWidth="1"/>
    <col min="12803" max="12858" width="7.7109375" style="627" customWidth="1"/>
    <col min="12859" max="12859" width="13" style="627" customWidth="1"/>
    <col min="12860" max="12860" width="8.42578125" style="627" customWidth="1"/>
    <col min="12861" max="12861" width="8.140625" style="627" customWidth="1"/>
    <col min="12862" max="12867" width="8.140625" style="627" bestFit="1" customWidth="1"/>
    <col min="12868" max="12868" width="7.42578125" style="627" bestFit="1" customWidth="1"/>
    <col min="12869" max="12869" width="9" style="627" bestFit="1" customWidth="1"/>
    <col min="12870" max="12882" width="7.7109375" style="627" customWidth="1"/>
    <col min="12883" max="13056" width="8.85546875" style="627"/>
    <col min="13057" max="13057" width="38.42578125" style="627" customWidth="1"/>
    <col min="13058" max="13058" width="12.85546875" style="627" customWidth="1"/>
    <col min="13059" max="13114" width="7.7109375" style="627" customWidth="1"/>
    <col min="13115" max="13115" width="13" style="627" customWidth="1"/>
    <col min="13116" max="13116" width="8.42578125" style="627" customWidth="1"/>
    <col min="13117" max="13117" width="8.140625" style="627" customWidth="1"/>
    <col min="13118" max="13123" width="8.140625" style="627" bestFit="1" customWidth="1"/>
    <col min="13124" max="13124" width="7.42578125" style="627" bestFit="1" customWidth="1"/>
    <col min="13125" max="13125" width="9" style="627" bestFit="1" customWidth="1"/>
    <col min="13126" max="13138" width="7.7109375" style="627" customWidth="1"/>
    <col min="13139" max="13312" width="8.85546875" style="627"/>
    <col min="13313" max="13313" width="38.42578125" style="627" customWidth="1"/>
    <col min="13314" max="13314" width="12.85546875" style="627" customWidth="1"/>
    <col min="13315" max="13370" width="7.7109375" style="627" customWidth="1"/>
    <col min="13371" max="13371" width="13" style="627" customWidth="1"/>
    <col min="13372" max="13372" width="8.42578125" style="627" customWidth="1"/>
    <col min="13373" max="13373" width="8.140625" style="627" customWidth="1"/>
    <col min="13374" max="13379" width="8.140625" style="627" bestFit="1" customWidth="1"/>
    <col min="13380" max="13380" width="7.42578125" style="627" bestFit="1" customWidth="1"/>
    <col min="13381" max="13381" width="9" style="627" bestFit="1" customWidth="1"/>
    <col min="13382" max="13394" width="7.7109375" style="627" customWidth="1"/>
    <col min="13395" max="13568" width="8.85546875" style="627"/>
    <col min="13569" max="13569" width="38.42578125" style="627" customWidth="1"/>
    <col min="13570" max="13570" width="12.85546875" style="627" customWidth="1"/>
    <col min="13571" max="13626" width="7.7109375" style="627" customWidth="1"/>
    <col min="13627" max="13627" width="13" style="627" customWidth="1"/>
    <col min="13628" max="13628" width="8.42578125" style="627" customWidth="1"/>
    <col min="13629" max="13629" width="8.140625" style="627" customWidth="1"/>
    <col min="13630" max="13635" width="8.140625" style="627" bestFit="1" customWidth="1"/>
    <col min="13636" max="13636" width="7.42578125" style="627" bestFit="1" customWidth="1"/>
    <col min="13637" max="13637" width="9" style="627" bestFit="1" customWidth="1"/>
    <col min="13638" max="13650" width="7.7109375" style="627" customWidth="1"/>
    <col min="13651" max="13824" width="8.85546875" style="627"/>
    <col min="13825" max="13825" width="38.42578125" style="627" customWidth="1"/>
    <col min="13826" max="13826" width="12.85546875" style="627" customWidth="1"/>
    <col min="13827" max="13882" width="7.7109375" style="627" customWidth="1"/>
    <col min="13883" max="13883" width="13" style="627" customWidth="1"/>
    <col min="13884" max="13884" width="8.42578125" style="627" customWidth="1"/>
    <col min="13885" max="13885" width="8.140625" style="627" customWidth="1"/>
    <col min="13886" max="13891" width="8.140625" style="627" bestFit="1" customWidth="1"/>
    <col min="13892" max="13892" width="7.42578125" style="627" bestFit="1" customWidth="1"/>
    <col min="13893" max="13893" width="9" style="627" bestFit="1" customWidth="1"/>
    <col min="13894" max="13906" width="7.7109375" style="627" customWidth="1"/>
    <col min="13907" max="14080" width="8.85546875" style="627"/>
    <col min="14081" max="14081" width="38.42578125" style="627" customWidth="1"/>
    <col min="14082" max="14082" width="12.85546875" style="627" customWidth="1"/>
    <col min="14083" max="14138" width="7.7109375" style="627" customWidth="1"/>
    <col min="14139" max="14139" width="13" style="627" customWidth="1"/>
    <col min="14140" max="14140" width="8.42578125" style="627" customWidth="1"/>
    <col min="14141" max="14141" width="8.140625" style="627" customWidth="1"/>
    <col min="14142" max="14147" width="8.140625" style="627" bestFit="1" customWidth="1"/>
    <col min="14148" max="14148" width="7.42578125" style="627" bestFit="1" customWidth="1"/>
    <col min="14149" max="14149" width="9" style="627" bestFit="1" customWidth="1"/>
    <col min="14150" max="14162" width="7.7109375" style="627" customWidth="1"/>
    <col min="14163" max="14336" width="8.85546875" style="627"/>
    <col min="14337" max="14337" width="38.42578125" style="627" customWidth="1"/>
    <col min="14338" max="14338" width="12.85546875" style="627" customWidth="1"/>
    <col min="14339" max="14394" width="7.7109375" style="627" customWidth="1"/>
    <col min="14395" max="14395" width="13" style="627" customWidth="1"/>
    <col min="14396" max="14396" width="8.42578125" style="627" customWidth="1"/>
    <col min="14397" max="14397" width="8.140625" style="627" customWidth="1"/>
    <col min="14398" max="14403" width="8.140625" style="627" bestFit="1" customWidth="1"/>
    <col min="14404" max="14404" width="7.42578125" style="627" bestFit="1" customWidth="1"/>
    <col min="14405" max="14405" width="9" style="627" bestFit="1" customWidth="1"/>
    <col min="14406" max="14418" width="7.7109375" style="627" customWidth="1"/>
    <col min="14419" max="14592" width="8.85546875" style="627"/>
    <col min="14593" max="14593" width="38.42578125" style="627" customWidth="1"/>
    <col min="14594" max="14594" width="12.85546875" style="627" customWidth="1"/>
    <col min="14595" max="14650" width="7.7109375" style="627" customWidth="1"/>
    <col min="14651" max="14651" width="13" style="627" customWidth="1"/>
    <col min="14652" max="14652" width="8.42578125" style="627" customWidth="1"/>
    <col min="14653" max="14653" width="8.140625" style="627" customWidth="1"/>
    <col min="14654" max="14659" width="8.140625" style="627" bestFit="1" customWidth="1"/>
    <col min="14660" max="14660" width="7.42578125" style="627" bestFit="1" customWidth="1"/>
    <col min="14661" max="14661" width="9" style="627" bestFit="1" customWidth="1"/>
    <col min="14662" max="14674" width="7.7109375" style="627" customWidth="1"/>
    <col min="14675" max="14848" width="8.85546875" style="627"/>
    <col min="14849" max="14849" width="38.42578125" style="627" customWidth="1"/>
    <col min="14850" max="14850" width="12.85546875" style="627" customWidth="1"/>
    <col min="14851" max="14906" width="7.7109375" style="627" customWidth="1"/>
    <col min="14907" max="14907" width="13" style="627" customWidth="1"/>
    <col min="14908" max="14908" width="8.42578125" style="627" customWidth="1"/>
    <col min="14909" max="14909" width="8.140625" style="627" customWidth="1"/>
    <col min="14910" max="14915" width="8.140625" style="627" bestFit="1" customWidth="1"/>
    <col min="14916" max="14916" width="7.42578125" style="627" bestFit="1" customWidth="1"/>
    <col min="14917" max="14917" width="9" style="627" bestFit="1" customWidth="1"/>
    <col min="14918" max="14930" width="7.7109375" style="627" customWidth="1"/>
    <col min="14931" max="15104" width="8.85546875" style="627"/>
    <col min="15105" max="15105" width="38.42578125" style="627" customWidth="1"/>
    <col min="15106" max="15106" width="12.85546875" style="627" customWidth="1"/>
    <col min="15107" max="15162" width="7.7109375" style="627" customWidth="1"/>
    <col min="15163" max="15163" width="13" style="627" customWidth="1"/>
    <col min="15164" max="15164" width="8.42578125" style="627" customWidth="1"/>
    <col min="15165" max="15165" width="8.140625" style="627" customWidth="1"/>
    <col min="15166" max="15171" width="8.140625" style="627" bestFit="1" customWidth="1"/>
    <col min="15172" max="15172" width="7.42578125" style="627" bestFit="1" customWidth="1"/>
    <col min="15173" max="15173" width="9" style="627" bestFit="1" customWidth="1"/>
    <col min="15174" max="15186" width="7.7109375" style="627" customWidth="1"/>
    <col min="15187" max="15360" width="8.85546875" style="627"/>
    <col min="15361" max="15361" width="38.42578125" style="627" customWidth="1"/>
    <col min="15362" max="15362" width="12.85546875" style="627" customWidth="1"/>
    <col min="15363" max="15418" width="7.7109375" style="627" customWidth="1"/>
    <col min="15419" max="15419" width="13" style="627" customWidth="1"/>
    <col min="15420" max="15420" width="8.42578125" style="627" customWidth="1"/>
    <col min="15421" max="15421" width="8.140625" style="627" customWidth="1"/>
    <col min="15422" max="15427" width="8.140625" style="627" bestFit="1" customWidth="1"/>
    <col min="15428" max="15428" width="7.42578125" style="627" bestFit="1" customWidth="1"/>
    <col min="15429" max="15429" width="9" style="627" bestFit="1" customWidth="1"/>
    <col min="15430" max="15442" width="7.7109375" style="627" customWidth="1"/>
    <col min="15443" max="15616" width="8.85546875" style="627"/>
    <col min="15617" max="15617" width="38.42578125" style="627" customWidth="1"/>
    <col min="15618" max="15618" width="12.85546875" style="627" customWidth="1"/>
    <col min="15619" max="15674" width="7.7109375" style="627" customWidth="1"/>
    <col min="15675" max="15675" width="13" style="627" customWidth="1"/>
    <col min="15676" max="15676" width="8.42578125" style="627" customWidth="1"/>
    <col min="15677" max="15677" width="8.140625" style="627" customWidth="1"/>
    <col min="15678" max="15683" width="8.140625" style="627" bestFit="1" customWidth="1"/>
    <col min="15684" max="15684" width="7.42578125" style="627" bestFit="1" customWidth="1"/>
    <col min="15685" max="15685" width="9" style="627" bestFit="1" customWidth="1"/>
    <col min="15686" max="15698" width="7.7109375" style="627" customWidth="1"/>
    <col min="15699" max="15872" width="8.85546875" style="627"/>
    <col min="15873" max="15873" width="38.42578125" style="627" customWidth="1"/>
    <col min="15874" max="15874" width="12.85546875" style="627" customWidth="1"/>
    <col min="15875" max="15930" width="7.7109375" style="627" customWidth="1"/>
    <col min="15931" max="15931" width="13" style="627" customWidth="1"/>
    <col min="15932" max="15932" width="8.42578125" style="627" customWidth="1"/>
    <col min="15933" max="15933" width="8.140625" style="627" customWidth="1"/>
    <col min="15934" max="15939" width="8.140625" style="627" bestFit="1" customWidth="1"/>
    <col min="15940" max="15940" width="7.42578125" style="627" bestFit="1" customWidth="1"/>
    <col min="15941" max="15941" width="9" style="627" bestFit="1" customWidth="1"/>
    <col min="15942" max="15954" width="7.7109375" style="627" customWidth="1"/>
    <col min="15955" max="16128" width="8.85546875" style="627"/>
    <col min="16129" max="16129" width="38.42578125" style="627" customWidth="1"/>
    <col min="16130" max="16130" width="12.85546875" style="627" customWidth="1"/>
    <col min="16131" max="16186" width="7.7109375" style="627" customWidth="1"/>
    <col min="16187" max="16187" width="13" style="627" customWidth="1"/>
    <col min="16188" max="16188" width="8.42578125" style="627" customWidth="1"/>
    <col min="16189" max="16189" width="8.140625" style="627" customWidth="1"/>
    <col min="16190" max="16195" width="8.140625" style="627" bestFit="1" customWidth="1"/>
    <col min="16196" max="16196" width="7.42578125" style="627" bestFit="1" customWidth="1"/>
    <col min="16197" max="16197" width="9" style="627" bestFit="1" customWidth="1"/>
    <col min="16198" max="16210" width="7.7109375" style="627" customWidth="1"/>
    <col min="16211" max="16384" width="8.85546875" style="627"/>
  </cols>
  <sheetData>
    <row r="1" spans="1:83" ht="18">
      <c r="A1" s="625" t="s">
        <v>154</v>
      </c>
      <c r="B1" s="626"/>
    </row>
    <row r="2" spans="1:83" ht="15.75">
      <c r="A2" s="628" t="s">
        <v>155</v>
      </c>
      <c r="B2" s="629"/>
    </row>
    <row r="3" spans="1:83" ht="15.75" thickBot="1">
      <c r="A3" s="630" t="s">
        <v>156</v>
      </c>
      <c r="B3" s="631"/>
    </row>
    <row r="6" spans="1:83">
      <c r="BI6" s="633" t="s">
        <v>157</v>
      </c>
      <c r="BJ6" s="633" t="s">
        <v>157</v>
      </c>
      <c r="BK6" s="633" t="s">
        <v>157</v>
      </c>
      <c r="BL6" s="633" t="s">
        <v>157</v>
      </c>
      <c r="BM6" s="634" t="s">
        <v>158</v>
      </c>
      <c r="BN6" s="634" t="s">
        <v>158</v>
      </c>
      <c r="BO6" s="634" t="s">
        <v>158</v>
      </c>
      <c r="BP6" s="634" t="s">
        <v>158</v>
      </c>
      <c r="BQ6" s="635" t="s">
        <v>159</v>
      </c>
      <c r="BR6" s="635" t="s">
        <v>159</v>
      </c>
      <c r="BS6" s="635" t="s">
        <v>159</v>
      </c>
      <c r="BT6" s="635" t="s">
        <v>159</v>
      </c>
      <c r="BU6" s="636" t="s">
        <v>160</v>
      </c>
      <c r="BV6" s="636" t="s">
        <v>160</v>
      </c>
      <c r="BW6" s="636" t="s">
        <v>160</v>
      </c>
      <c r="BX6" s="636" t="s">
        <v>160</v>
      </c>
      <c r="BY6" s="637" t="s">
        <v>161</v>
      </c>
      <c r="BZ6" s="637" t="s">
        <v>161</v>
      </c>
      <c r="CA6" s="637" t="s">
        <v>161</v>
      </c>
      <c r="CB6" s="637" t="s">
        <v>161</v>
      </c>
    </row>
    <row r="7" spans="1:83" s="632" customFormat="1">
      <c r="B7" s="632" t="s">
        <v>162</v>
      </c>
      <c r="C7" s="638" t="s">
        <v>163</v>
      </c>
      <c r="D7" s="638" t="s">
        <v>164</v>
      </c>
      <c r="E7" s="638" t="s">
        <v>165</v>
      </c>
      <c r="F7" s="638" t="s">
        <v>166</v>
      </c>
      <c r="G7" s="638" t="s">
        <v>167</v>
      </c>
      <c r="H7" s="638" t="s">
        <v>168</v>
      </c>
      <c r="I7" s="638" t="s">
        <v>169</v>
      </c>
      <c r="J7" s="638" t="s">
        <v>170</v>
      </c>
      <c r="K7" s="638" t="s">
        <v>171</v>
      </c>
      <c r="L7" s="638" t="s">
        <v>172</v>
      </c>
      <c r="M7" s="638" t="s">
        <v>173</v>
      </c>
      <c r="N7" s="638" t="s">
        <v>174</v>
      </c>
      <c r="O7" s="638" t="s">
        <v>175</v>
      </c>
      <c r="P7" s="638" t="s">
        <v>176</v>
      </c>
      <c r="Q7" s="638" t="s">
        <v>177</v>
      </c>
      <c r="R7" s="638" t="s">
        <v>178</v>
      </c>
      <c r="S7" s="638" t="s">
        <v>179</v>
      </c>
      <c r="T7" s="638" t="s">
        <v>180</v>
      </c>
      <c r="U7" s="638" t="s">
        <v>181</v>
      </c>
      <c r="V7" s="638" t="s">
        <v>182</v>
      </c>
      <c r="W7" s="638" t="s">
        <v>183</v>
      </c>
      <c r="X7" s="638" t="s">
        <v>184</v>
      </c>
      <c r="Y7" s="638" t="s">
        <v>185</v>
      </c>
      <c r="Z7" s="638" t="s">
        <v>186</v>
      </c>
      <c r="AA7" s="638" t="s">
        <v>187</v>
      </c>
      <c r="AB7" s="638" t="s">
        <v>188</v>
      </c>
      <c r="AC7" s="638" t="s">
        <v>189</v>
      </c>
      <c r="AD7" s="638" t="s">
        <v>190</v>
      </c>
      <c r="AE7" s="638" t="s">
        <v>191</v>
      </c>
      <c r="AF7" s="638" t="s">
        <v>192</v>
      </c>
      <c r="AG7" s="638" t="s">
        <v>193</v>
      </c>
      <c r="AH7" s="638" t="s">
        <v>194</v>
      </c>
      <c r="AI7" s="638" t="s">
        <v>195</v>
      </c>
      <c r="AJ7" s="638" t="s">
        <v>196</v>
      </c>
      <c r="AK7" s="638" t="s">
        <v>197</v>
      </c>
      <c r="AL7" s="638" t="s">
        <v>198</v>
      </c>
      <c r="AM7" s="638" t="s">
        <v>199</v>
      </c>
      <c r="AN7" s="638" t="s">
        <v>200</v>
      </c>
      <c r="AO7" s="638" t="s">
        <v>201</v>
      </c>
      <c r="AP7" s="638" t="s">
        <v>202</v>
      </c>
      <c r="AQ7" s="638" t="s">
        <v>203</v>
      </c>
      <c r="AR7" s="638" t="s">
        <v>204</v>
      </c>
      <c r="AS7" s="638" t="s">
        <v>205</v>
      </c>
      <c r="AT7" s="638" t="s">
        <v>206</v>
      </c>
      <c r="AU7" s="632" t="s">
        <v>207</v>
      </c>
      <c r="AV7" s="632" t="s">
        <v>208</v>
      </c>
      <c r="AW7" s="632" t="s">
        <v>209</v>
      </c>
      <c r="AX7" s="632" t="s">
        <v>210</v>
      </c>
      <c r="AY7" s="632" t="s">
        <v>211</v>
      </c>
      <c r="AZ7" s="632" t="s">
        <v>212</v>
      </c>
      <c r="BA7" s="632" t="s">
        <v>213</v>
      </c>
      <c r="BB7" s="632" t="s">
        <v>214</v>
      </c>
      <c r="BC7" s="632" t="s">
        <v>215</v>
      </c>
      <c r="BD7" s="632" t="s">
        <v>216</v>
      </c>
      <c r="BE7" s="632" t="s">
        <v>217</v>
      </c>
      <c r="BF7" s="632" t="s">
        <v>218</v>
      </c>
      <c r="BG7" s="632" t="s">
        <v>219</v>
      </c>
      <c r="BH7" s="632" t="s">
        <v>220</v>
      </c>
      <c r="BI7" s="632" t="s">
        <v>221</v>
      </c>
      <c r="BJ7" s="632" t="s">
        <v>222</v>
      </c>
      <c r="BK7" s="632" t="s">
        <v>223</v>
      </c>
      <c r="BL7" s="632" t="s">
        <v>224</v>
      </c>
      <c r="BM7" s="632" t="s">
        <v>225</v>
      </c>
      <c r="BN7" s="632" t="s">
        <v>226</v>
      </c>
      <c r="BO7" s="632" t="s">
        <v>227</v>
      </c>
      <c r="BP7" s="632" t="s">
        <v>228</v>
      </c>
      <c r="BQ7" s="632" t="s">
        <v>229</v>
      </c>
      <c r="BR7" s="632" t="s">
        <v>230</v>
      </c>
      <c r="BS7" s="632" t="s">
        <v>231</v>
      </c>
      <c r="BT7" s="632" t="s">
        <v>232</v>
      </c>
      <c r="BU7" s="632" t="s">
        <v>233</v>
      </c>
      <c r="BV7" s="632" t="s">
        <v>234</v>
      </c>
      <c r="BW7" s="632" t="s">
        <v>235</v>
      </c>
      <c r="BX7" s="632" t="s">
        <v>236</v>
      </c>
      <c r="BY7" s="632" t="s">
        <v>237</v>
      </c>
      <c r="BZ7" s="632" t="s">
        <v>238</v>
      </c>
      <c r="CA7" s="632" t="s">
        <v>239</v>
      </c>
      <c r="CB7" s="632" t="s">
        <v>240</v>
      </c>
      <c r="CC7" s="632" t="s">
        <v>241</v>
      </c>
      <c r="CD7" s="632" t="s">
        <v>242</v>
      </c>
      <c r="CE7" s="632" t="s">
        <v>243</v>
      </c>
    </row>
    <row r="8" spans="1:83">
      <c r="A8" s="632" t="s">
        <v>244</v>
      </c>
      <c r="B8" s="632" t="s">
        <v>245</v>
      </c>
      <c r="C8" s="639">
        <v>2.0339999999999998</v>
      </c>
      <c r="D8" s="639">
        <v>2.0590000000000002</v>
      </c>
      <c r="E8" s="639">
        <v>2.0640000000000001</v>
      </c>
      <c r="F8" s="639">
        <v>2.0870000000000002</v>
      </c>
      <c r="G8" s="639">
        <v>2.1040000000000001</v>
      </c>
      <c r="H8" s="639">
        <v>2.1150000000000002</v>
      </c>
      <c r="I8" s="639">
        <v>2.15</v>
      </c>
      <c r="J8" s="639">
        <v>2.169</v>
      </c>
      <c r="K8" s="639">
        <v>2.1880000000000002</v>
      </c>
      <c r="L8" s="639">
        <v>2.2130000000000001</v>
      </c>
      <c r="M8" s="639">
        <v>2.234</v>
      </c>
      <c r="N8" s="639">
        <v>2.2200000000000002</v>
      </c>
      <c r="O8" s="639">
        <v>2.234</v>
      </c>
      <c r="P8" s="639">
        <v>2.2589999999999999</v>
      </c>
      <c r="Q8" s="639">
        <v>2.2749999999999999</v>
      </c>
      <c r="R8" s="639">
        <v>2.3010000000000002</v>
      </c>
      <c r="S8" s="639">
        <v>2.3220000000000001</v>
      </c>
      <c r="T8" s="639">
        <v>2.363</v>
      </c>
      <c r="U8" s="639">
        <v>2.4039999999999999</v>
      </c>
      <c r="V8" s="639">
        <v>2.35</v>
      </c>
      <c r="W8" s="639">
        <v>2.3420000000000001</v>
      </c>
      <c r="X8" s="639">
        <v>2.347</v>
      </c>
      <c r="Y8" s="639">
        <v>2.367</v>
      </c>
      <c r="Z8" s="639">
        <v>2.38</v>
      </c>
      <c r="AA8" s="639">
        <v>2.3809999999999998</v>
      </c>
      <c r="AB8" s="639">
        <v>2.3839999999999999</v>
      </c>
      <c r="AC8" s="639">
        <v>2.3980000000000001</v>
      </c>
      <c r="AD8" s="639">
        <v>2.42</v>
      </c>
      <c r="AE8" s="639">
        <v>2.4340000000000002</v>
      </c>
      <c r="AF8" s="639">
        <v>2.4769999999999999</v>
      </c>
      <c r="AG8" s="639">
        <v>2.488</v>
      </c>
      <c r="AH8" s="639">
        <v>2.4950000000000001</v>
      </c>
      <c r="AI8" s="639">
        <v>2.5150000000000001</v>
      </c>
      <c r="AJ8" s="639">
        <v>2.5190000000000001</v>
      </c>
      <c r="AK8" s="639">
        <v>2.5289999999999999</v>
      </c>
      <c r="AL8" s="639">
        <v>2.5470000000000002</v>
      </c>
      <c r="AM8" s="639">
        <v>2.5569999999999999</v>
      </c>
      <c r="AN8" s="639">
        <v>2.5539999999999998</v>
      </c>
      <c r="AO8" s="639">
        <v>2.573</v>
      </c>
      <c r="AP8" s="639">
        <v>2.5870000000000002</v>
      </c>
      <c r="AQ8" s="639">
        <v>2.5979999999999999</v>
      </c>
      <c r="AR8" s="639">
        <v>2.6080000000000001</v>
      </c>
      <c r="AS8" s="639">
        <v>2.6139999999999999</v>
      </c>
      <c r="AT8" s="639">
        <v>2.6139999999999999</v>
      </c>
      <c r="AU8" s="627">
        <v>2.613</v>
      </c>
      <c r="AV8" s="627">
        <v>2.6230000000000002</v>
      </c>
      <c r="AW8" s="627">
        <v>2.6190000000000002</v>
      </c>
      <c r="AX8" s="627">
        <v>2.6240000000000001</v>
      </c>
      <c r="AY8" s="627">
        <v>2.6240000000000001</v>
      </c>
      <c r="AZ8" s="627">
        <v>2.6429999999999998</v>
      </c>
      <c r="BA8" s="627">
        <v>2.6640000000000001</v>
      </c>
      <c r="BB8" s="627">
        <v>2.6739999999999999</v>
      </c>
      <c r="BC8" s="627">
        <v>2.6949999999999998</v>
      </c>
      <c r="BD8" s="627">
        <v>2.694</v>
      </c>
      <c r="BE8" s="627">
        <v>2.706</v>
      </c>
      <c r="BF8" s="627">
        <v>2.714</v>
      </c>
      <c r="BG8" s="627">
        <v>2.746</v>
      </c>
      <c r="BH8" s="627">
        <v>2.7650000000000001</v>
      </c>
      <c r="BI8" s="627">
        <v>2.78</v>
      </c>
      <c r="BJ8" s="627">
        <v>2.8050000000000002</v>
      </c>
      <c r="BK8" s="627">
        <v>2.8250000000000002</v>
      </c>
      <c r="BL8" s="627">
        <v>2.8380000000000001</v>
      </c>
      <c r="BM8" s="627">
        <v>2.8479999999999999</v>
      </c>
      <c r="BN8" s="627">
        <v>2.8690000000000002</v>
      </c>
      <c r="BO8" s="627">
        <v>2.895</v>
      </c>
      <c r="BP8" s="627">
        <v>2.91</v>
      </c>
      <c r="BQ8" s="627">
        <v>2.9239999999999999</v>
      </c>
      <c r="BR8" s="627">
        <v>2.94</v>
      </c>
      <c r="BS8" s="627">
        <v>2.96</v>
      </c>
      <c r="BT8" s="627">
        <v>2.9790000000000001</v>
      </c>
      <c r="BU8" s="627">
        <v>2.9990000000000001</v>
      </c>
      <c r="BV8" s="627">
        <v>3.0169999999999999</v>
      </c>
      <c r="BW8" s="627">
        <v>3.0339999999999998</v>
      </c>
      <c r="BX8" s="627">
        <v>3.0510000000000002</v>
      </c>
      <c r="BY8" s="627">
        <v>3.07</v>
      </c>
      <c r="BZ8" s="627">
        <v>3.0880000000000001</v>
      </c>
      <c r="CA8" s="627">
        <v>3.1059999999999999</v>
      </c>
      <c r="CB8" s="627">
        <v>3.1219999999999999</v>
      </c>
      <c r="CC8" s="627">
        <v>3.14</v>
      </c>
      <c r="CD8" s="627">
        <v>3.1579999999999999</v>
      </c>
    </row>
    <row r="9" spans="1:83">
      <c r="A9" s="632" t="s">
        <v>246</v>
      </c>
      <c r="B9" s="632" t="s">
        <v>247</v>
      </c>
      <c r="C9" s="639">
        <v>2.0339999999999998</v>
      </c>
      <c r="D9" s="639">
        <v>2.0590000000000002</v>
      </c>
      <c r="E9" s="639">
        <v>2.0640000000000001</v>
      </c>
      <c r="F9" s="639">
        <v>2.0870000000000002</v>
      </c>
      <c r="G9" s="639">
        <v>2.1040000000000001</v>
      </c>
      <c r="H9" s="639">
        <v>2.1150000000000002</v>
      </c>
      <c r="I9" s="639">
        <v>2.15</v>
      </c>
      <c r="J9" s="639">
        <v>2.169</v>
      </c>
      <c r="K9" s="639">
        <v>2.1880000000000002</v>
      </c>
      <c r="L9" s="639">
        <v>2.2130000000000001</v>
      </c>
      <c r="M9" s="639">
        <v>2.234</v>
      </c>
      <c r="N9" s="639">
        <v>2.2200000000000002</v>
      </c>
      <c r="O9" s="639">
        <v>2.234</v>
      </c>
      <c r="P9" s="639">
        <v>2.2589999999999999</v>
      </c>
      <c r="Q9" s="639">
        <v>2.2749999999999999</v>
      </c>
      <c r="R9" s="639">
        <v>2.3010000000000002</v>
      </c>
      <c r="S9" s="639">
        <v>2.3220000000000001</v>
      </c>
      <c r="T9" s="639">
        <v>2.363</v>
      </c>
      <c r="U9" s="639">
        <v>2.4039999999999999</v>
      </c>
      <c r="V9" s="639">
        <v>2.35</v>
      </c>
      <c r="W9" s="639">
        <v>2.3420000000000001</v>
      </c>
      <c r="X9" s="639">
        <v>2.347</v>
      </c>
      <c r="Y9" s="639">
        <v>2.367</v>
      </c>
      <c r="Z9" s="639">
        <v>2.38</v>
      </c>
      <c r="AA9" s="639">
        <v>2.3809999999999998</v>
      </c>
      <c r="AB9" s="639">
        <v>2.3839999999999999</v>
      </c>
      <c r="AC9" s="639">
        <v>2.3980000000000001</v>
      </c>
      <c r="AD9" s="639">
        <v>2.42</v>
      </c>
      <c r="AE9" s="639">
        <v>2.4340000000000002</v>
      </c>
      <c r="AF9" s="639">
        <v>2.4769999999999999</v>
      </c>
      <c r="AG9" s="639">
        <v>2.488</v>
      </c>
      <c r="AH9" s="639">
        <v>2.4950000000000001</v>
      </c>
      <c r="AI9" s="639">
        <v>2.5150000000000001</v>
      </c>
      <c r="AJ9" s="639">
        <v>2.5190000000000001</v>
      </c>
      <c r="AK9" s="639">
        <v>2.5289999999999999</v>
      </c>
      <c r="AL9" s="639">
        <v>2.5470000000000002</v>
      </c>
      <c r="AM9" s="639">
        <v>2.5569999999999999</v>
      </c>
      <c r="AN9" s="639">
        <v>2.5539999999999998</v>
      </c>
      <c r="AO9" s="639">
        <v>2.573</v>
      </c>
      <c r="AP9" s="639">
        <v>2.5870000000000002</v>
      </c>
      <c r="AQ9" s="639">
        <v>2.5979999999999999</v>
      </c>
      <c r="AR9" s="639">
        <v>2.6080000000000001</v>
      </c>
      <c r="AS9" s="639">
        <v>2.6139999999999999</v>
      </c>
      <c r="AT9" s="639">
        <v>2.6139999999999999</v>
      </c>
      <c r="AU9" s="627">
        <v>2.613</v>
      </c>
      <c r="AV9" s="627">
        <v>2.6230000000000002</v>
      </c>
      <c r="AW9" s="627">
        <v>2.6190000000000002</v>
      </c>
      <c r="AX9" s="627">
        <v>2.6240000000000001</v>
      </c>
      <c r="AY9" s="627">
        <v>2.6240000000000001</v>
      </c>
      <c r="AZ9" s="627">
        <v>2.6429999999999998</v>
      </c>
      <c r="BA9" s="627">
        <v>2.6640000000000001</v>
      </c>
      <c r="BB9" s="627">
        <v>2.6739999999999999</v>
      </c>
      <c r="BC9" s="627">
        <v>2.6949999999999998</v>
      </c>
      <c r="BD9" s="627">
        <v>2.694</v>
      </c>
      <c r="BE9" s="627">
        <v>2.706</v>
      </c>
      <c r="BF9" s="627">
        <v>2.714</v>
      </c>
      <c r="BG9" s="627">
        <v>2.746</v>
      </c>
      <c r="BH9" s="627">
        <v>2.7650000000000001</v>
      </c>
      <c r="BI9" s="627">
        <v>2.78</v>
      </c>
      <c r="BJ9" s="627">
        <v>2.8010000000000002</v>
      </c>
      <c r="BK9" s="627">
        <v>2.8170000000000002</v>
      </c>
      <c r="BL9" s="627">
        <v>2.8260000000000001</v>
      </c>
      <c r="BM9" s="627">
        <v>2.8330000000000002</v>
      </c>
      <c r="BN9" s="627">
        <v>2.8519999999999999</v>
      </c>
      <c r="BO9" s="627">
        <v>2.8759999999999999</v>
      </c>
      <c r="BP9" s="627">
        <v>2.8879999999999999</v>
      </c>
      <c r="BQ9" s="627">
        <v>2.9</v>
      </c>
      <c r="BR9" s="627">
        <v>2.9129999999999998</v>
      </c>
      <c r="BS9" s="627">
        <v>2.931</v>
      </c>
      <c r="BT9" s="627">
        <v>2.9470000000000001</v>
      </c>
      <c r="BU9" s="627">
        <v>2.9630000000000001</v>
      </c>
      <c r="BV9" s="627">
        <v>2.9769999999999999</v>
      </c>
      <c r="BW9" s="627">
        <v>2.99</v>
      </c>
      <c r="BX9" s="627">
        <v>3.004</v>
      </c>
      <c r="BY9" s="627">
        <v>3.0190000000000001</v>
      </c>
      <c r="BZ9" s="627">
        <v>3.0339999999999998</v>
      </c>
      <c r="CA9" s="627">
        <v>3.0489999999999999</v>
      </c>
      <c r="CB9" s="627">
        <v>3.0619999999999998</v>
      </c>
      <c r="CC9" s="627">
        <v>3.0790000000000002</v>
      </c>
      <c r="CD9" s="627">
        <v>3.0950000000000002</v>
      </c>
    </row>
    <row r="10" spans="1:83">
      <c r="A10" s="632" t="s">
        <v>248</v>
      </c>
      <c r="B10" s="632" t="s">
        <v>249</v>
      </c>
      <c r="C10" s="639">
        <v>2.0339999999999998</v>
      </c>
      <c r="D10" s="639">
        <v>2.0590000000000002</v>
      </c>
      <c r="E10" s="639">
        <v>2.0640000000000001</v>
      </c>
      <c r="F10" s="639">
        <v>2.0870000000000002</v>
      </c>
      <c r="G10" s="639">
        <v>2.1040000000000001</v>
      </c>
      <c r="H10" s="639">
        <v>2.1150000000000002</v>
      </c>
      <c r="I10" s="639">
        <v>2.15</v>
      </c>
      <c r="J10" s="639">
        <v>2.169</v>
      </c>
      <c r="K10" s="639">
        <v>2.1880000000000002</v>
      </c>
      <c r="L10" s="639">
        <v>2.2130000000000001</v>
      </c>
      <c r="M10" s="639">
        <v>2.234</v>
      </c>
      <c r="N10" s="639">
        <v>2.2200000000000002</v>
      </c>
      <c r="O10" s="639">
        <v>2.234</v>
      </c>
      <c r="P10" s="639">
        <v>2.2589999999999999</v>
      </c>
      <c r="Q10" s="639">
        <v>2.2749999999999999</v>
      </c>
      <c r="R10" s="639">
        <v>2.3010000000000002</v>
      </c>
      <c r="S10" s="639">
        <v>2.3220000000000001</v>
      </c>
      <c r="T10" s="639">
        <v>2.363</v>
      </c>
      <c r="U10" s="639">
        <v>2.4039999999999999</v>
      </c>
      <c r="V10" s="639">
        <v>2.35</v>
      </c>
      <c r="W10" s="639">
        <v>2.3420000000000001</v>
      </c>
      <c r="X10" s="639">
        <v>2.347</v>
      </c>
      <c r="Y10" s="639">
        <v>2.367</v>
      </c>
      <c r="Z10" s="639">
        <v>2.38</v>
      </c>
      <c r="AA10" s="639">
        <v>2.3809999999999998</v>
      </c>
      <c r="AB10" s="639">
        <v>2.3839999999999999</v>
      </c>
      <c r="AC10" s="639">
        <v>2.3980000000000001</v>
      </c>
      <c r="AD10" s="639">
        <v>2.42</v>
      </c>
      <c r="AE10" s="639">
        <v>2.4340000000000002</v>
      </c>
      <c r="AF10" s="639">
        <v>2.4769999999999999</v>
      </c>
      <c r="AG10" s="639">
        <v>2.488</v>
      </c>
      <c r="AH10" s="639">
        <v>2.4950000000000001</v>
      </c>
      <c r="AI10" s="639">
        <v>2.5150000000000001</v>
      </c>
      <c r="AJ10" s="639">
        <v>2.5190000000000001</v>
      </c>
      <c r="AK10" s="639">
        <v>2.5289999999999999</v>
      </c>
      <c r="AL10" s="639">
        <v>2.5470000000000002</v>
      </c>
      <c r="AM10" s="639">
        <v>2.5569999999999999</v>
      </c>
      <c r="AN10" s="639">
        <v>2.5539999999999998</v>
      </c>
      <c r="AO10" s="639">
        <v>2.573</v>
      </c>
      <c r="AP10" s="639">
        <v>2.5870000000000002</v>
      </c>
      <c r="AQ10" s="639">
        <v>2.5979999999999999</v>
      </c>
      <c r="AR10" s="639">
        <v>2.6080000000000001</v>
      </c>
      <c r="AS10" s="639">
        <v>2.6139999999999999</v>
      </c>
      <c r="AT10" s="639">
        <v>2.6139999999999999</v>
      </c>
      <c r="AU10" s="627">
        <v>2.613</v>
      </c>
      <c r="AV10" s="627">
        <v>2.6230000000000002</v>
      </c>
      <c r="AW10" s="627">
        <v>2.6190000000000002</v>
      </c>
      <c r="AX10" s="627">
        <v>2.6240000000000001</v>
      </c>
      <c r="AY10" s="627">
        <v>2.6240000000000001</v>
      </c>
      <c r="AZ10" s="627">
        <v>2.6429999999999998</v>
      </c>
      <c r="BA10" s="627">
        <v>2.6640000000000001</v>
      </c>
      <c r="BB10" s="627">
        <v>2.6739999999999999</v>
      </c>
      <c r="BC10" s="627">
        <v>2.6949999999999998</v>
      </c>
      <c r="BD10" s="627">
        <v>2.694</v>
      </c>
      <c r="BE10" s="627">
        <v>2.706</v>
      </c>
      <c r="BF10" s="627">
        <v>2.714</v>
      </c>
      <c r="BG10" s="627">
        <v>2.746</v>
      </c>
      <c r="BH10" s="627">
        <v>2.7650000000000001</v>
      </c>
      <c r="BI10" s="627">
        <v>2.78</v>
      </c>
      <c r="BJ10" s="627">
        <v>2.806</v>
      </c>
      <c r="BK10" s="627">
        <v>2.827</v>
      </c>
      <c r="BL10" s="627">
        <v>2.8420000000000001</v>
      </c>
      <c r="BM10" s="627">
        <v>2.855</v>
      </c>
      <c r="BN10" s="627">
        <v>2.88</v>
      </c>
      <c r="BO10" s="627">
        <v>2.911</v>
      </c>
      <c r="BP10" s="627">
        <v>2.931</v>
      </c>
      <c r="BQ10" s="627">
        <v>2.95</v>
      </c>
      <c r="BR10" s="627">
        <v>2.972</v>
      </c>
      <c r="BS10" s="627">
        <v>2.9980000000000002</v>
      </c>
      <c r="BT10" s="627">
        <v>3.0230000000000001</v>
      </c>
      <c r="BU10" s="627">
        <v>3.0489999999999999</v>
      </c>
      <c r="BV10" s="627">
        <v>3.073</v>
      </c>
      <c r="BW10" s="627">
        <v>3.0979999999999999</v>
      </c>
      <c r="BX10" s="627">
        <v>3.1219999999999999</v>
      </c>
      <c r="BY10" s="627">
        <v>3.149</v>
      </c>
      <c r="BZ10" s="627">
        <v>3.1749999999999998</v>
      </c>
      <c r="CA10" s="627">
        <v>3.2010000000000001</v>
      </c>
      <c r="CB10" s="627">
        <v>3.2250000000000001</v>
      </c>
      <c r="CC10" s="627">
        <v>3.2519999999999998</v>
      </c>
      <c r="CD10" s="627">
        <v>3.278</v>
      </c>
    </row>
    <row r="13" spans="1:83">
      <c r="BF13" s="640" t="s">
        <v>250</v>
      </c>
      <c r="BG13" s="641"/>
      <c r="BH13" s="641"/>
      <c r="BI13" s="642" t="s">
        <v>251</v>
      </c>
      <c r="BJ13" s="643"/>
      <c r="BK13" s="643"/>
      <c r="BL13" s="643"/>
      <c r="BM13" s="643"/>
      <c r="BN13" s="643"/>
      <c r="BO13" s="641"/>
      <c r="BP13" s="641"/>
      <c r="BQ13" s="641"/>
    </row>
    <row r="14" spans="1:83">
      <c r="BF14" s="644"/>
      <c r="BG14" s="645"/>
      <c r="BH14" s="645"/>
      <c r="BI14" s="645"/>
      <c r="BJ14" s="645"/>
      <c r="BK14" s="645"/>
      <c r="BL14" s="645"/>
      <c r="BM14" s="645"/>
      <c r="BN14" s="645"/>
      <c r="BO14" s="645"/>
      <c r="BP14" s="645"/>
      <c r="BQ14" s="646"/>
    </row>
    <row r="15" spans="1:83">
      <c r="BF15" s="647"/>
      <c r="BG15" s="648" t="s">
        <v>252</v>
      </c>
      <c r="BH15" s="649" t="s">
        <v>253</v>
      </c>
      <c r="BI15" s="649"/>
      <c r="BJ15" s="649"/>
      <c r="BK15" s="649"/>
      <c r="BL15" s="649"/>
      <c r="BM15" s="649"/>
      <c r="BN15" s="649"/>
      <c r="BO15" s="649"/>
      <c r="BP15" s="649"/>
      <c r="BQ15" s="650"/>
    </row>
    <row r="16" spans="1:83">
      <c r="BF16" s="647"/>
      <c r="BG16" s="649"/>
      <c r="BH16" s="632" t="s">
        <v>224</v>
      </c>
      <c r="BI16" s="649"/>
      <c r="BJ16" s="649"/>
      <c r="BK16" s="649"/>
      <c r="BL16" s="649"/>
      <c r="BM16" s="649"/>
      <c r="BN16" s="649"/>
      <c r="BO16" s="649"/>
      <c r="BP16" s="649"/>
      <c r="BQ16" s="651" t="s">
        <v>45</v>
      </c>
    </row>
    <row r="17" spans="58:69">
      <c r="BF17" s="647"/>
      <c r="BG17" s="649"/>
      <c r="BH17" s="652">
        <f>BL9</f>
        <v>2.8260000000000001</v>
      </c>
      <c r="BI17" s="649"/>
      <c r="BJ17" s="649"/>
      <c r="BK17" s="649"/>
      <c r="BL17" s="649"/>
      <c r="BM17" s="649"/>
      <c r="BN17" s="649"/>
      <c r="BO17" s="649"/>
      <c r="BP17" s="649"/>
      <c r="BQ17" s="653">
        <f>BH17</f>
        <v>2.8260000000000001</v>
      </c>
    </row>
    <row r="18" spans="58:69">
      <c r="BF18" s="647"/>
      <c r="BG18" s="649"/>
      <c r="BH18" s="649"/>
      <c r="BI18" s="649"/>
      <c r="BJ18" s="649"/>
      <c r="BK18" s="649"/>
      <c r="BL18" s="649"/>
      <c r="BM18" s="649"/>
      <c r="BN18" s="649"/>
      <c r="BO18" s="649"/>
      <c r="BP18" s="649"/>
      <c r="BQ18" s="654"/>
    </row>
    <row r="19" spans="58:69">
      <c r="BF19" s="647"/>
      <c r="BG19" s="648" t="s">
        <v>254</v>
      </c>
      <c r="BH19" s="649" t="s">
        <v>255</v>
      </c>
      <c r="BI19" s="649"/>
      <c r="BJ19" s="649"/>
      <c r="BK19" s="649"/>
      <c r="BL19" s="649"/>
      <c r="BM19" s="649"/>
      <c r="BN19" s="649"/>
      <c r="BO19" s="649"/>
      <c r="BP19" s="649"/>
      <c r="BQ19" s="654"/>
    </row>
    <row r="20" spans="58:69">
      <c r="BF20" s="647"/>
      <c r="BG20" s="649"/>
      <c r="BH20" s="655" t="str">
        <f>BM7</f>
        <v>2019Q3</v>
      </c>
      <c r="BI20" s="638" t="str">
        <f t="shared" ref="BI20:BO20" si="0">BN7</f>
        <v>2019Q4</v>
      </c>
      <c r="BJ20" s="638" t="str">
        <f t="shared" si="0"/>
        <v>2020Q1</v>
      </c>
      <c r="BK20" s="638" t="str">
        <f t="shared" si="0"/>
        <v>2020Q2</v>
      </c>
      <c r="BL20" s="638" t="str">
        <f t="shared" si="0"/>
        <v>2020Q3</v>
      </c>
      <c r="BM20" s="638" t="str">
        <f t="shared" si="0"/>
        <v>2020Q4</v>
      </c>
      <c r="BN20" s="638" t="str">
        <f t="shared" si="0"/>
        <v>2021Q1</v>
      </c>
      <c r="BO20" s="638" t="str">
        <f t="shared" si="0"/>
        <v>2021Q2</v>
      </c>
      <c r="BP20" s="649"/>
      <c r="BQ20" s="654"/>
    </row>
    <row r="21" spans="58:69">
      <c r="BF21" s="647"/>
      <c r="BG21" s="649"/>
      <c r="BH21" s="639">
        <f>BM9</f>
        <v>2.8330000000000002</v>
      </c>
      <c r="BI21" s="639">
        <f t="shared" ref="BI21:BO21" si="1">BN9</f>
        <v>2.8519999999999999</v>
      </c>
      <c r="BJ21" s="639">
        <f t="shared" si="1"/>
        <v>2.8759999999999999</v>
      </c>
      <c r="BK21" s="639">
        <f t="shared" si="1"/>
        <v>2.8879999999999999</v>
      </c>
      <c r="BL21" s="639">
        <f t="shared" si="1"/>
        <v>2.9</v>
      </c>
      <c r="BM21" s="639">
        <f t="shared" si="1"/>
        <v>2.9129999999999998</v>
      </c>
      <c r="BN21" s="639">
        <f t="shared" si="1"/>
        <v>2.931</v>
      </c>
      <c r="BO21" s="639">
        <f t="shared" si="1"/>
        <v>2.9470000000000001</v>
      </c>
      <c r="BP21" s="649"/>
      <c r="BQ21" s="653">
        <f>AVERAGE(BH21:BO21)</f>
        <v>2.8925000000000001</v>
      </c>
    </row>
    <row r="22" spans="58:69">
      <c r="BF22" s="647"/>
      <c r="BG22" s="649"/>
      <c r="BH22" s="649"/>
      <c r="BI22" s="649"/>
      <c r="BJ22" s="649"/>
      <c r="BK22" s="649"/>
      <c r="BL22" s="649"/>
      <c r="BM22" s="649"/>
      <c r="BN22" s="649"/>
      <c r="BO22" s="649"/>
      <c r="BP22" s="649"/>
      <c r="BQ22" s="654"/>
    </row>
    <row r="23" spans="58:69">
      <c r="BF23" s="647"/>
      <c r="BG23" s="649"/>
      <c r="BH23" s="649"/>
      <c r="BI23" s="649"/>
      <c r="BJ23" s="649"/>
      <c r="BK23" s="649"/>
      <c r="BL23" s="649"/>
      <c r="BM23" s="649"/>
      <c r="BN23" s="649"/>
      <c r="BO23" s="649"/>
      <c r="BP23" s="656" t="s">
        <v>256</v>
      </c>
      <c r="BQ23" s="657">
        <f>(BQ21-BQ17)/BQ17</f>
        <v>2.3531493276716206E-2</v>
      </c>
    </row>
    <row r="24" spans="58:69">
      <c r="BF24" s="658"/>
      <c r="BG24" s="659"/>
      <c r="BH24" s="659"/>
      <c r="BI24" s="659"/>
      <c r="BJ24" s="659"/>
      <c r="BK24" s="659"/>
      <c r="BL24" s="659"/>
      <c r="BM24" s="659"/>
      <c r="BN24" s="659"/>
      <c r="BO24" s="659"/>
      <c r="BP24" s="659"/>
      <c r="BQ24" s="660"/>
    </row>
    <row r="28" spans="58:69">
      <c r="BF28" s="632"/>
    </row>
    <row r="29" spans="58:69">
      <c r="BF29" s="640" t="s">
        <v>250</v>
      </c>
      <c r="BG29" s="641"/>
      <c r="BH29" s="641"/>
      <c r="BI29" s="642" t="s">
        <v>257</v>
      </c>
      <c r="BJ29" s="643"/>
      <c r="BK29" s="643"/>
      <c r="BL29" s="643"/>
      <c r="BM29" s="643"/>
      <c r="BN29" s="643"/>
      <c r="BO29" s="641"/>
      <c r="BP29" s="641"/>
      <c r="BQ29" s="641"/>
    </row>
    <row r="30" spans="58:69">
      <c r="BF30" s="644"/>
      <c r="BG30" s="645"/>
      <c r="BH30" s="645"/>
      <c r="BI30" s="645"/>
      <c r="BJ30" s="645"/>
      <c r="BK30" s="645"/>
      <c r="BL30" s="645"/>
      <c r="BM30" s="645"/>
      <c r="BN30" s="645"/>
      <c r="BO30" s="645"/>
      <c r="BP30" s="645"/>
      <c r="BQ30" s="646"/>
    </row>
    <row r="31" spans="58:69">
      <c r="BF31" s="647"/>
      <c r="BG31" s="648" t="s">
        <v>252</v>
      </c>
      <c r="BH31" s="649" t="s">
        <v>258</v>
      </c>
      <c r="BI31" s="649"/>
      <c r="BJ31" s="649"/>
      <c r="BK31" s="649"/>
      <c r="BL31" s="649"/>
      <c r="BM31" s="649"/>
      <c r="BN31" s="649"/>
      <c r="BO31" s="649"/>
      <c r="BP31" s="649"/>
      <c r="BQ31" s="650"/>
    </row>
    <row r="32" spans="58:69">
      <c r="BF32" s="647"/>
      <c r="BG32" s="649"/>
      <c r="BH32" s="632" t="s">
        <v>226</v>
      </c>
      <c r="BI32" s="649"/>
      <c r="BJ32" s="649"/>
      <c r="BK32" s="649"/>
      <c r="BL32" s="649"/>
      <c r="BM32" s="649"/>
      <c r="BN32" s="649"/>
      <c r="BO32" s="649"/>
      <c r="BP32" s="649"/>
      <c r="BQ32" s="651" t="s">
        <v>45</v>
      </c>
    </row>
    <row r="33" spans="58:69">
      <c r="BF33" s="647"/>
      <c r="BG33" s="649"/>
      <c r="BH33" s="652">
        <f>BN9</f>
        <v>2.8519999999999999</v>
      </c>
      <c r="BI33" s="649"/>
      <c r="BJ33" s="649"/>
      <c r="BK33" s="649"/>
      <c r="BL33" s="649"/>
      <c r="BM33" s="649"/>
      <c r="BN33" s="649"/>
      <c r="BO33" s="649"/>
      <c r="BP33" s="649"/>
      <c r="BQ33" s="653">
        <f>BH33</f>
        <v>2.8519999999999999</v>
      </c>
    </row>
    <row r="34" spans="58:69">
      <c r="BF34" s="647"/>
      <c r="BG34" s="649"/>
      <c r="BH34" s="649"/>
      <c r="BI34" s="649"/>
      <c r="BJ34" s="649"/>
      <c r="BK34" s="649"/>
      <c r="BL34" s="649"/>
      <c r="BM34" s="649"/>
      <c r="BN34" s="649"/>
      <c r="BO34" s="649"/>
      <c r="BP34" s="649"/>
      <c r="BQ34" s="654"/>
    </row>
    <row r="35" spans="58:69">
      <c r="BF35" s="647"/>
      <c r="BG35" s="648" t="s">
        <v>254</v>
      </c>
      <c r="BH35" s="649" t="s">
        <v>259</v>
      </c>
      <c r="BI35" s="649"/>
      <c r="BJ35" s="649"/>
      <c r="BK35" s="649"/>
      <c r="BL35" s="649"/>
      <c r="BM35" s="649"/>
      <c r="BN35" s="649"/>
      <c r="BO35" s="649"/>
      <c r="BP35" s="649"/>
      <c r="BQ35" s="654"/>
    </row>
    <row r="36" spans="58:69">
      <c r="BF36" s="647"/>
      <c r="BG36" s="649"/>
      <c r="BH36" s="655" t="str">
        <f>BO7</f>
        <v>2020Q1</v>
      </c>
      <c r="BI36" s="655" t="str">
        <f t="shared" ref="BI36:BO36" si="2">BP7</f>
        <v>2020Q2</v>
      </c>
      <c r="BJ36" s="655" t="str">
        <f t="shared" si="2"/>
        <v>2020Q3</v>
      </c>
      <c r="BK36" s="655" t="str">
        <f t="shared" si="2"/>
        <v>2020Q4</v>
      </c>
      <c r="BL36" s="655" t="str">
        <f t="shared" si="2"/>
        <v>2021Q1</v>
      </c>
      <c r="BM36" s="655" t="str">
        <f t="shared" si="2"/>
        <v>2021Q2</v>
      </c>
      <c r="BN36" s="655" t="str">
        <f t="shared" si="2"/>
        <v>2021Q3</v>
      </c>
      <c r="BO36" s="655" t="str">
        <f t="shared" si="2"/>
        <v>2021Q4</v>
      </c>
      <c r="BP36" s="649"/>
      <c r="BQ36" s="654"/>
    </row>
    <row r="37" spans="58:69">
      <c r="BF37" s="647"/>
      <c r="BG37" s="649"/>
      <c r="BH37" s="639">
        <f>BO9</f>
        <v>2.8759999999999999</v>
      </c>
      <c r="BI37" s="639">
        <f t="shared" ref="BI37:BO37" si="3">BP9</f>
        <v>2.8879999999999999</v>
      </c>
      <c r="BJ37" s="639">
        <f t="shared" si="3"/>
        <v>2.9</v>
      </c>
      <c r="BK37" s="639">
        <f t="shared" si="3"/>
        <v>2.9129999999999998</v>
      </c>
      <c r="BL37" s="639">
        <f t="shared" si="3"/>
        <v>2.931</v>
      </c>
      <c r="BM37" s="639">
        <f t="shared" si="3"/>
        <v>2.9470000000000001</v>
      </c>
      <c r="BN37" s="639">
        <f t="shared" si="3"/>
        <v>2.9630000000000001</v>
      </c>
      <c r="BO37" s="639">
        <f t="shared" si="3"/>
        <v>2.9769999999999999</v>
      </c>
      <c r="BP37" s="649"/>
      <c r="BQ37" s="653">
        <f>AVERAGE(BH37:BO37)</f>
        <v>2.9243749999999999</v>
      </c>
    </row>
    <row r="38" spans="58:69">
      <c r="BF38" s="647"/>
      <c r="BG38" s="649"/>
      <c r="BH38" s="649"/>
      <c r="BI38" s="649"/>
      <c r="BJ38" s="649"/>
      <c r="BK38" s="649"/>
      <c r="BL38" s="649"/>
      <c r="BM38" s="649"/>
      <c r="BN38" s="649"/>
      <c r="BO38" s="649"/>
      <c r="BP38" s="649"/>
      <c r="BQ38" s="654"/>
    </row>
    <row r="39" spans="58:69">
      <c r="BF39" s="647"/>
      <c r="BG39" s="649"/>
      <c r="BH39" s="649"/>
      <c r="BI39" s="649"/>
      <c r="BJ39" s="649"/>
      <c r="BK39" s="649"/>
      <c r="BL39" s="649"/>
      <c r="BM39" s="649"/>
      <c r="BN39" s="649"/>
      <c r="BO39" s="649"/>
      <c r="BP39" s="656" t="s">
        <v>256</v>
      </c>
      <c r="BQ39" s="657">
        <f>(BQ37-BQ33)/BQ33</f>
        <v>2.5376928471248276E-2</v>
      </c>
    </row>
    <row r="40" spans="58:69">
      <c r="BF40" s="658"/>
      <c r="BG40" s="659"/>
      <c r="BH40" s="659"/>
      <c r="BI40" s="659"/>
      <c r="BJ40" s="659"/>
      <c r="BK40" s="659"/>
      <c r="BL40" s="659"/>
      <c r="BM40" s="659"/>
      <c r="BN40" s="659"/>
      <c r="BO40" s="659"/>
      <c r="BP40" s="659"/>
      <c r="BQ40" s="660"/>
    </row>
  </sheetData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Spring 2019 CAF</vt:lpstr>
      <vt:lpstr>Master Lookup</vt:lpstr>
      <vt:lpstr>DCFClinicalComp</vt:lpstr>
      <vt:lpstr>Ed Coordination</vt:lpstr>
      <vt:lpstr>Specialty Family Skills Group</vt:lpstr>
      <vt:lpstr>Family Skills Dev Group</vt:lpstr>
      <vt:lpstr>Parent Skill Dev Group</vt:lpstr>
      <vt:lpstr>Unbundled IFC Support</vt:lpstr>
      <vt:lpstr>Fall 2018</vt:lpstr>
      <vt:lpstr>DCFClinicalComp!Print_Area</vt:lpstr>
      <vt:lpstr>'Ed Coordination'!Print_Area</vt:lpstr>
      <vt:lpstr>'Family Skills Dev Group'!Print_Area</vt:lpstr>
      <vt:lpstr>'Parent Skill Dev Group'!Print_Area</vt:lpstr>
      <vt:lpstr>'Specialty Family Skills Group'!Print_Area</vt:lpstr>
      <vt:lpstr>'Spring 2019 CAF'!Print_Area</vt:lpstr>
      <vt:lpstr>'Unbundled IFC Support'!Print_Area</vt:lpstr>
      <vt:lpstr>'Fall 2018'!Print_Titles</vt:lpstr>
      <vt:lpstr>'Spring 2019 CAF'!Print_Titles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2019-10-03T15:28:21Z</cp:lastPrinted>
  <dcterms:created xsi:type="dcterms:W3CDTF">2019-02-26T13:30:40Z</dcterms:created>
  <dcterms:modified xsi:type="dcterms:W3CDTF">2019-10-03T19:01:54Z</dcterms:modified>
</cp:coreProperties>
</file>