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8730"/>
  </bookViews>
  <sheets>
    <sheet name="2020 Outreach and Engagement" sheetId="1" r:id="rId1"/>
    <sheet name="2020 Safe Haven 7-9, 10-12 beds" sheetId="2" r:id="rId2"/>
    <sheet name="2020 Housing First - HOP " sheetId="3" r:id="rId3"/>
    <sheet name="2020 Housing First - ATARP " sheetId="4" r:id="rId4"/>
    <sheet name="2020 Program Staffing Sup" sheetId="7" r:id="rId5"/>
    <sheet name="Spring 2019 CAF" sheetId="6" r:id="rId6"/>
  </sheets>
  <externalReferences>
    <externalReference r:id="rId7"/>
    <externalReference r:id="rId8"/>
  </externalReferences>
  <definedNames>
    <definedName name="Cap">[1]RawDataCalcs!$L$13:$DB$13</definedName>
    <definedName name="Floor">[1]RawDataCalcs!$L$12:$DB$12</definedName>
    <definedName name="gk" localSheetId="3">#REF!</definedName>
    <definedName name="gk" localSheetId="2">#REF!</definedName>
    <definedName name="gk" localSheetId="0">#REF!</definedName>
    <definedName name="gk" localSheetId="4">#REF!</definedName>
    <definedName name="gk">#REF!</definedName>
    <definedName name="_xlnm.Print_Area" localSheetId="3">'2020 Housing First - ATARP '!$B$1:$Q$30</definedName>
    <definedName name="_xlnm.Print_Area" localSheetId="2">'2020 Housing First - HOP '!$B$1:$O$35</definedName>
    <definedName name="_xlnm.Print_Area" localSheetId="0">'2020 Outreach and Engagement'!$A$1:$I$38</definedName>
    <definedName name="_xlnm.Print_Area" localSheetId="4">'2020 Program Staffing Sup'!$B$1:$L$51</definedName>
    <definedName name="_xlnm.Print_Area" localSheetId="1">'2020 Safe Haven 7-9, 10-12 beds'!$A$1:$O$40</definedName>
    <definedName name="_xlnm.Print_Area" localSheetId="5">'Spring 2019 CAF'!$BI$6:$BX$26</definedName>
    <definedName name="_xlnm.Print_Titles" localSheetId="5">'Spring 2019 CAF'!$A:$A</definedName>
    <definedName name="Source_2" localSheetId="3">#REF!</definedName>
    <definedName name="Source_2" localSheetId="2">#REF!</definedName>
    <definedName name="Source_2" localSheetId="0">#REF!</definedName>
    <definedName name="Source_2" localSheetId="4">#REF!</definedName>
    <definedName name="Source_2">#REF!</definedName>
    <definedName name="Total_UFR" localSheetId="3">#REF!</definedName>
    <definedName name="Total_UFR" localSheetId="2">#REF!</definedName>
    <definedName name="Total_UFR" localSheetId="0">#REF!</definedName>
    <definedName name="Total_UFR" localSheetId="4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C49" i="7" l="1"/>
  <c r="C46" i="7"/>
  <c r="D43" i="7"/>
  <c r="C43" i="7"/>
  <c r="D42" i="7"/>
  <c r="D41" i="7"/>
  <c r="D45" i="7" s="1"/>
  <c r="C38" i="7"/>
  <c r="C35" i="7"/>
  <c r="D32" i="7"/>
  <c r="C32" i="7"/>
  <c r="D31" i="7"/>
  <c r="D30" i="7"/>
  <c r="D34" i="7" s="1"/>
  <c r="C27" i="7"/>
  <c r="C24" i="7"/>
  <c r="D21" i="7"/>
  <c r="C21" i="7"/>
  <c r="D20" i="7"/>
  <c r="D19" i="7"/>
  <c r="D23" i="7" s="1"/>
  <c r="H18" i="7"/>
  <c r="C16" i="7"/>
  <c r="C13" i="7"/>
  <c r="H12" i="7"/>
  <c r="C10" i="7"/>
  <c r="D10" i="7" s="1"/>
  <c r="D9" i="7"/>
  <c r="D8" i="7"/>
  <c r="D12" i="7" l="1"/>
  <c r="D24" i="7"/>
  <c r="D26" i="7" s="1"/>
  <c r="F23" i="7"/>
  <c r="E23" i="7"/>
  <c r="E34" i="7"/>
  <c r="D35" i="7"/>
  <c r="D37" i="7" s="1"/>
  <c r="F34" i="7"/>
  <c r="E45" i="7"/>
  <c r="D46" i="7"/>
  <c r="D48" i="7" s="1"/>
  <c r="F45" i="7"/>
  <c r="D49" i="7" l="1"/>
  <c r="I18" i="7" s="1"/>
  <c r="L12" i="7"/>
  <c r="L18" i="7" s="1"/>
  <c r="D38" i="7"/>
  <c r="I17" i="7" s="1"/>
  <c r="L11" i="7"/>
  <c r="L17" i="7" s="1"/>
  <c r="D27" i="7"/>
  <c r="I16" i="7" s="1"/>
  <c r="L10" i="7"/>
  <c r="L16" i="7" s="1"/>
  <c r="F48" i="7"/>
  <c r="J12" i="7" s="1"/>
  <c r="J18" i="7" s="1"/>
  <c r="F46" i="7"/>
  <c r="E46" i="7"/>
  <c r="E48" i="7" s="1"/>
  <c r="K12" i="7" s="1"/>
  <c r="K18" i="7" s="1"/>
  <c r="F37" i="7"/>
  <c r="J11" i="7" s="1"/>
  <c r="J17" i="7" s="1"/>
  <c r="F35" i="7"/>
  <c r="E35" i="7"/>
  <c r="E37" i="7" s="1"/>
  <c r="K11" i="7" s="1"/>
  <c r="K17" i="7" s="1"/>
  <c r="E26" i="7"/>
  <c r="K10" i="7" s="1"/>
  <c r="K16" i="7" s="1"/>
  <c r="E24" i="7"/>
  <c r="E12" i="7"/>
  <c r="D13" i="7"/>
  <c r="D15" i="7" s="1"/>
  <c r="F12" i="7"/>
  <c r="F26" i="7"/>
  <c r="J10" i="7" s="1"/>
  <c r="J16" i="7" s="1"/>
  <c r="F24" i="7"/>
  <c r="D16" i="7" l="1"/>
  <c r="I15" i="7" s="1"/>
  <c r="L9" i="7"/>
  <c r="L15" i="7" s="1"/>
  <c r="F13" i="7"/>
  <c r="F15" i="7" s="1"/>
  <c r="J9" i="7" s="1"/>
  <c r="J15" i="7" s="1"/>
  <c r="E13" i="7"/>
  <c r="E15" i="7" s="1"/>
  <c r="K9" i="7" s="1"/>
  <c r="K15" i="7" s="1"/>
  <c r="F19" i="1" l="1"/>
  <c r="BS23" i="6" l="1"/>
  <c r="BR23" i="6"/>
  <c r="BQ23" i="6"/>
  <c r="BP23" i="6"/>
  <c r="BO23" i="6"/>
  <c r="BN23" i="6"/>
  <c r="BM23" i="6"/>
  <c r="BL23" i="6"/>
  <c r="BU23" i="6" s="1"/>
  <c r="BU25" i="6" s="1"/>
  <c r="BS22" i="6"/>
  <c r="BR22" i="6"/>
  <c r="BQ22" i="6"/>
  <c r="BP22" i="6"/>
  <c r="BO22" i="6"/>
  <c r="BN22" i="6"/>
  <c r="BM22" i="6"/>
  <c r="BL22" i="6"/>
  <c r="BU19" i="6"/>
  <c r="BL19" i="6"/>
  <c r="O20" i="4"/>
  <c r="I20" i="4"/>
  <c r="O19" i="4"/>
  <c r="I19" i="4"/>
  <c r="O23" i="4" s="1"/>
  <c r="O15" i="4" s="1"/>
  <c r="O12" i="4"/>
  <c r="I12" i="4"/>
  <c r="P9" i="4"/>
  <c r="M9" i="4"/>
  <c r="J9" i="4"/>
  <c r="G9" i="4"/>
  <c r="P8" i="4"/>
  <c r="M8" i="4"/>
  <c r="J8" i="4"/>
  <c r="G8" i="4"/>
  <c r="P7" i="4"/>
  <c r="M7" i="4"/>
  <c r="J7" i="4"/>
  <c r="G7" i="4"/>
  <c r="C7" i="4"/>
  <c r="O9" i="4" s="1"/>
  <c r="Q9" i="4" s="1"/>
  <c r="AC6" i="4"/>
  <c r="P6" i="4"/>
  <c r="M6" i="4"/>
  <c r="J6" i="4"/>
  <c r="G6" i="4"/>
  <c r="C6" i="4"/>
  <c r="O8" i="4" s="1"/>
  <c r="Q8" i="4" s="1"/>
  <c r="AC5" i="4"/>
  <c r="C5" i="4"/>
  <c r="O7" i="4" s="1"/>
  <c r="AC4" i="4"/>
  <c r="O6" i="4" s="1"/>
  <c r="AC3" i="4"/>
  <c r="Q3" i="4"/>
  <c r="K3" i="4"/>
  <c r="M22" i="3"/>
  <c r="L22" i="3"/>
  <c r="H22" i="3"/>
  <c r="L21" i="3"/>
  <c r="G21" i="3"/>
  <c r="M25" i="3" s="1"/>
  <c r="L15" i="3"/>
  <c r="J17" i="3" s="1"/>
  <c r="M12" i="3"/>
  <c r="H12" i="3"/>
  <c r="N9" i="3"/>
  <c r="L9" i="3"/>
  <c r="I9" i="3"/>
  <c r="G9" i="3"/>
  <c r="N8" i="3"/>
  <c r="N10" i="3" s="1"/>
  <c r="M8" i="3"/>
  <c r="L8" i="3"/>
  <c r="I8" i="3"/>
  <c r="H8" i="3"/>
  <c r="J8" i="3" s="1"/>
  <c r="G8" i="3"/>
  <c r="C5" i="3"/>
  <c r="M9" i="3" s="1"/>
  <c r="O9" i="3" s="1"/>
  <c r="M26" i="2"/>
  <c r="M23" i="2"/>
  <c r="L23" i="2"/>
  <c r="H23" i="2"/>
  <c r="M22" i="2"/>
  <c r="L22" i="2"/>
  <c r="H22" i="2"/>
  <c r="G22" i="2"/>
  <c r="C21" i="2"/>
  <c r="M18" i="2" s="1"/>
  <c r="O18" i="2" s="1"/>
  <c r="C20" i="2"/>
  <c r="C19" i="2"/>
  <c r="M16" i="2" s="1"/>
  <c r="H18" i="2"/>
  <c r="J18" i="2" s="1"/>
  <c r="M17" i="2"/>
  <c r="H17" i="2"/>
  <c r="J17" i="2" s="1"/>
  <c r="C17" i="2"/>
  <c r="N15" i="2"/>
  <c r="M15" i="2"/>
  <c r="I15" i="2"/>
  <c r="H15" i="2"/>
  <c r="M12" i="2"/>
  <c r="N9" i="2"/>
  <c r="L9" i="2"/>
  <c r="N8" i="2"/>
  <c r="M8" i="2"/>
  <c r="O8" i="2" s="1"/>
  <c r="L8" i="2"/>
  <c r="I8" i="2"/>
  <c r="G8" i="2"/>
  <c r="C8" i="2"/>
  <c r="M9" i="2" s="1"/>
  <c r="O9" i="2" s="1"/>
  <c r="N7" i="2"/>
  <c r="L7" i="2"/>
  <c r="I7" i="2"/>
  <c r="G7" i="2"/>
  <c r="C7" i="2"/>
  <c r="H7" i="2" s="1"/>
  <c r="J7" i="2" s="1"/>
  <c r="N6" i="2"/>
  <c r="L6" i="2"/>
  <c r="I6" i="2"/>
  <c r="G6" i="2"/>
  <c r="C6" i="2"/>
  <c r="M7" i="2" s="1"/>
  <c r="O7" i="2" s="1"/>
  <c r="N5" i="2"/>
  <c r="N10" i="2" s="1"/>
  <c r="L5" i="2"/>
  <c r="I5" i="2"/>
  <c r="I9" i="2" s="1"/>
  <c r="G5" i="2"/>
  <c r="C5" i="2"/>
  <c r="M6" i="2" s="1"/>
  <c r="O6" i="2" s="1"/>
  <c r="C4" i="2"/>
  <c r="M5" i="2" s="1"/>
  <c r="O3" i="2"/>
  <c r="J3" i="2"/>
  <c r="G19" i="1"/>
  <c r="G18" i="1"/>
  <c r="F18" i="1"/>
  <c r="G22" i="1" s="1"/>
  <c r="G15" i="1" s="1"/>
  <c r="I15" i="1" s="1"/>
  <c r="G14" i="1"/>
  <c r="I14" i="1" s="1"/>
  <c r="G13" i="1" s="1"/>
  <c r="I13" i="1" s="1"/>
  <c r="G10" i="1"/>
  <c r="H7" i="1"/>
  <c r="F7" i="1"/>
  <c r="H6" i="1"/>
  <c r="F6" i="1"/>
  <c r="C6" i="1"/>
  <c r="G7" i="1" s="1"/>
  <c r="I7" i="1" s="1"/>
  <c r="H5" i="1"/>
  <c r="F5" i="1"/>
  <c r="C5" i="1"/>
  <c r="G6" i="1" s="1"/>
  <c r="G5" i="1" s="1"/>
  <c r="I5" i="1" s="1"/>
  <c r="O16" i="2" l="1"/>
  <c r="O5" i="2"/>
  <c r="J15" i="2"/>
  <c r="O15" i="2"/>
  <c r="O17" i="2"/>
  <c r="I10" i="3"/>
  <c r="O8" i="3"/>
  <c r="O10" i="3" s="1"/>
  <c r="AC7" i="4"/>
  <c r="AC8" i="4" s="1"/>
  <c r="O10" i="2"/>
  <c r="H6" i="2"/>
  <c r="J6" i="2" s="1"/>
  <c r="H8" i="2"/>
  <c r="J8" i="2" s="1"/>
  <c r="H5" i="2"/>
  <c r="J5" i="2" s="1"/>
  <c r="H16" i="2"/>
  <c r="J16" i="2" s="1"/>
  <c r="H26" i="2"/>
  <c r="M15" i="3"/>
  <c r="O15" i="3" s="1"/>
  <c r="H15" i="3"/>
  <c r="J15" i="3" s="1"/>
  <c r="O12" i="3"/>
  <c r="O13" i="3" s="1"/>
  <c r="O22" i="3"/>
  <c r="K6" i="4"/>
  <c r="Q6" i="4"/>
  <c r="Q7" i="4"/>
  <c r="H9" i="3"/>
  <c r="J9" i="3" s="1"/>
  <c r="J10" i="3" s="1"/>
  <c r="M16" i="3"/>
  <c r="O16" i="3" s="1"/>
  <c r="H16" i="3"/>
  <c r="J16" i="3" s="1"/>
  <c r="H25" i="3"/>
  <c r="I8" i="4"/>
  <c r="K8" i="4" s="1"/>
  <c r="J10" i="4"/>
  <c r="P10" i="4"/>
  <c r="Q15" i="4" s="1"/>
  <c r="I23" i="4"/>
  <c r="I6" i="4"/>
  <c r="I7" i="4"/>
  <c r="K7" i="4" s="1"/>
  <c r="I9" i="4"/>
  <c r="K9" i="4" s="1"/>
  <c r="I15" i="4"/>
  <c r="I6" i="1"/>
  <c r="I8" i="1" s="1"/>
  <c r="I19" i="1" s="1"/>
  <c r="O19" i="3" l="1"/>
  <c r="J12" i="3"/>
  <c r="J13" i="3" s="1"/>
  <c r="J19" i="3" s="1"/>
  <c r="J22" i="3"/>
  <c r="K10" i="4"/>
  <c r="J9" i="2"/>
  <c r="K15" i="4"/>
  <c r="Q10" i="4"/>
  <c r="O13" i="2"/>
  <c r="O20" i="2" s="1"/>
  <c r="O12" i="2"/>
  <c r="O23" i="2"/>
  <c r="I10" i="1"/>
  <c r="I11" i="1" s="1"/>
  <c r="I16" i="1" s="1"/>
  <c r="J21" i="3" l="1"/>
  <c r="J23" i="3" s="1"/>
  <c r="Q20" i="4"/>
  <c r="Q12" i="4"/>
  <c r="Q13" i="4" s="1"/>
  <c r="Q17" i="4" s="1"/>
  <c r="J23" i="2"/>
  <c r="J12" i="2"/>
  <c r="J13" i="2" s="1"/>
  <c r="J20" i="2" s="1"/>
  <c r="O22" i="2"/>
  <c r="O24" i="2" s="1"/>
  <c r="K20" i="4"/>
  <c r="K12" i="4"/>
  <c r="K13" i="4"/>
  <c r="K17" i="4" s="1"/>
  <c r="O21" i="3"/>
  <c r="O23" i="3" s="1"/>
  <c r="I18" i="1"/>
  <c r="I20" i="1" s="1"/>
  <c r="O27" i="3" l="1"/>
  <c r="O29" i="3" s="1"/>
  <c r="O25" i="3"/>
  <c r="J24" i="2"/>
  <c r="J22" i="2"/>
  <c r="Q21" i="4"/>
  <c r="Q19" i="4"/>
  <c r="O29" i="2"/>
  <c r="O31" i="2" s="1"/>
  <c r="O26" i="2"/>
  <c r="K19" i="4"/>
  <c r="K21" i="4" s="1"/>
  <c r="J25" i="3"/>
  <c r="J27" i="3" s="1"/>
  <c r="J29" i="3" s="1"/>
  <c r="I22" i="1"/>
  <c r="I24" i="1" s="1"/>
  <c r="I26" i="1" s="1"/>
  <c r="K23" i="4" l="1"/>
  <c r="K25" i="4" s="1"/>
  <c r="K27" i="4" s="1"/>
  <c r="O33" i="2"/>
  <c r="O32" i="2"/>
  <c r="Q23" i="4"/>
  <c r="Q25" i="4" s="1"/>
  <c r="Q27" i="4" s="1"/>
  <c r="J26" i="2"/>
  <c r="J29" i="2" s="1"/>
  <c r="J31" i="2" s="1"/>
  <c r="J32" i="2" l="1"/>
  <c r="J33" i="2"/>
</calcChain>
</file>

<file path=xl/sharedStrings.xml><?xml version="1.0" encoding="utf-8"?>
<sst xmlns="http://schemas.openxmlformats.org/spreadsheetml/2006/main" count="471" uniqueCount="237">
  <si>
    <t>Adult Homelessness Support - Outreach and Engagement - Master Data Look-up Table</t>
  </si>
  <si>
    <t>Adult Homelessness Support - Outreach and Engagement</t>
  </si>
  <si>
    <t>Benchmark Salaries</t>
  </si>
  <si>
    <t>Source</t>
  </si>
  <si>
    <t>Service Unit: Per Month</t>
  </si>
  <si>
    <t>Total Months:</t>
  </si>
  <si>
    <t>Management</t>
  </si>
  <si>
    <t>Original salary rebased with CAF's</t>
  </si>
  <si>
    <t>Salary</t>
  </si>
  <si>
    <t>FTE</t>
  </si>
  <si>
    <t>Expense</t>
  </si>
  <si>
    <t>Direct Care - Bachelors Level</t>
  </si>
  <si>
    <t>Original salary rebased with CAF's  ($13.88 per hour)</t>
  </si>
  <si>
    <t>Clinician, LICSW</t>
  </si>
  <si>
    <t>Benchmark FTEs</t>
  </si>
  <si>
    <t xml:space="preserve">Program Director </t>
  </si>
  <si>
    <t>Purchaser Recommendation</t>
  </si>
  <si>
    <t>Total Staffing Costs:</t>
  </si>
  <si>
    <t>Counselor, Bachelors Level</t>
  </si>
  <si>
    <t>Tax &amp; Fringe:</t>
  </si>
  <si>
    <t>Benchmark Expenses</t>
  </si>
  <si>
    <t>Total Compensation</t>
  </si>
  <si>
    <t>Tax &amp; Fringe</t>
  </si>
  <si>
    <t>101 CMR 420.00: Rates for Adult Long Term Residential Services</t>
  </si>
  <si>
    <t>Unit Rate</t>
  </si>
  <si>
    <t>Units</t>
  </si>
  <si>
    <t>Psychiatry consultation, per hour</t>
  </si>
  <si>
    <t>Original expense rebased with CAF's</t>
  </si>
  <si>
    <t>Occupancy - 150 ft2 / FTE</t>
  </si>
  <si>
    <t>Program support, per client</t>
  </si>
  <si>
    <t>Administrative Allocation</t>
  </si>
  <si>
    <t>Subtotal Program Costs</t>
  </si>
  <si>
    <t>PFLMA Trust Contribution</t>
  </si>
  <si>
    <t>Effective 7/1/19</t>
  </si>
  <si>
    <t>CAF</t>
  </si>
  <si>
    <t>Base 2019 Q4 - Prospective 1/1/20-12/31/21</t>
  </si>
  <si>
    <t>TOTAL</t>
  </si>
  <si>
    <t>Total with CAF</t>
  </si>
  <si>
    <t>Monthly Capacity</t>
  </si>
  <si>
    <t xml:space="preserve">RATE </t>
  </si>
  <si>
    <t>Adult Homelessness Support - Safe Haven - Master Data Look-up Table</t>
  </si>
  <si>
    <t>Adult Homelessness Support - Safe Haven - 7-9 Bed Model</t>
  </si>
  <si>
    <t>Adult Homelessness Support - Safe Haven - 9-12 Bed Model</t>
  </si>
  <si>
    <t>Beds:</t>
  </si>
  <si>
    <t>Bed days:</t>
  </si>
  <si>
    <t>Original salary rebased with original CAF</t>
  </si>
  <si>
    <t>Position</t>
  </si>
  <si>
    <t>FTEs</t>
  </si>
  <si>
    <t>Caseworker/manager non-masters</t>
  </si>
  <si>
    <t>Direct Care II</t>
  </si>
  <si>
    <t>Direct Care I</t>
  </si>
  <si>
    <t>Relief</t>
  </si>
  <si>
    <t>Updated from $25,051 to $13.50 /hr</t>
  </si>
  <si>
    <t>7-9</t>
  </si>
  <si>
    <t>10-12</t>
  </si>
  <si>
    <t>Total Staffing:</t>
  </si>
  <si>
    <t>Tax &amp; fringe:</t>
  </si>
  <si>
    <t>Total Compensation:</t>
  </si>
  <si>
    <t>Unit Cost</t>
  </si>
  <si>
    <t>Medical (NP), per hour</t>
  </si>
  <si>
    <t>Occupancy, per client / day</t>
  </si>
  <si>
    <t>Original expense rebased with original CAF</t>
  </si>
  <si>
    <t>Meals, per client / day*</t>
  </si>
  <si>
    <t>NP hours per week</t>
  </si>
  <si>
    <t>Program support, per bed or slot</t>
  </si>
  <si>
    <t>Base 2017 Q4 - Prospective 1/1/18-12/31/19</t>
  </si>
  <si>
    <t>Relief Assumptions:</t>
  </si>
  <si>
    <t>Days</t>
  </si>
  <si>
    <t>Hours</t>
  </si>
  <si>
    <t>Vacation</t>
  </si>
  <si>
    <t>Sick/ personal</t>
  </si>
  <si>
    <t>Holidays</t>
  </si>
  <si>
    <t>Training</t>
  </si>
  <si>
    <t>RATE per day / client</t>
  </si>
  <si>
    <t>Total Hours per FTE:</t>
  </si>
  <si>
    <t>Utilization</t>
  </si>
  <si>
    <t>Relief Factor (% of FTE)</t>
  </si>
  <si>
    <t>Adult Homelessness Support - Housing First HOP - Master Data Look-up Table</t>
  </si>
  <si>
    <t>Housing First Category of Services</t>
  </si>
  <si>
    <t>Housing Options Programs (HOP) - Low intensity</t>
  </si>
  <si>
    <t>HOP Model 1</t>
  </si>
  <si>
    <t>Hop Model 2</t>
  </si>
  <si>
    <t>Direct Care</t>
  </si>
  <si>
    <t>*Housing Search &amp; Subsidy Management</t>
  </si>
  <si>
    <t>Supportive Service</t>
  </si>
  <si>
    <t>Model 1</t>
  </si>
  <si>
    <t>Model 2</t>
  </si>
  <si>
    <t xml:space="preserve">Clients: </t>
  </si>
  <si>
    <t>Total program staff</t>
  </si>
  <si>
    <t>Staff mileage - per FTE</t>
  </si>
  <si>
    <t>Tax &amp; fringe</t>
  </si>
  <si>
    <t>Personal client allowance</t>
  </si>
  <si>
    <t>Subtotal program costs</t>
  </si>
  <si>
    <t>RATE per client / month</t>
  </si>
  <si>
    <t>Adult Homelessness Supports - ATARP Models - Master Data Look-up Table</t>
  </si>
  <si>
    <t>Adult Homelessness Support - ATARP Model A - 9-12 person model</t>
  </si>
  <si>
    <t>Adult Homelessness Support - ATARP Model B - 6-8 person model</t>
  </si>
  <si>
    <t xml:space="preserve">Average clients: </t>
  </si>
  <si>
    <t>Client-days per year:</t>
  </si>
  <si>
    <t xml:space="preserve">Client-days per year: </t>
  </si>
  <si>
    <t>Managment (Lic. SA Counselor(LDAC)</t>
  </si>
  <si>
    <t xml:space="preserve">Direct Care </t>
  </si>
  <si>
    <t xml:space="preserve">Original salary rebased with CAF's </t>
  </si>
  <si>
    <t>Program support (clerical)</t>
  </si>
  <si>
    <t>Relief staffing</t>
  </si>
  <si>
    <t>Model A</t>
  </si>
  <si>
    <t>Model B</t>
  </si>
  <si>
    <t>Program Director (Lic. SA Counselor)</t>
  </si>
  <si>
    <t>Total compensation</t>
  </si>
  <si>
    <t>M&amp;G</t>
  </si>
  <si>
    <t>RATE per client / enrolled day</t>
  </si>
  <si>
    <t>Program Staffing Supports model options</t>
  </si>
  <si>
    <t xml:space="preserve"> Program Staffing Supports Grid</t>
  </si>
  <si>
    <t>by varying FTE levels for DC: I,II,III, LICSW, or per diem</t>
  </si>
  <si>
    <t>Program Staff Supports Rate Models</t>
  </si>
  <si>
    <t>FTE basis</t>
  </si>
  <si>
    <t>Position Title</t>
  </si>
  <si>
    <t>Annualized salary DC worker:</t>
  </si>
  <si>
    <t>Annualized salaries</t>
  </si>
  <si>
    <t>1FTE</t>
  </si>
  <si>
    <t>0.5 FTE</t>
  </si>
  <si>
    <t>0.25 FTE</t>
  </si>
  <si>
    <t>Direct Care III</t>
  </si>
  <si>
    <t xml:space="preserve">Total: </t>
  </si>
  <si>
    <t>Per Diem</t>
  </si>
  <si>
    <t xml:space="preserve">Monthly payments </t>
  </si>
  <si>
    <t>Per diem (2080 / 8)</t>
  </si>
  <si>
    <t>Annualized salary DC III worker:</t>
  </si>
  <si>
    <t>LICSW / Clinician</t>
  </si>
  <si>
    <t>Annualized salary LICSW/Clinician:</t>
  </si>
  <si>
    <t xml:space="preserve"> </t>
  </si>
  <si>
    <t>Massachusetts Economic Indicators</t>
  </si>
  <si>
    <t>IHS Markit, Spring 2019 Forecast</t>
  </si>
  <si>
    <t>Prepared by Michael Lynch, 781-301-9129</t>
  </si>
  <si>
    <t>FY17</t>
  </si>
  <si>
    <t>FY18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</si>
  <si>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</si>
  <si>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</si>
  <si>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</si>
  <si>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</si>
  <si>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</si>
  <si>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</si>
  <si>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</si>
  <si>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</si>
  <si>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</si>
  <si>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</si>
  <si>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</si>
  <si>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</si>
  <si>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</si>
  <si>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</si>
  <si>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</si>
  <si>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</si>
  <si>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</si>
  <si>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</si>
  <si>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</si>
  <si>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</si>
  <si>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</si>
  <si>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</si>
  <si>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</si>
  <si>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</si>
  <si>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</si>
  <si>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</si>
  <si>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</si>
  <si>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</si>
  <si>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</si>
  <si>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</si>
  <si>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</si>
  <si>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</si>
  <si>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</si>
  <si>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</si>
  <si>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</si>
  <si>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</si>
  <si>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</si>
  <si>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</si>
  <si>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</si>
  <si>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</si>
  <si>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</si>
  <si>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</si>
  <si>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</si>
  <si>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</si>
  <si>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</si>
  <si>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</si>
  <si>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</si>
  <si>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</si>
  <si>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</si>
  <si>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</si>
  <si>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</si>
  <si>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</si>
  <si>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</si>
  <si>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</si>
  <si>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</si>
  <si>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</si>
  <si>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</si>
  <si>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</si>
  <si>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</si>
  <si>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</si>
  <si>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</si>
  <si>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</si>
  <si>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</si>
  <si>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</si>
  <si>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</si>
  <si>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</si>
  <si>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</si>
  <si>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</si>
  <si>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</si>
  <si>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</si>
  <si>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</si>
  <si>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</si>
  <si>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</si>
  <si>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</si>
  <si>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</si>
  <si>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</si>
  <si>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</si>
  <si>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</si>
  <si>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</si>
  <si>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</si>
  <si>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</si>
  <si>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</si>
  <si>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</si>
  <si>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</si>
  <si>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</si>
  <si>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</si>
  <si>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</si>
  <si>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</si>
  <si>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</si>
  <si>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</si>
  <si>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</si>
  <si>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</si>
  <si>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</si>
  <si>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</si>
  <si>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1/1/20-12/31/21</t>
  </si>
  <si>
    <t xml:space="preserve">Base period: </t>
  </si>
  <si>
    <t>FY20Q2</t>
  </si>
  <si>
    <t>Average</t>
  </si>
  <si>
    <t xml:space="preserve">Prospective rate period: </t>
  </si>
  <si>
    <t>CAF:</t>
  </si>
  <si>
    <t>Original salary rebased with CAF's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</si>
</sst>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&quot;$&quot;#,##0.00"/>
    <numFmt numFmtId="168" formatCode="0.000%"/>
    <numFmt numFmtId="169" formatCode="\$#,##0"/>
    <numFmt numFmtId="170" formatCode="0.0%"/>
    <numFmt numFmtId="171" formatCode="&quot;$&quot;#,##0.00000"/>
    <numFmt numFmtId="172" formatCode="_(* #,##0.00000_);_(* \(#,##0.00000\);_(* &quot;-&quot;??_);_(@_)"/>
    <numFmt numFmtId="173" formatCode="0.000"/>
    <numFmt numFmtId="174" formatCode="0.0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Arial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129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62"/>
      <name val="Calibri"/>
      <family val="2"/>
      <scheme val="minor"/>
    </font>
    <font>
      <sz val="12"/>
      <color theme="0"/>
      <name val="Calibri"/>
      <family val="2"/>
    </font>
    <font>
      <sz val="9"/>
      <color theme="0"/>
      <name val="Calibri"/>
      <family val="2"/>
    </font>
    <font>
      <b/>
      <sz val="12"/>
      <name val="Calibri"/>
      <family val="2"/>
      <scheme val="minor"/>
    </font>
    <font>
      <sz val="9"/>
      <color indexed="8"/>
      <name val="Calibri"/>
      <family val="2"/>
    </font>
    <font>
      <b/>
      <i/>
      <sz val="12"/>
      <name val="Calibri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i/>
      <sz val="12"/>
      <name val="Calibri"/>
      <family val="2"/>
    </font>
    <font>
      <b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01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29" applyNumberFormat="0" applyAlignment="0" applyProtection="0"/>
    <xf numFmtId="0" fontId="15" fillId="24" borderId="30" applyNumberFormat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29" applyNumberFormat="0" applyAlignment="0" applyProtection="0"/>
    <xf numFmtId="0" fontId="25" fillId="0" borderId="34" applyNumberFormat="0" applyFill="0" applyAlignment="0" applyProtection="0"/>
    <xf numFmtId="0" fontId="26" fillId="25" borderId="0" applyNumberFormat="0" applyBorder="0" applyAlignment="0" applyProtection="0"/>
    <xf numFmtId="0" fontId="27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27" fillId="0" borderId="0"/>
    <xf numFmtId="0" fontId="16" fillId="0" borderId="0"/>
    <xf numFmtId="0" fontId="27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" fillId="0" borderId="0"/>
    <xf numFmtId="0" fontId="1" fillId="2" borderId="1" applyNumberFormat="0" applyFont="0" applyAlignment="0" applyProtection="0"/>
    <xf numFmtId="0" fontId="29" fillId="23" borderId="35" applyNumberFormat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6" applyNumberFormat="0" applyFill="0" applyAlignment="0" applyProtection="0"/>
    <xf numFmtId="0" fontId="33" fillId="0" borderId="0" applyNumberFormat="0" applyFill="0" applyBorder="0" applyAlignment="0" applyProtection="0"/>
  </cellStyleXfs>
  <cellXfs count="582">
    <xf numFmtId="0" fontId="0" fillId="0" borderId="0" xfId="0"/>
    <xf numFmtId="0" fontId="2" fillId="0" borderId="0" xfId="0" applyFont="1"/>
    <xf numFmtId="164" fontId="2" fillId="0" borderId="0" xfId="2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0" xfId="1" applyNumberFormat="1" applyFont="1" applyAlignment="1">
      <alignment horizontal="left"/>
    </xf>
    <xf numFmtId="165" fontId="2" fillId="0" borderId="0" xfId="1" applyNumberFormat="1" applyFont="1"/>
    <xf numFmtId="0" fontId="5" fillId="0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/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 wrapText="1"/>
    </xf>
    <xf numFmtId="44" fontId="2" fillId="0" borderId="0" xfId="2" applyFont="1"/>
    <xf numFmtId="0" fontId="2" fillId="0" borderId="10" xfId="0" applyFont="1" applyFill="1" applyBorder="1"/>
    <xf numFmtId="6" fontId="2" fillId="0" borderId="0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7" xfId="0" applyFont="1" applyFill="1" applyBorder="1"/>
    <xf numFmtId="0" fontId="5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164" fontId="5" fillId="0" borderId="14" xfId="2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6" fontId="2" fillId="0" borderId="0" xfId="0" applyNumberFormat="1" applyFont="1" applyFill="1" applyBorder="1" applyAlignment="1">
      <alignment horizontal="center"/>
    </xf>
    <xf numFmtId="8" fontId="2" fillId="0" borderId="0" xfId="0" applyNumberFormat="1" applyFont="1"/>
    <xf numFmtId="6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/>
    </xf>
    <xf numFmtId="166" fontId="2" fillId="0" borderId="12" xfId="2" applyNumberFormat="1" applyFont="1" applyBorder="1" applyAlignment="1">
      <alignment horizontal="right"/>
    </xf>
    <xf numFmtId="10" fontId="2" fillId="0" borderId="0" xfId="3" applyNumberFormat="1" applyFont="1"/>
    <xf numFmtId="0" fontId="2" fillId="0" borderId="7" xfId="0" applyFont="1" applyFill="1" applyBorder="1"/>
    <xf numFmtId="6" fontId="2" fillId="0" borderId="8" xfId="0" applyNumberFormat="1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166" fontId="2" fillId="0" borderId="12" xfId="2" applyNumberFormat="1" applyFont="1" applyBorder="1" applyAlignment="1">
      <alignment horizontal="right" vertical="center"/>
    </xf>
    <xf numFmtId="0" fontId="5" fillId="0" borderId="0" xfId="0" applyFont="1"/>
    <xf numFmtId="0" fontId="2" fillId="0" borderId="17" xfId="0" applyFont="1" applyFill="1" applyBorder="1" applyAlignment="1">
      <alignment horizontal="left"/>
    </xf>
    <xf numFmtId="6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6" fontId="5" fillId="0" borderId="16" xfId="0" applyNumberFormat="1" applyFont="1" applyFill="1" applyBorder="1" applyAlignment="1">
      <alignment horizontal="center" wrapText="1"/>
    </xf>
    <xf numFmtId="2" fontId="5" fillId="0" borderId="16" xfId="0" applyNumberFormat="1" applyFont="1" applyFill="1" applyBorder="1" applyAlignment="1">
      <alignment horizontal="center"/>
    </xf>
    <xf numFmtId="166" fontId="5" fillId="0" borderId="19" xfId="2" applyNumberFormat="1" applyFont="1" applyFill="1" applyBorder="1" applyAlignment="1">
      <alignment horizontal="right"/>
    </xf>
    <xf numFmtId="0" fontId="5" fillId="0" borderId="10" xfId="0" applyFont="1" applyFill="1" applyBorder="1"/>
    <xf numFmtId="6" fontId="5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/>
    </xf>
    <xf numFmtId="166" fontId="5" fillId="0" borderId="12" xfId="2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Border="1"/>
    <xf numFmtId="10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/>
    </xf>
    <xf numFmtId="166" fontId="2" fillId="0" borderId="10" xfId="2" applyNumberFormat="1" applyFont="1" applyFill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0" xfId="0" applyFont="1" applyFill="1"/>
    <xf numFmtId="0" fontId="5" fillId="0" borderId="0" xfId="0" applyFont="1" applyBorder="1" applyAlignment="1">
      <alignment horizontal="center"/>
    </xf>
    <xf numFmtId="167" fontId="2" fillId="0" borderId="0" xfId="0" applyNumberFormat="1" applyFont="1" applyBorder="1" applyAlignment="1">
      <alignment horizontal="center" wrapText="1"/>
    </xf>
    <xf numFmtId="167" fontId="2" fillId="0" borderId="0" xfId="0" applyNumberFormat="1" applyFont="1" applyBorder="1" applyAlignment="1">
      <alignment horizontal="center"/>
    </xf>
    <xf numFmtId="0" fontId="6" fillId="0" borderId="0" xfId="0" applyFont="1"/>
    <xf numFmtId="8" fontId="2" fillId="0" borderId="0" xfId="0" applyNumberFormat="1" applyFont="1" applyBorder="1" applyAlignment="1">
      <alignment horizontal="center"/>
    </xf>
    <xf numFmtId="166" fontId="2" fillId="0" borderId="7" xfId="2" applyNumberFormat="1" applyFont="1" applyFill="1" applyBorder="1" applyAlignment="1">
      <alignment horizontal="left"/>
    </xf>
    <xf numFmtId="10" fontId="2" fillId="0" borderId="20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0" fontId="5" fillId="0" borderId="16" xfId="0" applyNumberFormat="1" applyFont="1" applyFill="1" applyBorder="1" applyAlignment="1">
      <alignment horizontal="center" wrapText="1"/>
    </xf>
    <xf numFmtId="0" fontId="8" fillId="0" borderId="10" xfId="0" applyFont="1" applyBorder="1" applyAlignment="1">
      <alignment horizontal="left"/>
    </xf>
    <xf numFmtId="0" fontId="5" fillId="0" borderId="21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166" fontId="5" fillId="0" borderId="22" xfId="2" applyNumberFormat="1" applyFont="1" applyFill="1" applyBorder="1" applyAlignment="1">
      <alignment horizontal="right"/>
    </xf>
    <xf numFmtId="164" fontId="2" fillId="0" borderId="23" xfId="2" applyNumberFormat="1" applyFont="1" applyFill="1" applyBorder="1" applyAlignment="1"/>
    <xf numFmtId="10" fontId="2" fillId="4" borderId="24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left"/>
    </xf>
    <xf numFmtId="166" fontId="2" fillId="0" borderId="10" xfId="0" applyNumberFormat="1" applyFont="1" applyBorder="1"/>
    <xf numFmtId="164" fontId="2" fillId="0" borderId="0" xfId="2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6" fillId="0" borderId="10" xfId="0" applyFont="1" applyBorder="1"/>
    <xf numFmtId="0" fontId="2" fillId="0" borderId="0" xfId="0" applyFont="1" applyBorder="1"/>
    <xf numFmtId="0" fontId="5" fillId="0" borderId="15" xfId="0" applyFont="1" applyBorder="1"/>
    <xf numFmtId="0" fontId="5" fillId="0" borderId="8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166" fontId="5" fillId="0" borderId="19" xfId="2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8" fontId="2" fillId="0" borderId="0" xfId="0" applyNumberFormat="1" applyFont="1" applyAlignment="1">
      <alignment horizontal="center"/>
    </xf>
    <xf numFmtId="10" fontId="2" fillId="4" borderId="0" xfId="0" applyNumberFormat="1" applyFont="1" applyFill="1" applyBorder="1" applyAlignment="1">
      <alignment horizontal="center" wrapText="1"/>
    </xf>
    <xf numFmtId="10" fontId="6" fillId="0" borderId="8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12" xfId="2" applyNumberFormat="1" applyFont="1" applyBorder="1" applyAlignment="1">
      <alignment horizontal="right"/>
    </xf>
    <xf numFmtId="0" fontId="2" fillId="0" borderId="21" xfId="0" applyFont="1" applyFill="1" applyBorder="1"/>
    <xf numFmtId="0" fontId="2" fillId="0" borderId="2" xfId="0" applyFont="1" applyFill="1" applyBorder="1" applyAlignment="1">
      <alignment horizontal="center" wrapText="1"/>
    </xf>
    <xf numFmtId="0" fontId="5" fillId="0" borderId="23" xfId="0" applyFont="1" applyFill="1" applyBorder="1"/>
    <xf numFmtId="0" fontId="2" fillId="0" borderId="24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166" fontId="5" fillId="4" borderId="26" xfId="2" applyNumberFormat="1" applyFont="1" applyFill="1" applyBorder="1" applyAlignment="1">
      <alignment horizontal="right"/>
    </xf>
    <xf numFmtId="43" fontId="2" fillId="0" borderId="0" xfId="1" applyFont="1"/>
    <xf numFmtId="0" fontId="10" fillId="0" borderId="0" xfId="0" applyFont="1" applyBorder="1" applyAlignment="1">
      <alignment horizontal="center"/>
    </xf>
    <xf numFmtId="166" fontId="2" fillId="0" borderId="0" xfId="0" applyNumberFormat="1" applyFont="1"/>
    <xf numFmtId="10" fontId="2" fillId="0" borderId="0" xfId="0" applyNumberFormat="1" applyFont="1"/>
    <xf numFmtId="168" fontId="2" fillId="0" borderId="0" xfId="3" applyNumberFormat="1" applyFont="1"/>
    <xf numFmtId="0" fontId="0" fillId="0" borderId="0" xfId="0" applyFill="1" applyBorder="1"/>
    <xf numFmtId="0" fontId="34" fillId="0" borderId="0" xfId="0" applyFont="1" applyFill="1" applyBorder="1" applyAlignment="1"/>
    <xf numFmtId="0" fontId="0" fillId="0" borderId="0" xfId="0" applyFill="1"/>
    <xf numFmtId="0" fontId="35" fillId="0" borderId="0" xfId="0" applyFont="1" applyFill="1" applyBorder="1"/>
    <xf numFmtId="0" fontId="35" fillId="0" borderId="0" xfId="0" applyFont="1" applyFill="1"/>
    <xf numFmtId="0" fontId="2" fillId="0" borderId="1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40" fontId="37" fillId="0" borderId="8" xfId="0" applyNumberFormat="1" applyFont="1" applyFill="1" applyBorder="1" applyAlignment="1">
      <alignment horizontal="center" vertical="center" wrapText="1"/>
    </xf>
    <xf numFmtId="38" fontId="37" fillId="0" borderId="14" xfId="0" applyNumberFormat="1" applyFont="1" applyFill="1" applyBorder="1" applyAlignment="1">
      <alignment horizontal="center" wrapText="1"/>
    </xf>
    <xf numFmtId="0" fontId="38" fillId="0" borderId="10" xfId="0" applyFont="1" applyFill="1" applyBorder="1" applyAlignment="1">
      <alignment horizontal="left"/>
    </xf>
    <xf numFmtId="40" fontId="38" fillId="0" borderId="10" xfId="0" applyNumberFormat="1" applyFont="1" applyFill="1" applyBorder="1" applyAlignment="1">
      <alignment horizontal="left"/>
    </xf>
    <xf numFmtId="166" fontId="2" fillId="0" borderId="0" xfId="0" applyNumberFormat="1" applyFont="1" applyFill="1" applyBorder="1"/>
    <xf numFmtId="40" fontId="2" fillId="0" borderId="0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right" vertical="center"/>
    </xf>
    <xf numFmtId="40" fontId="2" fillId="0" borderId="0" xfId="0" applyNumberFormat="1" applyFont="1" applyFill="1" applyBorder="1" applyAlignment="1">
      <alignment horizontal="center"/>
    </xf>
    <xf numFmtId="0" fontId="38" fillId="0" borderId="7" xfId="0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right" vertical="center"/>
    </xf>
    <xf numFmtId="166" fontId="5" fillId="0" borderId="15" xfId="2" applyNumberFormat="1" applyFont="1" applyFill="1" applyBorder="1" applyAlignment="1">
      <alignment horizontal="center"/>
    </xf>
    <xf numFmtId="49" fontId="5" fillId="0" borderId="16" xfId="2" applyNumberFormat="1" applyFont="1" applyFill="1" applyBorder="1" applyAlignment="1">
      <alignment horizontal="center"/>
    </xf>
    <xf numFmtId="49" fontId="5" fillId="0" borderId="8" xfId="2" applyNumberFormat="1" applyFont="1" applyFill="1" applyBorder="1" applyAlignment="1">
      <alignment horizontal="center"/>
    </xf>
    <xf numFmtId="0" fontId="39" fillId="0" borderId="0" xfId="0" applyFont="1" applyFill="1" applyAlignment="1">
      <alignment vertical="center"/>
    </xf>
    <xf numFmtId="166" fontId="5" fillId="0" borderId="16" xfId="0" applyNumberFormat="1" applyFont="1" applyFill="1" applyBorder="1" applyAlignment="1">
      <alignment horizontal="right" vertical="center"/>
    </xf>
    <xf numFmtId="40" fontId="5" fillId="0" borderId="16" xfId="0" applyNumberFormat="1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 vertical="center"/>
    </xf>
    <xf numFmtId="40" fontId="5" fillId="0" borderId="0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right"/>
    </xf>
    <xf numFmtId="0" fontId="10" fillId="0" borderId="10" xfId="0" applyFont="1" applyFill="1" applyBorder="1"/>
    <xf numFmtId="0" fontId="10" fillId="0" borderId="0" xfId="0" applyFont="1" applyFill="1" applyBorder="1"/>
    <xf numFmtId="166" fontId="10" fillId="0" borderId="12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8" fontId="2" fillId="0" borderId="0" xfId="0" applyNumberFormat="1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66" fontId="2" fillId="0" borderId="7" xfId="2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66" fontId="2" fillId="0" borderId="10" xfId="0" applyNumberFormat="1" applyFont="1" applyFill="1" applyBorder="1"/>
    <xf numFmtId="0" fontId="0" fillId="0" borderId="10" xfId="0" applyFill="1" applyBorder="1"/>
    <xf numFmtId="0" fontId="2" fillId="0" borderId="25" xfId="0" applyFont="1" applyFill="1" applyBorder="1" applyAlignment="1">
      <alignment horizontal="left"/>
    </xf>
    <xf numFmtId="0" fontId="5" fillId="0" borderId="44" xfId="0" applyFont="1" applyFill="1" applyBorder="1"/>
    <xf numFmtId="0" fontId="5" fillId="0" borderId="45" xfId="0" applyFont="1" applyFill="1" applyBorder="1" applyAlignment="1">
      <alignment horizontal="center" vertical="center"/>
    </xf>
    <xf numFmtId="166" fontId="5" fillId="0" borderId="46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44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166" fontId="5" fillId="0" borderId="22" xfId="0" applyNumberFormat="1" applyFont="1" applyFill="1" applyBorder="1" applyAlignment="1">
      <alignment horizontal="right"/>
    </xf>
    <xf numFmtId="167" fontId="5" fillId="0" borderId="12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0" fontId="45" fillId="0" borderId="4" xfId="0" applyFont="1" applyFill="1" applyBorder="1"/>
    <xf numFmtId="9" fontId="45" fillId="0" borderId="5" xfId="0" applyNumberFormat="1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/>
    </xf>
    <xf numFmtId="167" fontId="36" fillId="0" borderId="6" xfId="0" applyNumberFormat="1" applyFont="1" applyFill="1" applyBorder="1" applyAlignment="1">
      <alignment horizontal="right"/>
    </xf>
    <xf numFmtId="0" fontId="2" fillId="0" borderId="4" xfId="0" applyFont="1" applyFill="1" applyBorder="1"/>
    <xf numFmtId="9" fontId="2" fillId="0" borderId="5" xfId="0" applyNumberFormat="1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right"/>
    </xf>
    <xf numFmtId="0" fontId="50" fillId="0" borderId="0" xfId="0" applyFont="1" applyFill="1"/>
    <xf numFmtId="0" fontId="0" fillId="0" borderId="0" xfId="0" applyFont="1" applyFill="1"/>
    <xf numFmtId="10" fontId="0" fillId="0" borderId="0" xfId="3" applyNumberFormat="1" applyFont="1" applyFill="1"/>
    <xf numFmtId="167" fontId="0" fillId="0" borderId="0" xfId="0" applyNumberFormat="1" applyFill="1"/>
    <xf numFmtId="166" fontId="10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52" fillId="0" borderId="0" xfId="0" applyFont="1"/>
    <xf numFmtId="0" fontId="52" fillId="0" borderId="0" xfId="0" applyFont="1" applyAlignment="1"/>
    <xf numFmtId="0" fontId="52" fillId="0" borderId="0" xfId="0" applyFont="1" applyAlignment="1">
      <alignment horizontal="center"/>
    </xf>
    <xf numFmtId="14" fontId="52" fillId="0" borderId="0" xfId="0" applyNumberFormat="1" applyFont="1" applyAlignment="1">
      <alignment horizontal="left"/>
    </xf>
    <xf numFmtId="0" fontId="53" fillId="0" borderId="0" xfId="0" applyFont="1" applyFill="1" applyBorder="1" applyAlignment="1"/>
    <xf numFmtId="0" fontId="54" fillId="0" borderId="9" xfId="0" applyFont="1" applyFill="1" applyBorder="1" applyAlignment="1">
      <alignment horizontal="center"/>
    </xf>
    <xf numFmtId="0" fontId="55" fillId="0" borderId="10" xfId="0" applyFont="1" applyFill="1" applyBorder="1"/>
    <xf numFmtId="0" fontId="55" fillId="0" borderId="18" xfId="0" applyFont="1" applyFill="1" applyBorder="1" applyAlignment="1">
      <alignment horizontal="left"/>
    </xf>
    <xf numFmtId="0" fontId="52" fillId="0" borderId="0" xfId="0" applyFont="1" applyFill="1" applyBorder="1"/>
    <xf numFmtId="0" fontId="56" fillId="0" borderId="0" xfId="0" applyFont="1" applyAlignment="1">
      <alignment horizontal="left"/>
    </xf>
    <xf numFmtId="0" fontId="52" fillId="0" borderId="0" xfId="0" applyFont="1" applyFill="1"/>
    <xf numFmtId="0" fontId="55" fillId="0" borderId="7" xfId="0" applyFont="1" applyFill="1" applyBorder="1"/>
    <xf numFmtId="0" fontId="56" fillId="0" borderId="0" xfId="0" applyFont="1" applyAlignment="1">
      <alignment horizontal="center"/>
    </xf>
    <xf numFmtId="0" fontId="56" fillId="0" borderId="0" xfId="0" applyFont="1"/>
    <xf numFmtId="166" fontId="54" fillId="0" borderId="15" xfId="2" applyNumberFormat="1" applyFont="1" applyFill="1" applyBorder="1" applyAlignment="1">
      <alignment horizontal="center"/>
    </xf>
    <xf numFmtId="166" fontId="54" fillId="0" borderId="16" xfId="2" applyNumberFormat="1" applyFont="1" applyFill="1" applyBorder="1" applyAlignment="1"/>
    <xf numFmtId="166" fontId="54" fillId="0" borderId="40" xfId="2" applyNumberFormat="1" applyFont="1" applyFill="1" applyBorder="1" applyAlignment="1"/>
    <xf numFmtId="0" fontId="55" fillId="0" borderId="17" xfId="0" applyFont="1" applyFill="1" applyBorder="1" applyAlignment="1">
      <alignment horizontal="left"/>
    </xf>
    <xf numFmtId="0" fontId="52" fillId="0" borderId="47" xfId="0" applyFont="1" applyBorder="1" applyAlignment="1">
      <alignment horizontal="left"/>
    </xf>
    <xf numFmtId="0" fontId="52" fillId="0" borderId="2" xfId="0" applyFont="1" applyBorder="1" applyAlignment="1">
      <alignment horizontal="center"/>
    </xf>
    <xf numFmtId="0" fontId="52" fillId="0" borderId="2" xfId="0" applyFont="1" applyBorder="1" applyAlignment="1">
      <alignment horizontal="right"/>
    </xf>
    <xf numFmtId="0" fontId="52" fillId="0" borderId="3" xfId="0" applyFont="1" applyBorder="1" applyAlignment="1">
      <alignment horizontal="center"/>
    </xf>
    <xf numFmtId="2" fontId="52" fillId="0" borderId="2" xfId="0" applyNumberFormat="1" applyFont="1" applyBorder="1" applyAlignment="1">
      <alignment horizontal="center"/>
    </xf>
    <xf numFmtId="0" fontId="52" fillId="0" borderId="48" xfId="0" applyFont="1" applyBorder="1" applyAlignment="1">
      <alignment horizontal="left"/>
    </xf>
    <xf numFmtId="0" fontId="56" fillId="0" borderId="0" xfId="0" applyFont="1" applyBorder="1" applyAlignment="1">
      <alignment horizontal="center"/>
    </xf>
    <xf numFmtId="0" fontId="56" fillId="0" borderId="41" xfId="0" applyFont="1" applyBorder="1" applyAlignment="1">
      <alignment horizontal="center"/>
    </xf>
    <xf numFmtId="0" fontId="55" fillId="0" borderId="10" xfId="0" applyFont="1" applyFill="1" applyBorder="1" applyAlignment="1">
      <alignment vertical="center"/>
    </xf>
    <xf numFmtId="2" fontId="55" fillId="0" borderId="0" xfId="0" applyNumberFormat="1" applyFont="1" applyFill="1" applyBorder="1" applyAlignment="1">
      <alignment horizontal="center" vertical="center"/>
    </xf>
    <xf numFmtId="166" fontId="52" fillId="0" borderId="2" xfId="0" applyNumberFormat="1" applyFont="1" applyBorder="1" applyAlignment="1">
      <alignment horizontal="right"/>
    </xf>
    <xf numFmtId="166" fontId="52" fillId="0" borderId="3" xfId="0" applyNumberFormat="1" applyFont="1" applyBorder="1" applyAlignment="1">
      <alignment horizontal="right"/>
    </xf>
    <xf numFmtId="171" fontId="52" fillId="0" borderId="0" xfId="0" applyNumberFormat="1" applyFont="1"/>
    <xf numFmtId="6" fontId="52" fillId="0" borderId="2" xfId="0" applyNumberFormat="1" applyFont="1" applyBorder="1" applyAlignment="1">
      <alignment horizontal="center"/>
    </xf>
    <xf numFmtId="166" fontId="52" fillId="0" borderId="0" xfId="0" applyNumberFormat="1" applyFont="1" applyFill="1" applyBorder="1" applyAlignment="1">
      <alignment horizontal="right"/>
    </xf>
    <xf numFmtId="2" fontId="52" fillId="0" borderId="0" xfId="0" applyNumberFormat="1" applyFont="1" applyBorder="1" applyAlignment="1">
      <alignment horizontal="center"/>
    </xf>
    <xf numFmtId="166" fontId="52" fillId="0" borderId="41" xfId="0" applyNumberFormat="1" applyFont="1" applyBorder="1" applyAlignment="1">
      <alignment horizontal="right"/>
    </xf>
    <xf numFmtId="6" fontId="52" fillId="0" borderId="0" xfId="0" applyNumberFormat="1" applyFont="1" applyFill="1" applyBorder="1" applyAlignment="1">
      <alignment horizontal="center"/>
    </xf>
    <xf numFmtId="166" fontId="55" fillId="0" borderId="10" xfId="2" applyNumberFormat="1" applyFont="1" applyFill="1" applyBorder="1" applyAlignment="1">
      <alignment horizontal="left"/>
    </xf>
    <xf numFmtId="0" fontId="55" fillId="0" borderId="18" xfId="0" applyFont="1" applyBorder="1" applyAlignment="1">
      <alignment horizontal="left"/>
    </xf>
    <xf numFmtId="0" fontId="56" fillId="0" borderId="51" xfId="0" applyFont="1" applyBorder="1" applyAlignment="1">
      <alignment horizontal="left"/>
    </xf>
    <xf numFmtId="166" fontId="56" fillId="0" borderId="16" xfId="0" applyNumberFormat="1" applyFont="1" applyBorder="1" applyAlignment="1">
      <alignment horizontal="right"/>
    </xf>
    <xf numFmtId="2" fontId="56" fillId="0" borderId="16" xfId="0" applyNumberFormat="1" applyFont="1" applyBorder="1" applyAlignment="1">
      <alignment horizontal="center"/>
    </xf>
    <xf numFmtId="166" fontId="56" fillId="0" borderId="40" xfId="0" applyNumberFormat="1" applyFont="1" applyBorder="1" applyAlignment="1">
      <alignment horizontal="right"/>
    </xf>
    <xf numFmtId="0" fontId="56" fillId="0" borderId="16" xfId="0" applyFont="1" applyBorder="1" applyAlignment="1">
      <alignment horizontal="center"/>
    </xf>
    <xf numFmtId="0" fontId="52" fillId="0" borderId="10" xfId="0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0" fontId="52" fillId="0" borderId="0" xfId="0" applyNumberFormat="1" applyFont="1" applyBorder="1" applyAlignment="1">
      <alignment horizontal="center"/>
    </xf>
    <xf numFmtId="166" fontId="55" fillId="0" borderId="7" xfId="2" applyNumberFormat="1" applyFont="1" applyFill="1" applyBorder="1" applyAlignment="1">
      <alignment horizontal="left"/>
    </xf>
    <xf numFmtId="0" fontId="55" fillId="0" borderId="9" xfId="0" applyFont="1" applyBorder="1" applyAlignment="1">
      <alignment horizontal="left"/>
    </xf>
    <xf numFmtId="0" fontId="56" fillId="0" borderId="0" xfId="0" applyFont="1" applyFill="1" applyBorder="1"/>
    <xf numFmtId="0" fontId="56" fillId="0" borderId="48" xfId="0" applyFont="1" applyBorder="1" applyAlignment="1">
      <alignment horizontal="left"/>
    </xf>
    <xf numFmtId="0" fontId="56" fillId="0" borderId="2" xfId="0" applyFont="1" applyBorder="1" applyAlignment="1">
      <alignment horizontal="center"/>
    </xf>
    <xf numFmtId="166" fontId="56" fillId="0" borderId="41" xfId="0" applyNumberFormat="1" applyFont="1" applyBorder="1" applyAlignment="1">
      <alignment horizontal="right"/>
    </xf>
    <xf numFmtId="167" fontId="52" fillId="0" borderId="0" xfId="0" applyNumberFormat="1" applyFont="1" applyBorder="1" applyAlignment="1">
      <alignment horizontal="center"/>
    </xf>
    <xf numFmtId="3" fontId="52" fillId="0" borderId="0" xfId="0" applyNumberFormat="1" applyFont="1" applyBorder="1" applyAlignment="1">
      <alignment horizontal="center"/>
    </xf>
    <xf numFmtId="164" fontId="55" fillId="0" borderId="23" xfId="2" applyNumberFormat="1" applyFont="1" applyFill="1" applyBorder="1" applyAlignment="1"/>
    <xf numFmtId="167" fontId="40" fillId="0" borderId="0" xfId="0" applyNumberFormat="1" applyFont="1" applyBorder="1" applyAlignment="1">
      <alignment horizontal="center"/>
    </xf>
    <xf numFmtId="166" fontId="52" fillId="0" borderId="48" xfId="0" applyNumberFormat="1" applyFont="1" applyBorder="1" applyAlignment="1">
      <alignment horizontal="left"/>
    </xf>
    <xf numFmtId="166" fontId="40" fillId="0" borderId="48" xfId="0" applyNumberFormat="1" applyFont="1" applyBorder="1" applyAlignment="1">
      <alignment horizontal="left"/>
    </xf>
    <xf numFmtId="166" fontId="40" fillId="0" borderId="41" xfId="0" applyNumberFormat="1" applyFont="1" applyBorder="1" applyAlignment="1">
      <alignment horizontal="right"/>
    </xf>
    <xf numFmtId="0" fontId="56" fillId="0" borderId="54" xfId="0" applyFont="1" applyBorder="1" applyAlignment="1">
      <alignment horizontal="left"/>
    </xf>
    <xf numFmtId="0" fontId="56" fillId="0" borderId="45" xfId="0" applyFont="1" applyBorder="1" applyAlignment="1">
      <alignment horizontal="center"/>
    </xf>
    <xf numFmtId="166" fontId="56" fillId="0" borderId="49" xfId="0" applyNumberFormat="1" applyFont="1" applyBorder="1" applyAlignment="1">
      <alignment horizontal="right"/>
    </xf>
    <xf numFmtId="0" fontId="56" fillId="0" borderId="0" xfId="0" applyFont="1" applyFill="1"/>
    <xf numFmtId="10" fontId="52" fillId="4" borderId="0" xfId="0" applyNumberFormat="1" applyFont="1" applyFill="1" applyBorder="1" applyAlignment="1">
      <alignment horizontal="center"/>
    </xf>
    <xf numFmtId="10" fontId="40" fillId="0" borderId="0" xfId="0" applyNumberFormat="1" applyFont="1" applyFill="1" applyBorder="1" applyAlignment="1">
      <alignment horizontal="center"/>
    </xf>
    <xf numFmtId="10" fontId="56" fillId="0" borderId="16" xfId="0" applyNumberFormat="1" applyFont="1" applyBorder="1" applyAlignment="1">
      <alignment horizontal="center"/>
    </xf>
    <xf numFmtId="0" fontId="52" fillId="0" borderId="50" xfId="0" applyFont="1" applyBorder="1" applyAlignment="1">
      <alignment horizontal="left"/>
    </xf>
    <xf numFmtId="0" fontId="52" fillId="0" borderId="8" xfId="0" applyFont="1" applyBorder="1" applyAlignment="1">
      <alignment horizontal="center"/>
    </xf>
    <xf numFmtId="167" fontId="56" fillId="4" borderId="20" xfId="0" applyNumberFormat="1" applyFont="1" applyFill="1" applyBorder="1" applyAlignment="1">
      <alignment horizontal="right"/>
    </xf>
    <xf numFmtId="167" fontId="52" fillId="0" borderId="0" xfId="0" applyNumberFormat="1" applyFont="1" applyAlignment="1">
      <alignment horizontal="center"/>
    </xf>
    <xf numFmtId="172" fontId="52" fillId="0" borderId="0" xfId="1" applyNumberFormat="1" applyFont="1" applyAlignment="1">
      <alignment horizontal="center"/>
    </xf>
    <xf numFmtId="10" fontId="52" fillId="0" borderId="0" xfId="3" applyNumberFormat="1" applyFont="1" applyAlignment="1">
      <alignment horizontal="center"/>
    </xf>
    <xf numFmtId="10" fontId="52" fillId="0" borderId="0" xfId="3" applyNumberFormat="1" applyFont="1"/>
    <xf numFmtId="171" fontId="52" fillId="0" borderId="0" xfId="0" applyNumberFormat="1" applyFont="1" applyAlignment="1">
      <alignment horizontal="center"/>
    </xf>
    <xf numFmtId="0" fontId="57" fillId="0" borderId="0" xfId="0" applyFont="1" applyBorder="1"/>
    <xf numFmtId="14" fontId="57" fillId="0" borderId="0" xfId="0" applyNumberFormat="1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0" xfId="0" applyFont="1"/>
    <xf numFmtId="0" fontId="57" fillId="0" borderId="51" xfId="0" applyFont="1" applyFill="1" applyBorder="1"/>
    <xf numFmtId="0" fontId="57" fillId="0" borderId="16" xfId="0" applyFont="1" applyFill="1" applyBorder="1" applyAlignment="1">
      <alignment horizontal="center"/>
    </xf>
    <xf numFmtId="0" fontId="57" fillId="0" borderId="40" xfId="0" applyFont="1" applyFill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7" fillId="0" borderId="51" xfId="0" applyFont="1" applyFill="1" applyBorder="1" applyAlignment="1">
      <alignment horizontal="right"/>
    </xf>
    <xf numFmtId="0" fontId="57" fillId="0" borderId="16" xfId="0" applyFont="1" applyFill="1" applyBorder="1" applyAlignment="1">
      <alignment horizontal="right"/>
    </xf>
    <xf numFmtId="0" fontId="57" fillId="0" borderId="7" xfId="0" applyFont="1" applyFill="1" applyBorder="1" applyAlignment="1">
      <alignment horizontal="right"/>
    </xf>
    <xf numFmtId="0" fontId="57" fillId="0" borderId="8" xfId="0" applyFont="1" applyFill="1" applyBorder="1" applyAlignment="1">
      <alignment horizontal="center"/>
    </xf>
    <xf numFmtId="0" fontId="57" fillId="0" borderId="8" xfId="0" applyFont="1" applyFill="1" applyBorder="1" applyAlignment="1">
      <alignment horizontal="right"/>
    </xf>
    <xf numFmtId="0" fontId="57" fillId="0" borderId="14" xfId="0" applyFont="1" applyFill="1" applyBorder="1" applyAlignment="1">
      <alignment horizontal="center"/>
    </xf>
    <xf numFmtId="0" fontId="57" fillId="0" borderId="48" xfId="0" applyFont="1" applyFill="1" applyBorder="1"/>
    <xf numFmtId="0" fontId="57" fillId="0" borderId="0" xfId="0" applyFont="1" applyFill="1" applyBorder="1" applyAlignment="1">
      <alignment horizontal="center"/>
    </xf>
    <xf numFmtId="0" fontId="57" fillId="0" borderId="41" xfId="0" applyFont="1" applyFill="1" applyBorder="1" applyAlignment="1">
      <alignment horizontal="center"/>
    </xf>
    <xf numFmtId="0" fontId="57" fillId="0" borderId="10" xfId="0" applyFont="1" applyFill="1" applyBorder="1"/>
    <xf numFmtId="0" fontId="2" fillId="0" borderId="18" xfId="0" applyFont="1" applyBorder="1"/>
    <xf numFmtId="0" fontId="57" fillId="0" borderId="0" xfId="0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1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57" fillId="0" borderId="10" xfId="0" applyFont="1" applyFill="1" applyBorder="1" applyAlignment="1">
      <alignment vertical="center"/>
    </xf>
    <xf numFmtId="0" fontId="57" fillId="0" borderId="12" xfId="0" applyFont="1" applyFill="1" applyBorder="1" applyAlignment="1">
      <alignment horizontal="center"/>
    </xf>
    <xf numFmtId="0" fontId="57" fillId="0" borderId="0" xfId="0" applyFont="1" applyFill="1"/>
    <xf numFmtId="6" fontId="38" fillId="0" borderId="0" xfId="0" applyNumberFormat="1" applyFont="1" applyFill="1" applyBorder="1" applyAlignment="1">
      <alignment horizontal="right"/>
    </xf>
    <xf numFmtId="2" fontId="57" fillId="0" borderId="0" xfId="0" applyNumberFormat="1" applyFont="1" applyFill="1" applyBorder="1" applyAlignment="1">
      <alignment horizontal="center"/>
    </xf>
    <xf numFmtId="6" fontId="57" fillId="0" borderId="12" xfId="0" applyNumberFormat="1" applyFont="1" applyFill="1" applyBorder="1" applyAlignment="1">
      <alignment horizontal="right"/>
    </xf>
    <xf numFmtId="0" fontId="57" fillId="0" borderId="50" xfId="0" applyFont="1" applyFill="1" applyBorder="1"/>
    <xf numFmtId="0" fontId="57" fillId="0" borderId="20" xfId="0" applyFont="1" applyFill="1" applyBorder="1" applyAlignment="1">
      <alignment horizontal="center"/>
    </xf>
    <xf numFmtId="0" fontId="57" fillId="0" borderId="0" xfId="0" applyFont="1" applyFill="1" applyBorder="1" applyAlignment="1">
      <alignment vertical="center"/>
    </xf>
    <xf numFmtId="6" fontId="57" fillId="0" borderId="12" xfId="0" applyNumberFormat="1" applyFont="1" applyFill="1" applyBorder="1" applyAlignment="1">
      <alignment horizontal="right" vertical="center"/>
    </xf>
    <xf numFmtId="0" fontId="57" fillId="0" borderId="0" xfId="0" applyFont="1" applyFill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2" fillId="0" borderId="17" xfId="0" applyFont="1" applyBorder="1"/>
    <xf numFmtId="0" fontId="6" fillId="0" borderId="0" xfId="0" applyFont="1" applyFill="1" applyAlignment="1">
      <alignment horizontal="right"/>
    </xf>
    <xf numFmtId="0" fontId="57" fillId="0" borderId="8" xfId="0" applyFont="1" applyFill="1" applyBorder="1"/>
    <xf numFmtId="170" fontId="57" fillId="0" borderId="20" xfId="3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 vertical="center"/>
    </xf>
    <xf numFmtId="6" fontId="7" fillId="0" borderId="16" xfId="0" applyNumberFormat="1" applyFont="1" applyFill="1" applyBorder="1" applyAlignment="1">
      <alignment horizontal="right"/>
    </xf>
    <xf numFmtId="2" fontId="7" fillId="0" borderId="16" xfId="0" applyNumberFormat="1" applyFont="1" applyFill="1" applyBorder="1" applyAlignment="1">
      <alignment horizontal="center"/>
    </xf>
    <xf numFmtId="5" fontId="7" fillId="0" borderId="19" xfId="0" applyNumberFormat="1" applyFont="1" applyFill="1" applyBorder="1" applyAlignment="1">
      <alignment horizontal="right"/>
    </xf>
    <xf numFmtId="0" fontId="57" fillId="0" borderId="12" xfId="0" applyFont="1" applyFill="1" applyBorder="1" applyAlignment="1">
      <alignment horizontal="right"/>
    </xf>
    <xf numFmtId="10" fontId="57" fillId="0" borderId="0" xfId="0" applyNumberFormat="1" applyFont="1" applyFill="1" applyBorder="1" applyAlignment="1">
      <alignment horizontal="right"/>
    </xf>
    <xf numFmtId="5" fontId="57" fillId="0" borderId="12" xfId="0" applyNumberFormat="1" applyFont="1" applyFill="1" applyBorder="1" applyAlignment="1">
      <alignment horizontal="right"/>
    </xf>
    <xf numFmtId="0" fontId="2" fillId="0" borderId="13" xfId="0" applyFont="1" applyBorder="1"/>
    <xf numFmtId="0" fontId="7" fillId="0" borderId="16" xfId="0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7" fontId="57" fillId="0" borderId="0" xfId="0" applyNumberFormat="1" applyFont="1" applyFill="1" applyBorder="1" applyAlignment="1">
      <alignment horizontal="right"/>
    </xf>
    <xf numFmtId="8" fontId="57" fillId="0" borderId="0" xfId="0" applyNumberFormat="1" applyFont="1" applyFill="1" applyBorder="1" applyAlignment="1">
      <alignment horizontal="center"/>
    </xf>
    <xf numFmtId="0" fontId="2" fillId="0" borderId="56" xfId="0" applyFont="1" applyBorder="1" applyAlignment="1">
      <alignment horizontal="left"/>
    </xf>
    <xf numFmtId="0" fontId="57" fillId="0" borderId="21" xfId="0" applyFont="1" applyFill="1" applyBorder="1"/>
    <xf numFmtId="0" fontId="57" fillId="0" borderId="2" xfId="0" applyFont="1" applyFill="1" applyBorder="1"/>
    <xf numFmtId="0" fontId="57" fillId="0" borderId="2" xfId="0" applyFont="1" applyFill="1" applyBorder="1" applyAlignment="1">
      <alignment horizontal="right"/>
    </xf>
    <xf numFmtId="0" fontId="57" fillId="0" borderId="2" xfId="0" applyFont="1" applyFill="1" applyBorder="1" applyAlignment="1">
      <alignment horizontal="center"/>
    </xf>
    <xf numFmtId="5" fontId="57" fillId="0" borderId="22" xfId="0" applyNumberFormat="1" applyFont="1" applyFill="1" applyBorder="1" applyAlignment="1">
      <alignment horizontal="right"/>
    </xf>
    <xf numFmtId="10" fontId="57" fillId="0" borderId="0" xfId="3" applyNumberFormat="1" applyFont="1" applyFill="1" applyBorder="1" applyAlignment="1">
      <alignment horizontal="right"/>
    </xf>
    <xf numFmtId="0" fontId="7" fillId="0" borderId="0" xfId="0" applyFont="1" applyFill="1"/>
    <xf numFmtId="166" fontId="6" fillId="0" borderId="10" xfId="0" applyNumberFormat="1" applyFont="1" applyFill="1" applyBorder="1"/>
    <xf numFmtId="5" fontId="6" fillId="0" borderId="12" xfId="0" applyNumberFormat="1" applyFont="1" applyFill="1" applyBorder="1" applyAlignment="1">
      <alignment horizontal="right"/>
    </xf>
    <xf numFmtId="0" fontId="7" fillId="0" borderId="57" xfId="0" applyFont="1" applyFill="1" applyBorder="1"/>
    <xf numFmtId="0" fontId="7" fillId="0" borderId="58" xfId="0" applyFont="1" applyFill="1" applyBorder="1"/>
    <xf numFmtId="0" fontId="7" fillId="0" borderId="58" xfId="0" applyFont="1" applyFill="1" applyBorder="1" applyAlignment="1">
      <alignment horizontal="right"/>
    </xf>
    <xf numFmtId="10" fontId="7" fillId="0" borderId="58" xfId="3" applyNumberFormat="1" applyFont="1" applyFill="1" applyBorder="1" applyAlignment="1">
      <alignment horizontal="center"/>
    </xf>
    <xf numFmtId="5" fontId="7" fillId="0" borderId="59" xfId="0" applyNumberFormat="1" applyFont="1" applyFill="1" applyBorder="1" applyAlignment="1">
      <alignment horizontal="right"/>
    </xf>
    <xf numFmtId="0" fontId="7" fillId="0" borderId="44" xfId="0" applyFont="1" applyFill="1" applyBorder="1"/>
    <xf numFmtId="0" fontId="7" fillId="0" borderId="45" xfId="0" applyFont="1" applyFill="1" applyBorder="1"/>
    <xf numFmtId="0" fontId="7" fillId="0" borderId="45" xfId="0" applyFont="1" applyFill="1" applyBorder="1" applyAlignment="1">
      <alignment horizontal="right"/>
    </xf>
    <xf numFmtId="10" fontId="7" fillId="0" borderId="45" xfId="3" applyNumberFormat="1" applyFont="1" applyFill="1" applyBorder="1" applyAlignment="1">
      <alignment horizontal="center"/>
    </xf>
    <xf numFmtId="5" fontId="7" fillId="0" borderId="46" xfId="0" applyNumberFormat="1" applyFont="1" applyFill="1" applyBorder="1" applyAlignment="1">
      <alignment horizontal="right"/>
    </xf>
    <xf numFmtId="10" fontId="57" fillId="0" borderId="0" xfId="3" applyNumberFormat="1" applyFont="1" applyFill="1" applyBorder="1" applyAlignment="1">
      <alignment horizontal="center"/>
    </xf>
    <xf numFmtId="10" fontId="57" fillId="4" borderId="0" xfId="3" applyNumberFormat="1" applyFont="1" applyFill="1" applyBorder="1" applyAlignment="1">
      <alignment horizontal="right"/>
    </xf>
    <xf numFmtId="10" fontId="6" fillId="0" borderId="0" xfId="3" applyNumberFormat="1" applyFont="1" applyFill="1" applyBorder="1" applyAlignment="1">
      <alignment horizontal="right"/>
    </xf>
    <xf numFmtId="10" fontId="7" fillId="0" borderId="16" xfId="3" applyNumberFormat="1" applyFont="1" applyFill="1" applyBorder="1" applyAlignment="1">
      <alignment horizontal="right"/>
    </xf>
    <xf numFmtId="0" fontId="5" fillId="0" borderId="16" xfId="0" applyFont="1" applyBorder="1"/>
    <xf numFmtId="0" fontId="57" fillId="0" borderId="23" xfId="0" applyFont="1" applyFill="1" applyBorder="1"/>
    <xf numFmtId="0" fontId="57" fillId="0" borderId="24" xfId="0" applyFont="1" applyFill="1" applyBorder="1"/>
    <xf numFmtId="0" fontId="57" fillId="0" borderId="24" xfId="0" applyFont="1" applyFill="1" applyBorder="1" applyAlignment="1">
      <alignment horizontal="right"/>
    </xf>
    <xf numFmtId="0" fontId="57" fillId="0" borderId="24" xfId="0" applyFont="1" applyFill="1" applyBorder="1" applyAlignment="1">
      <alignment horizontal="center"/>
    </xf>
    <xf numFmtId="7" fontId="7" fillId="4" borderId="26" xfId="0" applyNumberFormat="1" applyFont="1" applyFill="1" applyBorder="1" applyAlignment="1">
      <alignment horizontal="right"/>
    </xf>
    <xf numFmtId="7" fontId="58" fillId="0" borderId="0" xfId="0" applyNumberFormat="1" applyFont="1" applyFill="1" applyBorder="1" applyAlignment="1">
      <alignment horizontal="right"/>
    </xf>
    <xf numFmtId="167" fontId="2" fillId="0" borderId="0" xfId="0" applyNumberFormat="1" applyFont="1" applyAlignment="1">
      <alignment horizontal="right"/>
    </xf>
    <xf numFmtId="0" fontId="57" fillId="0" borderId="0" xfId="0" applyFont="1" applyBorder="1" applyAlignment="1"/>
    <xf numFmtId="0" fontId="57" fillId="0" borderId="0" xfId="0" quotePrefix="1" applyFont="1" applyBorder="1" applyAlignment="1"/>
    <xf numFmtId="10" fontId="2" fillId="0" borderId="0" xfId="3" applyNumberFormat="1" applyFont="1" applyAlignment="1">
      <alignment horizontal="center"/>
    </xf>
    <xf numFmtId="1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59" fillId="0" borderId="0" xfId="0" applyNumberFormat="1" applyFont="1" applyAlignment="1">
      <alignment horizontal="left"/>
    </xf>
    <xf numFmtId="166" fontId="38" fillId="0" borderId="61" xfId="0" applyNumberFormat="1" applyFont="1" applyBorder="1" applyAlignment="1">
      <alignment horizontal="center"/>
    </xf>
    <xf numFmtId="166" fontId="37" fillId="4" borderId="63" xfId="0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horizontal="center"/>
    </xf>
    <xf numFmtId="166" fontId="37" fillId="4" borderId="68" xfId="0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0" fillId="26" borderId="11" xfId="66" applyFont="1" applyFill="1" applyBorder="1"/>
    <xf numFmtId="0" fontId="61" fillId="26" borderId="28" xfId="66" applyFont="1" applyFill="1" applyBorder="1"/>
    <xf numFmtId="0" fontId="16" fillId="0" borderId="0" xfId="66"/>
    <xf numFmtId="0" fontId="61" fillId="26" borderId="0" xfId="66" applyFont="1" applyFill="1" applyBorder="1"/>
    <xf numFmtId="0" fontId="62" fillId="26" borderId="12" xfId="66" applyFont="1" applyFill="1" applyBorder="1"/>
    <xf numFmtId="0" fontId="63" fillId="26" borderId="24" xfId="66" applyFont="1" applyFill="1" applyBorder="1"/>
    <xf numFmtId="0" fontId="62" fillId="26" borderId="26" xfId="66" applyFont="1" applyFill="1" applyBorder="1"/>
    <xf numFmtId="0" fontId="62" fillId="0" borderId="0" xfId="66" applyFont="1"/>
    <xf numFmtId="0" fontId="64" fillId="0" borderId="0" xfId="79" applyFont="1" applyFill="1"/>
    <xf numFmtId="0" fontId="64" fillId="27" borderId="0" xfId="79" applyFont="1" applyFill="1"/>
    <xf numFmtId="0" fontId="64" fillId="28" borderId="0" xfId="79" applyFont="1" applyFill="1"/>
    <xf numFmtId="0" fontId="64" fillId="29" borderId="0" xfId="79" applyFont="1" applyFill="1"/>
    <xf numFmtId="0" fontId="64" fillId="30" borderId="0" xfId="79" applyFont="1" applyFill="1"/>
    <xf numFmtId="0" fontId="64" fillId="31" borderId="0" xfId="79" applyFont="1" applyFill="1"/>
    <xf numFmtId="14" fontId="62" fillId="0" borderId="0" xfId="66" applyNumberFormat="1" applyFont="1"/>
    <xf numFmtId="173" fontId="16" fillId="0" borderId="0" xfId="66" applyNumberFormat="1"/>
    <xf numFmtId="2" fontId="16" fillId="0" borderId="0" xfId="66" applyNumberFormat="1"/>
    <xf numFmtId="0" fontId="62" fillId="0" borderId="0" xfId="73" applyFont="1"/>
    <xf numFmtId="0" fontId="16" fillId="0" borderId="0" xfId="73"/>
    <xf numFmtId="0" fontId="65" fillId="0" borderId="0" xfId="73" applyFont="1"/>
    <xf numFmtId="0" fontId="66" fillId="0" borderId="0" xfId="73" applyFont="1"/>
    <xf numFmtId="0" fontId="16" fillId="0" borderId="47" xfId="73" applyBorder="1"/>
    <xf numFmtId="0" fontId="16" fillId="0" borderId="2" xfId="73" applyBorder="1"/>
    <xf numFmtId="0" fontId="16" fillId="0" borderId="3" xfId="73" applyBorder="1"/>
    <xf numFmtId="174" fontId="16" fillId="0" borderId="0" xfId="66" applyNumberFormat="1"/>
    <xf numFmtId="0" fontId="16" fillId="0" borderId="48" xfId="73" applyBorder="1"/>
    <xf numFmtId="0" fontId="16" fillId="0" borderId="0" xfId="73" applyBorder="1" applyAlignment="1">
      <alignment horizontal="right"/>
    </xf>
    <xf numFmtId="0" fontId="16" fillId="0" borderId="0" xfId="73" applyBorder="1"/>
    <xf numFmtId="0" fontId="16" fillId="0" borderId="41" xfId="73" applyBorder="1"/>
    <xf numFmtId="0" fontId="67" fillId="0" borderId="41" xfId="73" applyFont="1" applyBorder="1" applyAlignment="1">
      <alignment horizontal="center"/>
    </xf>
    <xf numFmtId="173" fontId="16" fillId="0" borderId="41" xfId="73" applyNumberFormat="1" applyBorder="1" applyAlignment="1">
      <alignment horizontal="center"/>
    </xf>
    <xf numFmtId="0" fontId="16" fillId="0" borderId="41" xfId="73" applyBorder="1" applyAlignment="1">
      <alignment horizontal="center"/>
    </xf>
    <xf numFmtId="0" fontId="62" fillId="4" borderId="0" xfId="73" applyFont="1" applyFill="1" applyBorder="1" applyAlignment="1">
      <alignment horizontal="right"/>
    </xf>
    <xf numFmtId="10" fontId="62" fillId="4" borderId="41" xfId="87" applyNumberFormat="1" applyFont="1" applyFill="1" applyBorder="1" applyAlignment="1">
      <alignment horizontal="center"/>
    </xf>
    <xf numFmtId="0" fontId="16" fillId="0" borderId="50" xfId="73" applyBorder="1"/>
    <xf numFmtId="0" fontId="16" fillId="0" borderId="8" xfId="73" applyBorder="1"/>
    <xf numFmtId="0" fontId="16" fillId="0" borderId="20" xfId="73" applyBorder="1"/>
    <xf numFmtId="165" fontId="2" fillId="0" borderId="0" xfId="1" applyNumberFormat="1" applyFont="1" applyFill="1" applyBorder="1"/>
    <xf numFmtId="0" fontId="2" fillId="0" borderId="0" xfId="0" applyFont="1" applyFill="1" applyBorder="1"/>
    <xf numFmtId="166" fontId="5" fillId="0" borderId="0" xfId="2" applyNumberFormat="1" applyFont="1" applyFill="1" applyBorder="1" applyAlignment="1">
      <alignment horizontal="right"/>
    </xf>
    <xf numFmtId="0" fontId="51" fillId="0" borderId="10" xfId="0" applyFont="1" applyBorder="1" applyAlignment="1">
      <alignment horizontal="left"/>
    </xf>
    <xf numFmtId="10" fontId="38" fillId="4" borderId="3" xfId="0" applyNumberFormat="1" applyFont="1" applyFill="1" applyBorder="1" applyAlignment="1">
      <alignment horizontal="center"/>
    </xf>
    <xf numFmtId="0" fontId="51" fillId="0" borderId="12" xfId="0" applyFont="1" applyFill="1" applyBorder="1" applyAlignment="1">
      <alignment horizontal="left"/>
    </xf>
    <xf numFmtId="0" fontId="38" fillId="0" borderId="10" xfId="0" applyFont="1" applyBorder="1"/>
    <xf numFmtId="10" fontId="38" fillId="4" borderId="8" xfId="0" applyNumberFormat="1" applyFont="1" applyFill="1" applyBorder="1" applyAlignment="1">
      <alignment horizontal="center"/>
    </xf>
    <xf numFmtId="0" fontId="51" fillId="0" borderId="42" xfId="0" applyFont="1" applyFill="1" applyBorder="1" applyAlignment="1">
      <alignment horizontal="left"/>
    </xf>
    <xf numFmtId="10" fontId="38" fillId="4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11" fillId="0" borderId="0" xfId="0" applyFont="1" applyBorder="1"/>
    <xf numFmtId="38" fontId="37" fillId="0" borderId="0" xfId="0" applyNumberFormat="1" applyFont="1" applyFill="1" applyBorder="1" applyAlignment="1">
      <alignment horizontal="center" wrapText="1"/>
    </xf>
    <xf numFmtId="166" fontId="43" fillId="0" borderId="48" xfId="0" applyNumberFormat="1" applyFont="1" applyBorder="1" applyAlignment="1">
      <alignment horizontal="left"/>
    </xf>
    <xf numFmtId="10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166" fontId="43" fillId="0" borderId="41" xfId="0" applyNumberFormat="1" applyFont="1" applyBorder="1" applyAlignment="1">
      <alignment horizontal="right"/>
    </xf>
    <xf numFmtId="171" fontId="43" fillId="0" borderId="0" xfId="0" applyNumberFormat="1" applyFont="1"/>
    <xf numFmtId="166" fontId="43" fillId="0" borderId="10" xfId="2" applyNumberFormat="1" applyFont="1" applyFill="1" applyBorder="1" applyAlignment="1">
      <alignment horizontal="left"/>
    </xf>
    <xf numFmtId="0" fontId="43" fillId="0" borderId="18" xfId="0" applyFont="1" applyBorder="1" applyAlignment="1">
      <alignment horizontal="left"/>
    </xf>
    <xf numFmtId="0" fontId="43" fillId="0" borderId="9" xfId="0" applyFont="1" applyBorder="1" applyAlignment="1">
      <alignment horizontal="left"/>
    </xf>
    <xf numFmtId="166" fontId="38" fillId="0" borderId="10" xfId="0" applyNumberFormat="1" applyFont="1" applyFill="1" applyBorder="1"/>
    <xf numFmtId="0" fontId="38" fillId="0" borderId="0" xfId="0" applyFont="1" applyFill="1" applyBorder="1"/>
    <xf numFmtId="10" fontId="38" fillId="4" borderId="0" xfId="3" applyNumberFormat="1" applyFont="1" applyFill="1" applyBorder="1" applyAlignment="1">
      <alignment horizontal="right"/>
    </xf>
    <xf numFmtId="0" fontId="38" fillId="0" borderId="0" xfId="0" applyFont="1" applyBorder="1"/>
    <xf numFmtId="5" fontId="38" fillId="0" borderId="12" xfId="0" applyNumberFormat="1" applyFont="1" applyFill="1" applyBorder="1" applyAlignment="1">
      <alignment horizontal="right"/>
    </xf>
    <xf numFmtId="0" fontId="38" fillId="0" borderId="0" xfId="0" applyFont="1"/>
    <xf numFmtId="0" fontId="38" fillId="0" borderId="10" xfId="0" applyFont="1" applyFill="1" applyBorder="1"/>
    <xf numFmtId="10" fontId="38" fillId="0" borderId="0" xfId="3" applyNumberFormat="1" applyFont="1" applyFill="1" applyBorder="1" applyAlignment="1">
      <alignment horizontal="right"/>
    </xf>
    <xf numFmtId="0" fontId="68" fillId="0" borderId="0" xfId="0" applyFont="1"/>
    <xf numFmtId="0" fontId="35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167" fontId="38" fillId="0" borderId="0" xfId="0" applyNumberFormat="1" applyFont="1" applyAlignment="1">
      <alignment horizontal="center"/>
    </xf>
    <xf numFmtId="0" fontId="35" fillId="0" borderId="5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69" fillId="0" borderId="60" xfId="0" applyFont="1" applyBorder="1" applyAlignment="1">
      <alignment horizontal="center"/>
    </xf>
    <xf numFmtId="0" fontId="38" fillId="0" borderId="47" xfId="0" applyFont="1" applyBorder="1"/>
    <xf numFmtId="0" fontId="38" fillId="0" borderId="2" xfId="0" applyFont="1" applyBorder="1"/>
    <xf numFmtId="164" fontId="38" fillId="0" borderId="3" xfId="0" applyNumberFormat="1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48" xfId="0" applyFont="1" applyBorder="1"/>
    <xf numFmtId="10" fontId="38" fillId="4" borderId="0" xfId="0" applyNumberFormat="1" applyFont="1" applyFill="1" applyBorder="1" applyAlignment="1">
      <alignment horizontal="center"/>
    </xf>
    <xf numFmtId="164" fontId="38" fillId="0" borderId="41" xfId="0" applyNumberFormat="1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8" fontId="35" fillId="0" borderId="60" xfId="0" applyNumberFormat="1" applyFont="1" applyBorder="1" applyAlignment="1">
      <alignment horizontal="center"/>
    </xf>
    <xf numFmtId="6" fontId="35" fillId="0" borderId="60" xfId="0" applyNumberFormat="1" applyFont="1" applyBorder="1" applyAlignment="1">
      <alignment horizontal="center"/>
    </xf>
    <xf numFmtId="166" fontId="35" fillId="0" borderId="60" xfId="0" applyNumberFormat="1" applyFont="1" applyBorder="1" applyAlignment="1">
      <alignment horizontal="center"/>
    </xf>
    <xf numFmtId="10" fontId="38" fillId="0" borderId="0" xfId="0" applyNumberFormat="1" applyFont="1" applyBorder="1" applyAlignment="1">
      <alignment horizontal="right" vertical="center"/>
    </xf>
    <xf numFmtId="0" fontId="38" fillId="0" borderId="0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44" fontId="38" fillId="0" borderId="0" xfId="0" applyNumberFormat="1" applyFont="1"/>
    <xf numFmtId="0" fontId="38" fillId="0" borderId="51" xfId="0" applyFont="1" applyBorder="1"/>
    <xf numFmtId="0" fontId="38" fillId="0" borderId="16" xfId="0" applyFont="1" applyBorder="1"/>
    <xf numFmtId="164" fontId="37" fillId="0" borderId="60" xfId="0" applyNumberFormat="1" applyFont="1" applyBorder="1" applyAlignment="1">
      <alignment horizontal="center"/>
    </xf>
    <xf numFmtId="0" fontId="38" fillId="0" borderId="48" xfId="0" applyFont="1" applyBorder="1" applyAlignment="1">
      <alignment horizontal="left"/>
    </xf>
    <xf numFmtId="10" fontId="38" fillId="0" borderId="0" xfId="0" applyNumberFormat="1" applyFont="1" applyBorder="1" applyAlignment="1">
      <alignment horizontal="center"/>
    </xf>
    <xf numFmtId="5" fontId="37" fillId="0" borderId="62" xfId="0" applyNumberFormat="1" applyFont="1" applyBorder="1" applyAlignment="1">
      <alignment horizontal="left"/>
    </xf>
    <xf numFmtId="5" fontId="38" fillId="0" borderId="58" xfId="0" applyNumberFormat="1" applyFont="1" applyBorder="1" applyAlignment="1"/>
    <xf numFmtId="167" fontId="35" fillId="0" borderId="60" xfId="0" applyNumberFormat="1" applyFont="1" applyBorder="1" applyAlignment="1">
      <alignment horizontal="center"/>
    </xf>
    <xf numFmtId="0" fontId="38" fillId="0" borderId="64" xfId="0" applyFont="1" applyBorder="1" applyAlignment="1"/>
    <xf numFmtId="0" fontId="38" fillId="0" borderId="65" xfId="0" applyFont="1" applyBorder="1" applyAlignment="1">
      <alignment horizontal="center"/>
    </xf>
    <xf numFmtId="167" fontId="37" fillId="4" borderId="66" xfId="0" applyNumberFormat="1" applyFont="1" applyFill="1" applyBorder="1" applyAlignment="1">
      <alignment horizontal="center"/>
    </xf>
    <xf numFmtId="167" fontId="38" fillId="0" borderId="0" xfId="0" applyNumberFormat="1" applyFont="1" applyBorder="1" applyAlignment="1">
      <alignment horizontal="center"/>
    </xf>
    <xf numFmtId="0" fontId="35" fillId="0" borderId="67" xfId="0" applyFont="1" applyBorder="1" applyAlignment="1">
      <alignment horizontal="center"/>
    </xf>
    <xf numFmtId="167" fontId="35" fillId="0" borderId="67" xfId="0" applyNumberFormat="1" applyFont="1" applyBorder="1" applyAlignment="1">
      <alignment horizontal="center"/>
    </xf>
    <xf numFmtId="0" fontId="38" fillId="0" borderId="27" xfId="0" applyFont="1" applyBorder="1"/>
    <xf numFmtId="0" fontId="38" fillId="0" borderId="11" xfId="0" applyFont="1" applyBorder="1"/>
    <xf numFmtId="0" fontId="38" fillId="0" borderId="28" xfId="0" applyFont="1" applyBorder="1"/>
    <xf numFmtId="166" fontId="43" fillId="0" borderId="23" xfId="2" applyNumberFormat="1" applyFont="1" applyFill="1" applyBorder="1" applyAlignment="1">
      <alignment horizontal="left"/>
    </xf>
    <xf numFmtId="0" fontId="43" fillId="0" borderId="25" xfId="0" applyFont="1" applyBorder="1" applyAlignment="1">
      <alignment horizontal="left"/>
    </xf>
    <xf numFmtId="0" fontId="38" fillId="0" borderId="26" xfId="0" applyFont="1" applyBorder="1"/>
    <xf numFmtId="0" fontId="37" fillId="0" borderId="51" xfId="0" applyFont="1" applyBorder="1"/>
    <xf numFmtId="10" fontId="38" fillId="0" borderId="0" xfId="3" applyNumberFormat="1" applyFont="1"/>
    <xf numFmtId="0" fontId="38" fillId="0" borderId="0" xfId="0" applyFont="1" applyBorder="1" applyAlignment="1"/>
    <xf numFmtId="167" fontId="37" fillId="4" borderId="0" xfId="0" applyNumberFormat="1" applyFont="1" applyFill="1" applyBorder="1" applyAlignment="1">
      <alignment horizontal="center"/>
    </xf>
    <xf numFmtId="167" fontId="38" fillId="0" borderId="0" xfId="0" applyNumberFormat="1" applyFont="1"/>
    <xf numFmtId="5" fontId="37" fillId="0" borderId="54" xfId="0" applyNumberFormat="1" applyFont="1" applyBorder="1" applyAlignment="1">
      <alignment horizontal="left"/>
    </xf>
    <xf numFmtId="5" fontId="38" fillId="0" borderId="45" xfId="0" applyNumberFormat="1" applyFont="1" applyBorder="1" applyAlignment="1"/>
    <xf numFmtId="0" fontId="42" fillId="0" borderId="0" xfId="0" applyFont="1" applyFill="1" applyBorder="1"/>
    <xf numFmtId="0" fontId="42" fillId="0" borderId="0" xfId="0" applyFont="1" applyFill="1" applyBorder="1" applyAlignment="1">
      <alignment horizontal="center"/>
    </xf>
    <xf numFmtId="169" fontId="42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170" fontId="47" fillId="0" borderId="0" xfId="89" applyNumberFormat="1" applyFont="1" applyFill="1" applyBorder="1" applyAlignment="1">
      <alignment horizontal="center"/>
    </xf>
    <xf numFmtId="8" fontId="2" fillId="0" borderId="0" xfId="0" applyNumberFormat="1" applyFont="1" applyBorder="1"/>
    <xf numFmtId="44" fontId="2" fillId="0" borderId="0" xfId="2" applyFont="1" applyBorder="1"/>
    <xf numFmtId="10" fontId="2" fillId="0" borderId="0" xfId="3" applyNumberFormat="1" applyFont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/>
    <xf numFmtId="167" fontId="5" fillId="4" borderId="6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/>
    </xf>
    <xf numFmtId="164" fontId="5" fillId="0" borderId="8" xfId="2" applyNumberFormat="1" applyFont="1" applyFill="1" applyBorder="1" applyAlignment="1">
      <alignment horizontal="center"/>
    </xf>
    <xf numFmtId="166" fontId="5" fillId="0" borderId="15" xfId="2" applyNumberFormat="1" applyFont="1" applyFill="1" applyBorder="1" applyAlignment="1">
      <alignment horizontal="center"/>
    </xf>
    <xf numFmtId="166" fontId="5" fillId="0" borderId="16" xfId="2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4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41" xfId="0" applyNumberFormat="1" applyFont="1" applyFill="1" applyBorder="1" applyAlignment="1">
      <alignment horizontal="center" vertical="center"/>
    </xf>
    <xf numFmtId="10" fontId="2" fillId="0" borderId="8" xfId="0" applyNumberFormat="1" applyFont="1" applyFill="1" applyBorder="1" applyAlignment="1">
      <alignment horizontal="center" vertical="center"/>
    </xf>
    <xf numFmtId="10" fontId="2" fillId="0" borderId="20" xfId="0" applyNumberFormat="1" applyFont="1" applyFill="1" applyBorder="1" applyAlignment="1">
      <alignment horizontal="center" vertical="center"/>
    </xf>
    <xf numFmtId="10" fontId="51" fillId="4" borderId="2" xfId="3" applyNumberFormat="1" applyFont="1" applyFill="1" applyBorder="1" applyAlignment="1">
      <alignment horizontal="center" vertical="center"/>
    </xf>
    <xf numFmtId="10" fontId="51" fillId="4" borderId="22" xfId="3" applyNumberFormat="1" applyFont="1" applyFill="1" applyBorder="1" applyAlignment="1">
      <alignment horizontal="center" vertical="center"/>
    </xf>
    <xf numFmtId="10" fontId="2" fillId="4" borderId="24" xfId="0" applyNumberFormat="1" applyFont="1" applyFill="1" applyBorder="1" applyAlignment="1">
      <alignment horizontal="center"/>
    </xf>
    <xf numFmtId="10" fontId="2" fillId="4" borderId="43" xfId="0" applyNumberFormat="1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164" fontId="5" fillId="0" borderId="37" xfId="2" applyNumberFormat="1" applyFont="1" applyFill="1" applyBorder="1" applyAlignment="1">
      <alignment horizontal="center"/>
    </xf>
    <xf numFmtId="164" fontId="5" fillId="0" borderId="38" xfId="2" applyNumberFormat="1" applyFont="1" applyFill="1" applyBorder="1" applyAlignment="1">
      <alignment horizontal="center"/>
    </xf>
    <xf numFmtId="164" fontId="5" fillId="0" borderId="39" xfId="2" applyNumberFormat="1" applyFont="1" applyFill="1" applyBorder="1" applyAlignment="1">
      <alignment horizontal="center"/>
    </xf>
    <xf numFmtId="6" fontId="2" fillId="0" borderId="2" xfId="0" applyNumberFormat="1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center"/>
    </xf>
    <xf numFmtId="6" fontId="2" fillId="4" borderId="8" xfId="0" applyNumberFormat="1" applyFont="1" applyFill="1" applyBorder="1" applyAlignment="1">
      <alignment horizontal="center"/>
    </xf>
    <xf numFmtId="166" fontId="5" fillId="0" borderId="40" xfId="2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6" fontId="55" fillId="0" borderId="0" xfId="0" applyNumberFormat="1" applyFont="1" applyBorder="1" applyAlignment="1">
      <alignment horizontal="center" wrapText="1"/>
    </xf>
    <xf numFmtId="166" fontId="55" fillId="0" borderId="41" xfId="0" applyNumberFormat="1" applyFont="1" applyBorder="1" applyAlignment="1">
      <alignment horizontal="center" wrapText="1"/>
    </xf>
    <xf numFmtId="10" fontId="55" fillId="0" borderId="8" xfId="0" applyNumberFormat="1" applyFont="1" applyBorder="1" applyAlignment="1">
      <alignment horizontal="center"/>
    </xf>
    <xf numFmtId="10" fontId="55" fillId="0" borderId="20" xfId="0" applyNumberFormat="1" applyFont="1" applyBorder="1" applyAlignment="1">
      <alignment horizontal="center"/>
    </xf>
    <xf numFmtId="10" fontId="43" fillId="4" borderId="16" xfId="0" applyNumberFormat="1" applyFont="1" applyFill="1" applyBorder="1" applyAlignment="1">
      <alignment horizontal="center"/>
    </xf>
    <xf numFmtId="10" fontId="43" fillId="4" borderId="40" xfId="0" applyNumberFormat="1" applyFont="1" applyFill="1" applyBorder="1" applyAlignment="1">
      <alignment horizontal="center"/>
    </xf>
    <xf numFmtId="10" fontId="55" fillId="4" borderId="52" xfId="0" applyNumberFormat="1" applyFont="1" applyFill="1" applyBorder="1" applyAlignment="1">
      <alignment horizontal="center"/>
    </xf>
    <xf numFmtId="10" fontId="55" fillId="4" borderId="53" xfId="0" applyNumberFormat="1" applyFont="1" applyFill="1" applyBorder="1" applyAlignment="1">
      <alignment horizontal="center"/>
    </xf>
    <xf numFmtId="6" fontId="55" fillId="0" borderId="8" xfId="0" applyNumberFormat="1" applyFont="1" applyFill="1" applyBorder="1" applyAlignment="1">
      <alignment horizontal="center"/>
    </xf>
    <xf numFmtId="6" fontId="55" fillId="0" borderId="20" xfId="0" applyNumberFormat="1" applyFont="1" applyFill="1" applyBorder="1" applyAlignment="1">
      <alignment horizontal="center"/>
    </xf>
    <xf numFmtId="0" fontId="56" fillId="0" borderId="8" xfId="0" applyFont="1" applyBorder="1" applyAlignment="1">
      <alignment horizontal="left"/>
    </xf>
    <xf numFmtId="166" fontId="54" fillId="0" borderId="15" xfId="2" applyNumberFormat="1" applyFont="1" applyFill="1" applyBorder="1" applyAlignment="1">
      <alignment horizontal="center"/>
    </xf>
    <xf numFmtId="166" fontId="54" fillId="0" borderId="16" xfId="2" applyNumberFormat="1" applyFont="1" applyFill="1" applyBorder="1" applyAlignment="1">
      <alignment horizontal="center"/>
    </xf>
    <xf numFmtId="166" fontId="54" fillId="0" borderId="40" xfId="2" applyNumberFormat="1" applyFont="1" applyFill="1" applyBorder="1" applyAlignment="1">
      <alignment horizontal="center"/>
    </xf>
    <xf numFmtId="10" fontId="55" fillId="0" borderId="2" xfId="0" applyNumberFormat="1" applyFont="1" applyBorder="1" applyAlignment="1">
      <alignment horizontal="center"/>
    </xf>
    <xf numFmtId="10" fontId="55" fillId="0" borderId="3" xfId="0" applyNumberFormat="1" applyFont="1" applyBorder="1" applyAlignment="1">
      <alignment horizontal="center"/>
    </xf>
    <xf numFmtId="167" fontId="55" fillId="0" borderId="0" xfId="0" applyNumberFormat="1" applyFont="1" applyBorder="1" applyAlignment="1">
      <alignment horizontal="center" wrapText="1"/>
    </xf>
    <xf numFmtId="167" fontId="55" fillId="0" borderId="41" xfId="0" applyNumberFormat="1" applyFont="1" applyBorder="1" applyAlignment="1">
      <alignment horizontal="center" wrapText="1"/>
    </xf>
    <xf numFmtId="0" fontId="53" fillId="3" borderId="4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3" fillId="3" borderId="27" xfId="0" applyFont="1" applyFill="1" applyBorder="1" applyAlignment="1">
      <alignment horizontal="center"/>
    </xf>
    <xf numFmtId="0" fontId="53" fillId="3" borderId="11" xfId="0" applyFont="1" applyFill="1" applyBorder="1" applyAlignment="1">
      <alignment horizontal="center"/>
    </xf>
    <xf numFmtId="0" fontId="53" fillId="3" borderId="28" xfId="0" applyFont="1" applyFill="1" applyBorder="1" applyAlignment="1">
      <alignment horizontal="center"/>
    </xf>
    <xf numFmtId="164" fontId="54" fillId="0" borderId="37" xfId="2" applyNumberFormat="1" applyFont="1" applyFill="1" applyBorder="1" applyAlignment="1">
      <alignment horizontal="center"/>
    </xf>
    <xf numFmtId="164" fontId="54" fillId="0" borderId="38" xfId="2" applyNumberFormat="1" applyFont="1" applyFill="1" applyBorder="1" applyAlignment="1">
      <alignment horizontal="center"/>
    </xf>
    <xf numFmtId="164" fontId="54" fillId="0" borderId="39" xfId="2" applyNumberFormat="1" applyFont="1" applyFill="1" applyBorder="1" applyAlignment="1">
      <alignment horizontal="center"/>
    </xf>
    <xf numFmtId="0" fontId="53" fillId="3" borderId="23" xfId="0" applyFont="1" applyFill="1" applyBorder="1" applyAlignment="1">
      <alignment horizontal="center"/>
    </xf>
    <xf numFmtId="0" fontId="53" fillId="3" borderId="24" xfId="0" applyFont="1" applyFill="1" applyBorder="1" applyAlignment="1">
      <alignment horizontal="center"/>
    </xf>
    <xf numFmtId="0" fontId="53" fillId="3" borderId="26" xfId="0" applyFont="1" applyFill="1" applyBorder="1" applyAlignment="1">
      <alignment horizontal="center"/>
    </xf>
    <xf numFmtId="6" fontId="55" fillId="0" borderId="2" xfId="0" applyNumberFormat="1" applyFont="1" applyBorder="1" applyAlignment="1">
      <alignment horizontal="center"/>
    </xf>
    <xf numFmtId="6" fontId="55" fillId="0" borderId="3" xfId="0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10" fontId="43" fillId="4" borderId="8" xfId="0" applyNumberFormat="1" applyFont="1" applyFill="1" applyBorder="1" applyAlignment="1">
      <alignment horizontal="center"/>
    </xf>
    <xf numFmtId="10" fontId="2" fillId="4" borderId="52" xfId="0" applyNumberFormat="1" applyFont="1" applyFill="1" applyBorder="1" applyAlignment="1">
      <alignment horizontal="center"/>
    </xf>
    <xf numFmtId="0" fontId="2" fillId="4" borderId="52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0" fontId="2" fillId="0" borderId="0" xfId="3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36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6" fontId="2" fillId="0" borderId="0" xfId="0" applyNumberFormat="1" applyFont="1" applyBorder="1" applyAlignment="1">
      <alignment horizontal="center"/>
    </xf>
    <xf numFmtId="10" fontId="43" fillId="0" borderId="24" xfId="0" applyNumberFormat="1" applyFont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69" fillId="3" borderId="48" xfId="0" applyFont="1" applyFill="1" applyBorder="1" applyAlignment="1">
      <alignment horizontal="center"/>
    </xf>
    <xf numFmtId="0" fontId="69" fillId="3" borderId="8" xfId="0" applyFont="1" applyFill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40" xfId="0" applyFont="1" applyBorder="1" applyAlignment="1">
      <alignment horizontal="center"/>
    </xf>
    <xf numFmtId="0" fontId="69" fillId="0" borderId="51" xfId="0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69" fillId="0" borderId="40" xfId="0" applyFont="1" applyBorder="1" applyAlignment="1">
      <alignment horizontal="center" vertical="center"/>
    </xf>
    <xf numFmtId="0" fontId="16" fillId="0" borderId="48" xfId="73" applyBorder="1" applyAlignment="1">
      <alignment horizontal="right"/>
    </xf>
    <xf numFmtId="0" fontId="16" fillId="0" borderId="0" xfId="73" applyBorder="1" applyAlignment="1">
      <alignment horizontal="right"/>
    </xf>
  </cellXfs>
  <cellStyles count="101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Comma 3 2" xfId="34"/>
    <cellStyle name="Comma 3 3" xfId="35"/>
    <cellStyle name="Comma 4" xfId="36"/>
    <cellStyle name="Comma 4 2" xfId="37"/>
    <cellStyle name="Comma 5" xfId="38"/>
    <cellStyle name="Comma 6" xfId="39"/>
    <cellStyle name="Comma 7" xfId="40"/>
    <cellStyle name="Comma 8" xfId="41"/>
    <cellStyle name="Currency" xfId="2" builtinId="4"/>
    <cellStyle name="Currency 2" xfId="42"/>
    <cellStyle name="Currency 2 2" xfId="43"/>
    <cellStyle name="Currency 2 2 2" xfId="44"/>
    <cellStyle name="Currency 2 3" xfId="45"/>
    <cellStyle name="Currency 3" xfId="46"/>
    <cellStyle name="Currency 3 2" xfId="47"/>
    <cellStyle name="Currency 3 3" xfId="48"/>
    <cellStyle name="Currency 4" xfId="49"/>
    <cellStyle name="Currency 4 2" xfId="50"/>
    <cellStyle name="Currency 5" xfId="51"/>
    <cellStyle name="Currency 5 2" xfId="52"/>
    <cellStyle name="Currency 6" xfId="53"/>
    <cellStyle name="Currency 7" xfId="54"/>
    <cellStyle name="Currency 8" xfId="55"/>
    <cellStyle name="Explanatory Text 2" xfId="56"/>
    <cellStyle name="Good 2" xfId="57"/>
    <cellStyle name="Heading 1 2" xfId="58"/>
    <cellStyle name="Heading 2 2" xfId="59"/>
    <cellStyle name="Heading 3 2" xfId="60"/>
    <cellStyle name="Heading 4 2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2 2" xfId="67"/>
    <cellStyle name="Normal 2 3" xfId="68"/>
    <cellStyle name="Normal 3" xfId="69"/>
    <cellStyle name="Normal 3 2" xfId="70"/>
    <cellStyle name="Normal 3 3" xfId="71"/>
    <cellStyle name="Normal 4" xfId="72"/>
    <cellStyle name="Normal 4 2" xfId="73"/>
    <cellStyle name="Normal 4 2 2" xfId="74"/>
    <cellStyle name="Normal 4 3" xfId="75"/>
    <cellStyle name="Normal 5" xfId="76"/>
    <cellStyle name="Normal 5 2" xfId="77"/>
    <cellStyle name="Normal 6" xfId="78"/>
    <cellStyle name="Normal 6 2" xfId="79"/>
    <cellStyle name="Normal 7" xfId="80"/>
    <cellStyle name="Normal 7 2" xfId="81"/>
    <cellStyle name="Normal 8" xfId="82"/>
    <cellStyle name="Normal 9" xfId="83"/>
    <cellStyle name="Normal 9 2" xfId="84"/>
    <cellStyle name="Note 2" xfId="85"/>
    <cellStyle name="Output 2" xfId="86"/>
    <cellStyle name="Percent" xfId="3" builtinId="5"/>
    <cellStyle name="Percent 2" xfId="87"/>
    <cellStyle name="Percent 2 2" xfId="88"/>
    <cellStyle name="Percent 3" xfId="89"/>
    <cellStyle name="Percent 3 2" xfId="90"/>
    <cellStyle name="Percent 3 3" xfId="91"/>
    <cellStyle name="Percent 4" xfId="92"/>
    <cellStyle name="Percent 4 2" xfId="93"/>
    <cellStyle name="Percent 4 3" xfId="94"/>
    <cellStyle name="Percent 5" xfId="95"/>
    <cellStyle name="Percent 6" xfId="96"/>
    <cellStyle name="Percent 7" xfId="97"/>
    <cellStyle name="Title 2" xfId="98"/>
    <cellStyle name="Total 2" xfId="99"/>
    <cellStyle name="Warning Text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MH%20-%20Adult%20Homelessness%20Supports-%20CMR%20421/FY20%20RATE%20REVIEW/1.%20Strategy%20Team%20%20Materials/1.%20DMH%20Home%20Sup%20Models%206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Summary of Rates"/>
      <sheetName val="FI Summary"/>
      <sheetName val="Project Benchmarks"/>
      <sheetName val="2018 Safe Haven 7-9, 10-2 beds"/>
      <sheetName val="2020 Fiscal Impact "/>
      <sheetName val="Fiscal Impact"/>
      <sheetName val="2020 Summary of Rates "/>
      <sheetName val="2020 Outreach and Engagement"/>
      <sheetName val="2018 Outreach and Engagement"/>
      <sheetName val="BAD 2020 Safe Haven 7-9,10-12 "/>
      <sheetName val="2020 Safe Haven 7-9, 10-12 beds"/>
      <sheetName val="2020 Housing First - HOP "/>
      <sheetName val="2018 Housing First - HOP"/>
      <sheetName val="2020 Housing First - ATARP "/>
      <sheetName val="2018 Housing First - ATARP"/>
      <sheetName val="2020 Program Staffing Sup w"/>
      <sheetName val="2020 Program Staffing Sup+.63%"/>
      <sheetName val="2018Program Staffing Sup w Grid"/>
      <sheetName val="Spring 2019 CAF"/>
      <sheetName val="Clean Data"/>
      <sheetName val="CAF Fall 2018"/>
      <sheetName val="CAF Spring2017"/>
      <sheetName val="Dual Dx Shelter donated space "/>
      <sheetName val="Dual Dx Shelter w occupancy"/>
      <sheetName val="Safe H Model 6 beds"/>
      <sheetName val="CAF"/>
      <sheetName val="3039&amp;3049 UFR data"/>
      <sheetName val="Sheet1"/>
    </sheetNames>
    <sheetDataSet>
      <sheetData sheetId="0"/>
      <sheetData sheetId="1"/>
      <sheetData sheetId="2">
        <row r="14">
          <cell r="C14">
            <v>0.21709999999999999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U25">
            <v>1.8120393120392975E-2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="73" zoomScaleNormal="73" workbookViewId="0">
      <selection activeCell="D35" sqref="D35"/>
    </sheetView>
  </sheetViews>
  <sheetFormatPr defaultColWidth="9.140625" defaultRowHeight="15.75"/>
  <cols>
    <col min="1" max="1" width="5.140625" style="1" customWidth="1"/>
    <col min="2" max="2" width="41.85546875" style="75" customWidth="1"/>
    <col min="3" max="3" width="14.5703125" style="76" customWidth="1"/>
    <col min="4" max="4" width="69" style="76" customWidth="1"/>
    <col min="5" max="5" width="4.28515625" style="1" customWidth="1"/>
    <col min="6" max="6" width="39" style="95" customWidth="1"/>
    <col min="7" max="7" width="18.28515625" style="6" customWidth="1"/>
    <col min="8" max="8" width="13.42578125" style="1" customWidth="1"/>
    <col min="9" max="9" width="14.5703125" style="1" customWidth="1"/>
    <col min="10" max="10" width="9.140625" style="1"/>
    <col min="11" max="11" width="22.42578125" style="1" customWidth="1"/>
    <col min="12" max="12" width="24.42578125" style="1" customWidth="1"/>
    <col min="13" max="16384" width="9.140625" style="1"/>
  </cols>
  <sheetData>
    <row r="1" spans="1:12" ht="18.75" customHeight="1" thickBot="1">
      <c r="B1" s="2"/>
      <c r="C1" s="3"/>
      <c r="D1" s="4"/>
      <c r="F1" s="5"/>
    </row>
    <row r="2" spans="1:12" ht="23.25" customHeight="1" thickBot="1">
      <c r="B2" s="487" t="s">
        <v>0</v>
      </c>
      <c r="C2" s="488"/>
      <c r="D2" s="489"/>
      <c r="F2" s="487" t="s">
        <v>1</v>
      </c>
      <c r="G2" s="488"/>
      <c r="H2" s="488"/>
      <c r="I2" s="489"/>
    </row>
    <row r="3" spans="1:12" ht="15" customHeight="1">
      <c r="B3" s="490" t="s">
        <v>2</v>
      </c>
      <c r="C3" s="491"/>
      <c r="D3" s="7" t="s">
        <v>3</v>
      </c>
      <c r="F3" s="8" t="s">
        <v>4</v>
      </c>
      <c r="G3" s="9"/>
      <c r="H3" s="10" t="s">
        <v>5</v>
      </c>
      <c r="I3" s="11">
        <v>12</v>
      </c>
      <c r="K3" s="12"/>
    </row>
    <row r="4" spans="1:12" ht="15" customHeight="1">
      <c r="B4" s="13" t="s">
        <v>6</v>
      </c>
      <c r="C4" s="14">
        <v>61196.377478396869</v>
      </c>
      <c r="D4" s="15" t="s">
        <v>7</v>
      </c>
      <c r="F4" s="16"/>
      <c r="G4" s="17" t="s">
        <v>8</v>
      </c>
      <c r="H4" s="18" t="s">
        <v>9</v>
      </c>
      <c r="I4" s="19" t="s">
        <v>10</v>
      </c>
      <c r="K4" s="12"/>
    </row>
    <row r="5" spans="1:12" ht="15" customHeight="1">
      <c r="B5" s="20" t="s">
        <v>11</v>
      </c>
      <c r="C5" s="21">
        <f>28099*(2.72%+1)</f>
        <v>28863.292800000003</v>
      </c>
      <c r="D5" s="15" t="s">
        <v>12</v>
      </c>
      <c r="E5" s="22"/>
      <c r="F5" s="13" t="str">
        <f>B4</f>
        <v>Management</v>
      </c>
      <c r="G5" s="23">
        <f>C4</f>
        <v>61196.377478396869</v>
      </c>
      <c r="H5" s="24">
        <f>C8</f>
        <v>1</v>
      </c>
      <c r="I5" s="25">
        <f>H5*G5</f>
        <v>61196.377478396869</v>
      </c>
      <c r="K5" s="12"/>
      <c r="L5" s="26"/>
    </row>
    <row r="6" spans="1:12" ht="15" customHeight="1">
      <c r="B6" s="27" t="s">
        <v>13</v>
      </c>
      <c r="C6" s="28">
        <f>51337*(2.72%+1)</f>
        <v>52733.366400000006</v>
      </c>
      <c r="D6" s="15" t="s">
        <v>7</v>
      </c>
      <c r="F6" s="13" t="str">
        <f t="shared" ref="F6:F7" si="0">B5</f>
        <v>Direct Care - Bachelors Level</v>
      </c>
      <c r="G6" s="29">
        <f>C5</f>
        <v>28863.292800000003</v>
      </c>
      <c r="H6" s="30">
        <f>C9</f>
        <v>2</v>
      </c>
      <c r="I6" s="31">
        <f>H6*G6</f>
        <v>57726.585600000006</v>
      </c>
      <c r="K6" s="12"/>
      <c r="L6" s="26"/>
    </row>
    <row r="7" spans="1:12" ht="15" customHeight="1">
      <c r="A7" s="32"/>
      <c r="B7" s="492" t="s">
        <v>14</v>
      </c>
      <c r="C7" s="493"/>
      <c r="D7" s="33"/>
      <c r="F7" s="27" t="str">
        <f t="shared" si="0"/>
        <v>Clinician, LICSW</v>
      </c>
      <c r="G7" s="34">
        <f>C6</f>
        <v>52733.366400000006</v>
      </c>
      <c r="H7" s="35">
        <f>C10</f>
        <v>1</v>
      </c>
      <c r="I7" s="25">
        <f>G7*H7</f>
        <v>52733.366400000006</v>
      </c>
      <c r="K7" s="12"/>
      <c r="L7" s="26"/>
    </row>
    <row r="8" spans="1:12" ht="15" customHeight="1">
      <c r="A8" s="32"/>
      <c r="B8" s="13" t="s">
        <v>15</v>
      </c>
      <c r="C8" s="35">
        <v>1</v>
      </c>
      <c r="D8" s="36" t="s">
        <v>16</v>
      </c>
      <c r="F8" s="16" t="s">
        <v>17</v>
      </c>
      <c r="G8" s="37"/>
      <c r="H8" s="38">
        <v>4</v>
      </c>
      <c r="I8" s="39">
        <f>SUM(I5:I7)</f>
        <v>171656.32947839689</v>
      </c>
      <c r="K8" s="12"/>
      <c r="L8" s="26"/>
    </row>
    <row r="9" spans="1:12" ht="15" customHeight="1">
      <c r="A9" s="32"/>
      <c r="B9" s="20" t="s">
        <v>18</v>
      </c>
      <c r="C9" s="30">
        <v>2</v>
      </c>
      <c r="D9" s="36" t="s">
        <v>16</v>
      </c>
      <c r="F9" s="40"/>
      <c r="G9" s="41"/>
      <c r="H9" s="42"/>
      <c r="I9" s="43"/>
      <c r="K9" s="12"/>
      <c r="L9" s="26"/>
    </row>
    <row r="10" spans="1:12" ht="15" customHeight="1">
      <c r="A10" s="32"/>
      <c r="B10" s="27" t="s">
        <v>13</v>
      </c>
      <c r="C10" s="44">
        <v>1</v>
      </c>
      <c r="D10" s="45" t="s">
        <v>16</v>
      </c>
      <c r="F10" s="46" t="s">
        <v>19</v>
      </c>
      <c r="G10" s="47">
        <f>C12</f>
        <v>0.21709999999999999</v>
      </c>
      <c r="H10" s="48"/>
      <c r="I10" s="25">
        <f>I8*G10</f>
        <v>37266.589129759959</v>
      </c>
      <c r="K10" s="12"/>
      <c r="L10" s="26"/>
    </row>
    <row r="11" spans="1:12" ht="15" customHeight="1">
      <c r="A11" s="32"/>
      <c r="B11" s="492" t="s">
        <v>20</v>
      </c>
      <c r="C11" s="493"/>
      <c r="D11" s="33"/>
      <c r="F11" s="49" t="s">
        <v>21</v>
      </c>
      <c r="G11" s="50"/>
      <c r="H11" s="51"/>
      <c r="I11" s="39">
        <f>SUM(I8:I10)</f>
        <v>208922.91860815685</v>
      </c>
      <c r="K11" s="12"/>
      <c r="L11" s="26"/>
    </row>
    <row r="12" spans="1:12" ht="15" customHeight="1">
      <c r="B12" s="52" t="s">
        <v>22</v>
      </c>
      <c r="C12" s="53">
        <v>0.21709999999999999</v>
      </c>
      <c r="D12" s="54" t="s">
        <v>23</v>
      </c>
      <c r="E12" s="55"/>
      <c r="F12" s="46"/>
      <c r="G12" s="56" t="s">
        <v>24</v>
      </c>
      <c r="H12" s="56" t="s">
        <v>25</v>
      </c>
      <c r="I12" s="25"/>
      <c r="K12" s="12"/>
      <c r="L12" s="26"/>
    </row>
    <row r="13" spans="1:12" ht="15" customHeight="1">
      <c r="B13" s="52" t="s">
        <v>26</v>
      </c>
      <c r="C13" s="57">
        <v>172.17108710794597</v>
      </c>
      <c r="D13" s="54" t="s">
        <v>27</v>
      </c>
      <c r="F13" s="46" t="s">
        <v>26</v>
      </c>
      <c r="G13" s="58">
        <f>C13</f>
        <v>172.17108710794597</v>
      </c>
      <c r="H13" s="48">
        <v>104</v>
      </c>
      <c r="I13" s="25">
        <f>G13*H13</f>
        <v>17905.79305922638</v>
      </c>
      <c r="K13" s="12"/>
      <c r="L13" s="26"/>
    </row>
    <row r="14" spans="1:12" ht="15" customHeight="1">
      <c r="B14" s="52" t="s">
        <v>28</v>
      </c>
      <c r="C14" s="57">
        <v>17.402737915223646</v>
      </c>
      <c r="D14" s="54" t="s">
        <v>27</v>
      </c>
      <c r="E14" s="59"/>
      <c r="F14" s="46" t="s">
        <v>28</v>
      </c>
      <c r="G14" s="57">
        <f>C14</f>
        <v>17.402737915223646</v>
      </c>
      <c r="H14" s="60"/>
      <c r="I14" s="25">
        <f>150*H8*G14</f>
        <v>10441.642749134187</v>
      </c>
      <c r="K14" s="12"/>
      <c r="L14" s="26"/>
    </row>
    <row r="15" spans="1:12" ht="15" customHeight="1">
      <c r="B15" s="52" t="s">
        <v>29</v>
      </c>
      <c r="C15" s="57">
        <v>135.00305776658342</v>
      </c>
      <c r="D15" s="54" t="s">
        <v>27</v>
      </c>
      <c r="E15" s="59"/>
      <c r="F15" s="46" t="s">
        <v>29</v>
      </c>
      <c r="G15" s="57">
        <f>C15</f>
        <v>135.00305776658342</v>
      </c>
      <c r="H15" s="48"/>
      <c r="I15" s="25">
        <f>G15*G25</f>
        <v>40500.917329975025</v>
      </c>
      <c r="K15" s="12"/>
      <c r="L15" s="26"/>
    </row>
    <row r="16" spans="1:12" ht="15" customHeight="1">
      <c r="B16" s="61" t="s">
        <v>30</v>
      </c>
      <c r="C16" s="62">
        <v>0.10979999999999999</v>
      </c>
      <c r="D16" s="63" t="s">
        <v>23</v>
      </c>
      <c r="E16" s="59"/>
      <c r="F16" s="64" t="s">
        <v>31</v>
      </c>
      <c r="G16" s="65"/>
      <c r="H16" s="51"/>
      <c r="I16" s="39">
        <f>I11+SUM(I13:I15)</f>
        <v>277771.27174649248</v>
      </c>
      <c r="K16" s="12"/>
      <c r="L16" s="26"/>
    </row>
    <row r="17" spans="2:12" ht="15" customHeight="1">
      <c r="B17" s="396" t="s">
        <v>32</v>
      </c>
      <c r="C17" s="397">
        <v>6.3E-3</v>
      </c>
      <c r="D17" s="398" t="s">
        <v>33</v>
      </c>
      <c r="E17" s="59"/>
      <c r="F17" s="67"/>
      <c r="G17" s="68"/>
      <c r="H17" s="69"/>
      <c r="I17" s="70"/>
      <c r="K17" s="12"/>
      <c r="L17" s="26"/>
    </row>
    <row r="18" spans="2:12" ht="15" customHeight="1" thickBot="1">
      <c r="B18" s="71" t="s">
        <v>34</v>
      </c>
      <c r="C18" s="72">
        <v>1.8120393120392975E-2</v>
      </c>
      <c r="D18" s="73" t="s">
        <v>35</v>
      </c>
      <c r="F18" s="74" t="str">
        <f>B16</f>
        <v>Administrative Allocation</v>
      </c>
      <c r="G18" s="53">
        <f>C16</f>
        <v>0.10979999999999999</v>
      </c>
      <c r="H18" s="48"/>
      <c r="I18" s="25">
        <f>I16*G18</f>
        <v>30499.285637764871</v>
      </c>
      <c r="K18" s="12"/>
      <c r="L18" s="26"/>
    </row>
    <row r="19" spans="2:12" ht="15" customHeight="1">
      <c r="F19" s="399" t="str">
        <f>B17</f>
        <v>PFLMA Trust Contribution</v>
      </c>
      <c r="G19" s="400">
        <f>C17</f>
        <v>6.3E-3</v>
      </c>
      <c r="H19" s="78"/>
      <c r="I19" s="25">
        <f>G19*I8</f>
        <v>1081.4348757139005</v>
      </c>
      <c r="K19" s="12"/>
      <c r="L19" s="26"/>
    </row>
    <row r="20" spans="2:12" ht="15" customHeight="1">
      <c r="F20" s="79" t="s">
        <v>36</v>
      </c>
      <c r="G20" s="80"/>
      <c r="H20" s="81"/>
      <c r="I20" s="82">
        <f>SUM(I16:I19)</f>
        <v>309351.99225997122</v>
      </c>
      <c r="K20" s="12"/>
      <c r="L20" s="26"/>
    </row>
    <row r="21" spans="2:12" ht="15" customHeight="1">
      <c r="F21" s="46"/>
      <c r="G21" s="83"/>
      <c r="H21" s="48"/>
      <c r="I21" s="25"/>
      <c r="K21" s="12"/>
      <c r="L21" s="26"/>
    </row>
    <row r="22" spans="2:12" ht="15" customHeight="1">
      <c r="C22" s="84"/>
      <c r="F22" s="46" t="s">
        <v>34</v>
      </c>
      <c r="G22" s="85">
        <f>C18</f>
        <v>1.8120393120392975E-2</v>
      </c>
      <c r="H22" s="48"/>
      <c r="I22" s="25">
        <f>I20*G22</f>
        <v>5605.5797123274433</v>
      </c>
      <c r="K22" s="12"/>
      <c r="L22" s="26"/>
    </row>
    <row r="23" spans="2:12" ht="15" customHeight="1">
      <c r="F23" s="77"/>
      <c r="G23" s="86"/>
      <c r="H23" s="87"/>
      <c r="I23" s="88"/>
      <c r="K23" s="12"/>
      <c r="L23" s="26"/>
    </row>
    <row r="24" spans="2:12" ht="15" customHeight="1">
      <c r="B24" s="2"/>
      <c r="C24" s="48"/>
      <c r="D24" s="48"/>
      <c r="F24" s="49" t="s">
        <v>37</v>
      </c>
      <c r="G24" s="17"/>
      <c r="H24" s="51"/>
      <c r="I24" s="39">
        <f>SUM(I20:I22)</f>
        <v>314957.57197229867</v>
      </c>
      <c r="K24" s="12"/>
      <c r="L24" s="26"/>
    </row>
    <row r="25" spans="2:12" ht="15" customHeight="1">
      <c r="B25" s="2"/>
      <c r="C25" s="60"/>
      <c r="D25" s="48"/>
      <c r="F25" s="89" t="s">
        <v>38</v>
      </c>
      <c r="G25" s="90">
        <v>300</v>
      </c>
      <c r="H25" s="69"/>
      <c r="I25" s="70"/>
      <c r="K25" s="12"/>
      <c r="L25" s="26"/>
    </row>
    <row r="26" spans="2:12" ht="15" customHeight="1" thickBot="1">
      <c r="B26" s="2"/>
      <c r="C26" s="48"/>
      <c r="D26" s="48"/>
      <c r="F26" s="91" t="s">
        <v>39</v>
      </c>
      <c r="G26" s="92"/>
      <c r="H26" s="93"/>
      <c r="I26" s="94">
        <f>ROUND(I24/12,0)</f>
        <v>26246</v>
      </c>
      <c r="K26" s="12"/>
      <c r="L26" s="26"/>
    </row>
    <row r="27" spans="2:12" ht="15" customHeight="1">
      <c r="B27" s="403"/>
      <c r="C27" s="96"/>
      <c r="D27" s="96"/>
    </row>
    <row r="28" spans="2:12" ht="15" customHeight="1">
      <c r="B28" s="404"/>
      <c r="C28" s="96"/>
      <c r="D28" s="96"/>
      <c r="G28" s="393"/>
      <c r="H28" s="394"/>
      <c r="I28" s="395"/>
      <c r="K28" s="97"/>
    </row>
    <row r="29" spans="2:12" ht="18.75">
      <c r="B29" s="404"/>
      <c r="C29" s="96"/>
      <c r="D29" s="96"/>
      <c r="K29" s="26"/>
    </row>
    <row r="30" spans="2:12" ht="18.75">
      <c r="B30" s="404"/>
      <c r="C30" s="96"/>
      <c r="D30" s="96"/>
    </row>
    <row r="31" spans="2:12">
      <c r="B31" s="2"/>
      <c r="C31" s="48"/>
      <c r="D31" s="48"/>
      <c r="G31" s="1"/>
      <c r="I31" s="98"/>
    </row>
    <row r="32" spans="2:12">
      <c r="B32" s="2"/>
      <c r="C32" s="48"/>
      <c r="D32" s="48"/>
    </row>
    <row r="33" spans="2:7">
      <c r="B33" s="2"/>
      <c r="C33" s="48"/>
      <c r="D33" s="48"/>
    </row>
    <row r="34" spans="2:7">
      <c r="B34" s="2"/>
      <c r="C34" s="48"/>
      <c r="D34" s="48"/>
    </row>
    <row r="36" spans="2:7">
      <c r="G36" s="99"/>
    </row>
  </sheetData>
  <mergeCells count="5">
    <mergeCell ref="B2:D2"/>
    <mergeCell ref="F2:I2"/>
    <mergeCell ref="B3:C3"/>
    <mergeCell ref="B7:C7"/>
    <mergeCell ref="B11:C11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D10" zoomScale="70" zoomScaleNormal="70" zoomScalePageLayoutView="55" workbookViewId="0">
      <selection activeCell="R24" sqref="R24"/>
    </sheetView>
  </sheetViews>
  <sheetFormatPr defaultColWidth="8.85546875" defaultRowHeight="15" customHeight="1"/>
  <cols>
    <col min="1" max="1" width="8.85546875" style="102"/>
    <col min="2" max="2" width="41.85546875" style="180" customWidth="1"/>
    <col min="3" max="3" width="9.5703125" style="180" customWidth="1"/>
    <col min="4" max="4" width="8.7109375" style="180" customWidth="1"/>
    <col min="5" max="5" width="59.7109375" style="180" customWidth="1"/>
    <col min="6" max="6" width="4.42578125" style="102" customWidth="1"/>
    <col min="7" max="7" width="32.42578125" style="102" customWidth="1"/>
    <col min="8" max="8" width="12.7109375" style="102" customWidth="1"/>
    <col min="9" max="9" width="13.5703125" style="102" customWidth="1"/>
    <col min="10" max="10" width="11.7109375" style="102" customWidth="1"/>
    <col min="11" max="11" width="3.42578125" style="102" customWidth="1"/>
    <col min="12" max="12" width="38.28515625" style="102" customWidth="1"/>
    <col min="13" max="13" width="12.7109375" style="102" customWidth="1"/>
    <col min="14" max="14" width="10.5703125" style="102" customWidth="1"/>
    <col min="15" max="15" width="13.42578125" style="102" customWidth="1"/>
    <col min="16" max="17" width="8.85546875" style="102"/>
    <col min="18" max="18" width="29.140625" style="102" customWidth="1"/>
    <col min="19" max="19" width="8.85546875" style="102"/>
    <col min="20" max="20" width="17.28515625" style="102" customWidth="1"/>
    <col min="21" max="21" width="16.140625" style="102" customWidth="1"/>
    <col min="22" max="16384" width="8.85546875" style="102"/>
  </cols>
  <sheetData>
    <row r="1" spans="1:15" ht="15" customHeight="1" thickBot="1">
      <c r="A1" s="100"/>
      <c r="B1" s="101"/>
      <c r="C1" s="101"/>
      <c r="D1" s="101"/>
      <c r="E1" s="101"/>
      <c r="G1" s="5"/>
    </row>
    <row r="2" spans="1:15" s="104" customFormat="1" ht="18.75" customHeight="1" thickBot="1">
      <c r="A2" s="103"/>
      <c r="B2" s="505" t="s">
        <v>40</v>
      </c>
      <c r="C2" s="506"/>
      <c r="D2" s="506"/>
      <c r="E2" s="507"/>
      <c r="G2" s="508" t="s">
        <v>41</v>
      </c>
      <c r="H2" s="509"/>
      <c r="I2" s="509"/>
      <c r="J2" s="510"/>
      <c r="L2" s="508" t="s">
        <v>42</v>
      </c>
      <c r="M2" s="509"/>
      <c r="N2" s="509"/>
      <c r="O2" s="510"/>
    </row>
    <row r="3" spans="1:15" ht="17.25" customHeight="1">
      <c r="A3" s="100"/>
      <c r="B3" s="511" t="s">
        <v>2</v>
      </c>
      <c r="C3" s="512"/>
      <c r="D3" s="513"/>
      <c r="E3" s="7" t="s">
        <v>3</v>
      </c>
      <c r="G3" s="105" t="s">
        <v>43</v>
      </c>
      <c r="H3" s="106">
        <v>8</v>
      </c>
      <c r="I3" s="107" t="s">
        <v>44</v>
      </c>
      <c r="J3" s="108">
        <f>H3*365</f>
        <v>2920</v>
      </c>
      <c r="L3" s="105" t="s">
        <v>43</v>
      </c>
      <c r="M3" s="106">
        <v>12</v>
      </c>
      <c r="N3" s="107" t="s">
        <v>44</v>
      </c>
      <c r="O3" s="108">
        <f>M3*365</f>
        <v>4380</v>
      </c>
    </row>
    <row r="4" spans="1:15" ht="15" customHeight="1">
      <c r="A4" s="100"/>
      <c r="B4" s="13" t="s">
        <v>15</v>
      </c>
      <c r="C4" s="514">
        <f>59573.8293116461*(2.72%+1)</f>
        <v>61194.237468922882</v>
      </c>
      <c r="D4" s="514"/>
      <c r="E4" s="15" t="s">
        <v>236</v>
      </c>
      <c r="G4" s="16" t="s">
        <v>46</v>
      </c>
      <c r="H4" s="109" t="s">
        <v>8</v>
      </c>
      <c r="I4" s="109" t="s">
        <v>47</v>
      </c>
      <c r="J4" s="110" t="s">
        <v>10</v>
      </c>
      <c r="L4" s="16" t="s">
        <v>46</v>
      </c>
      <c r="M4" s="109" t="s">
        <v>8</v>
      </c>
      <c r="N4" s="109" t="s">
        <v>47</v>
      </c>
      <c r="O4" s="110" t="s">
        <v>10</v>
      </c>
    </row>
    <row r="5" spans="1:15" ht="15" customHeight="1">
      <c r="A5" s="100"/>
      <c r="B5" s="111" t="s">
        <v>48</v>
      </c>
      <c r="C5" s="515">
        <f>31610.4595180723*(2.72%+1)</f>
        <v>32470.264016963873</v>
      </c>
      <c r="D5" s="515"/>
      <c r="E5" s="36" t="s">
        <v>45</v>
      </c>
      <c r="G5" s="112" t="str">
        <f>B4</f>
        <v xml:space="preserve">Program Director </v>
      </c>
      <c r="H5" s="113">
        <f>C4</f>
        <v>61194.237468922882</v>
      </c>
      <c r="I5" s="114">
        <f>C10</f>
        <v>1</v>
      </c>
      <c r="J5" s="115">
        <f>H5*I5</f>
        <v>61194.237468922882</v>
      </c>
      <c r="L5" s="112" t="str">
        <f t="shared" ref="L5:M9" si="0">B4</f>
        <v xml:space="preserve">Program Director </v>
      </c>
      <c r="M5" s="113">
        <f t="shared" si="0"/>
        <v>61194.237468922882</v>
      </c>
      <c r="N5" s="30">
        <f>D10</f>
        <v>1</v>
      </c>
      <c r="O5" s="115">
        <f>M5*N5</f>
        <v>61194.237468922882</v>
      </c>
    </row>
    <row r="6" spans="1:15" ht="15" customHeight="1">
      <c r="A6" s="100"/>
      <c r="B6" s="111" t="s">
        <v>49</v>
      </c>
      <c r="C6" s="515">
        <f>31610.4595180723*(2.72%+1)</f>
        <v>32470.264016963873</v>
      </c>
      <c r="D6" s="515"/>
      <c r="E6" s="36" t="s">
        <v>45</v>
      </c>
      <c r="G6" s="111" t="str">
        <f t="shared" ref="G6:H8" si="1">B6</f>
        <v>Direct Care II</v>
      </c>
      <c r="H6" s="113">
        <f t="shared" si="1"/>
        <v>32470.264016963873</v>
      </c>
      <c r="I6" s="116">
        <f>C12</f>
        <v>3</v>
      </c>
      <c r="J6" s="115">
        <f t="shared" ref="J6:J8" si="2">H6*I6</f>
        <v>97410.792050891614</v>
      </c>
      <c r="L6" s="111" t="str">
        <f t="shared" si="0"/>
        <v>Caseworker/manager non-masters</v>
      </c>
      <c r="M6" s="113">
        <f t="shared" si="0"/>
        <v>32470.264016963873</v>
      </c>
      <c r="N6" s="30">
        <f>D11</f>
        <v>0.25</v>
      </c>
      <c r="O6" s="115">
        <f>M6*N6</f>
        <v>8117.5660042409681</v>
      </c>
    </row>
    <row r="7" spans="1:15" ht="15" customHeight="1">
      <c r="A7" s="100"/>
      <c r="B7" s="111" t="s">
        <v>50</v>
      </c>
      <c r="C7" s="515">
        <f>28466.5602409639*(2.72%+1)</f>
        <v>29240.85067951812</v>
      </c>
      <c r="D7" s="515"/>
      <c r="E7" s="36" t="s">
        <v>45</v>
      </c>
      <c r="G7" s="111" t="str">
        <f t="shared" si="1"/>
        <v>Direct Care I</v>
      </c>
      <c r="H7" s="113">
        <f t="shared" si="1"/>
        <v>29240.85067951812</v>
      </c>
      <c r="I7" s="114">
        <f>C13</f>
        <v>3</v>
      </c>
      <c r="J7" s="115">
        <f t="shared" si="2"/>
        <v>87722.552038554364</v>
      </c>
      <c r="L7" s="111" t="str">
        <f t="shared" si="0"/>
        <v>Direct Care II</v>
      </c>
      <c r="M7" s="113">
        <f t="shared" si="0"/>
        <v>32470.264016963873</v>
      </c>
      <c r="N7" s="35">
        <f>D12</f>
        <v>6</v>
      </c>
      <c r="O7" s="115">
        <f>M7*N7</f>
        <v>194821.58410178323</v>
      </c>
    </row>
    <row r="8" spans="1:15" ht="15" customHeight="1">
      <c r="A8" s="100"/>
      <c r="B8" s="117" t="s">
        <v>51</v>
      </c>
      <c r="C8" s="516">
        <f>2080*13.5</f>
        <v>28080</v>
      </c>
      <c r="D8" s="516"/>
      <c r="E8" s="45" t="s">
        <v>52</v>
      </c>
      <c r="G8" s="117" t="str">
        <f t="shared" si="1"/>
        <v>Relief</v>
      </c>
      <c r="H8" s="118">
        <f t="shared" si="1"/>
        <v>28080</v>
      </c>
      <c r="I8" s="30">
        <f>C14</f>
        <v>0.92307692307692313</v>
      </c>
      <c r="J8" s="115">
        <f t="shared" si="2"/>
        <v>25920</v>
      </c>
      <c r="L8" s="111" t="str">
        <f t="shared" si="0"/>
        <v>Direct Care I</v>
      </c>
      <c r="M8" s="113">
        <f t="shared" si="0"/>
        <v>29240.85067951812</v>
      </c>
      <c r="N8" s="30">
        <f>D13</f>
        <v>2</v>
      </c>
      <c r="O8" s="115">
        <f>M8*N8</f>
        <v>58481.70135903624</v>
      </c>
    </row>
    <row r="9" spans="1:15" ht="15" customHeight="1">
      <c r="A9" s="100"/>
      <c r="B9" s="119" t="s">
        <v>14</v>
      </c>
      <c r="C9" s="120" t="s">
        <v>53</v>
      </c>
      <c r="D9" s="121" t="s">
        <v>54</v>
      </c>
      <c r="E9" s="45"/>
      <c r="F9" s="122"/>
      <c r="G9" s="49" t="s">
        <v>55</v>
      </c>
      <c r="H9" s="123"/>
      <c r="I9" s="124">
        <f>SUM(I5:I8)</f>
        <v>7.9230769230769234</v>
      </c>
      <c r="J9" s="125">
        <f>SUM(J5:J8)</f>
        <v>272247.58155836887</v>
      </c>
      <c r="L9" s="117" t="str">
        <f t="shared" si="0"/>
        <v>Relief</v>
      </c>
      <c r="M9" s="118">
        <f t="shared" si="0"/>
        <v>28080</v>
      </c>
      <c r="N9" s="30">
        <f>D14</f>
        <v>1.2307692307692308</v>
      </c>
      <c r="O9" s="115">
        <f>M9*N9</f>
        <v>34560</v>
      </c>
    </row>
    <row r="10" spans="1:15" ht="15" customHeight="1">
      <c r="A10" s="100"/>
      <c r="B10" s="13" t="s">
        <v>15</v>
      </c>
      <c r="C10" s="35">
        <v>1</v>
      </c>
      <c r="D10" s="35">
        <v>1</v>
      </c>
      <c r="E10" s="36" t="s">
        <v>16</v>
      </c>
      <c r="F10" s="122"/>
      <c r="G10" s="40"/>
      <c r="H10" s="126"/>
      <c r="I10" s="127"/>
      <c r="J10" s="128"/>
      <c r="L10" s="49" t="s">
        <v>55</v>
      </c>
      <c r="M10" s="123"/>
      <c r="N10" s="124">
        <f>SUM(N5:N9)</f>
        <v>10.48076923076923</v>
      </c>
      <c r="O10" s="125">
        <f>SUM(O5:O9)</f>
        <v>357175.08893398335</v>
      </c>
    </row>
    <row r="11" spans="1:15" ht="15" customHeight="1">
      <c r="A11" s="100"/>
      <c r="B11" s="13" t="s">
        <v>48</v>
      </c>
      <c r="C11" s="35"/>
      <c r="D11" s="35">
        <v>0.25</v>
      </c>
      <c r="E11" s="36" t="s">
        <v>16</v>
      </c>
      <c r="F11" s="122"/>
      <c r="G11" s="129"/>
      <c r="H11" s="130"/>
      <c r="I11" s="130"/>
      <c r="J11" s="131"/>
      <c r="K11" s="122"/>
      <c r="L11" s="129"/>
      <c r="M11" s="130"/>
      <c r="N11" s="130"/>
      <c r="O11" s="131"/>
    </row>
    <row r="12" spans="1:15" ht="15" customHeight="1">
      <c r="A12" s="100"/>
      <c r="B12" s="13" t="s">
        <v>49</v>
      </c>
      <c r="C12" s="35">
        <v>3</v>
      </c>
      <c r="D12" s="35">
        <v>6</v>
      </c>
      <c r="E12" s="36" t="s">
        <v>16</v>
      </c>
      <c r="F12" s="122"/>
      <c r="G12" s="13" t="s">
        <v>56</v>
      </c>
      <c r="H12" s="132">
        <v>0.21709999999999999</v>
      </c>
      <c r="I12" s="133"/>
      <c r="J12" s="134">
        <f>J9*H12</f>
        <v>59104.949956321878</v>
      </c>
      <c r="K12" s="122"/>
      <c r="L12" s="13" t="s">
        <v>56</v>
      </c>
      <c r="M12" s="132">
        <f>C16</f>
        <v>0.21709999999999999</v>
      </c>
      <c r="N12" s="133"/>
      <c r="O12" s="134">
        <f>O10*M12</f>
        <v>77542.711807567786</v>
      </c>
    </row>
    <row r="13" spans="1:15" ht="15" customHeight="1">
      <c r="A13" s="100"/>
      <c r="B13" s="20" t="s">
        <v>50</v>
      </c>
      <c r="C13" s="30">
        <v>3</v>
      </c>
      <c r="D13" s="30">
        <v>2</v>
      </c>
      <c r="E13" s="36" t="s">
        <v>16</v>
      </c>
      <c r="F13" s="122"/>
      <c r="G13" s="49" t="s">
        <v>57</v>
      </c>
      <c r="H13" s="135"/>
      <c r="I13" s="135"/>
      <c r="J13" s="125">
        <f>SUM(J9:J12)</f>
        <v>331352.53151469072</v>
      </c>
      <c r="K13" s="122"/>
      <c r="L13" s="49" t="s">
        <v>57</v>
      </c>
      <c r="M13" s="135"/>
      <c r="N13" s="135"/>
      <c r="O13" s="125">
        <f>SUM(O10:O12)</f>
        <v>434717.80074155115</v>
      </c>
    </row>
    <row r="14" spans="1:15" ht="15" customHeight="1">
      <c r="A14" s="100"/>
      <c r="B14" s="27" t="s">
        <v>51</v>
      </c>
      <c r="C14" s="44">
        <v>0.92307692307692313</v>
      </c>
      <c r="D14" s="44">
        <v>1.2307692307692308</v>
      </c>
      <c r="E14" s="45" t="s">
        <v>16</v>
      </c>
      <c r="F14" s="122"/>
      <c r="G14" s="40"/>
      <c r="H14" s="136" t="s">
        <v>58</v>
      </c>
      <c r="I14" s="136" t="s">
        <v>25</v>
      </c>
      <c r="J14" s="128"/>
      <c r="K14" s="122"/>
      <c r="L14" s="40"/>
      <c r="M14" s="136" t="s">
        <v>58</v>
      </c>
      <c r="N14" s="136" t="s">
        <v>25</v>
      </c>
      <c r="O14" s="128"/>
    </row>
    <row r="15" spans="1:15" ht="15" customHeight="1">
      <c r="A15" s="100"/>
      <c r="B15" s="492" t="s">
        <v>20</v>
      </c>
      <c r="C15" s="493"/>
      <c r="D15" s="517"/>
      <c r="E15" s="33"/>
      <c r="F15" s="122"/>
      <c r="G15" s="13" t="s">
        <v>59</v>
      </c>
      <c r="H15" s="137">
        <f>C17</f>
        <v>83.087257584578353</v>
      </c>
      <c r="I15" s="133">
        <f>C18*52</f>
        <v>52</v>
      </c>
      <c r="J15" s="134">
        <f>H15*I15</f>
        <v>4320.537394398074</v>
      </c>
      <c r="K15" s="122"/>
      <c r="L15" s="13" t="s">
        <v>59</v>
      </c>
      <c r="M15" s="138">
        <f>C17</f>
        <v>83.087257584578353</v>
      </c>
      <c r="N15" s="133">
        <f>D18*52</f>
        <v>104</v>
      </c>
      <c r="O15" s="134">
        <f>M15*N15</f>
        <v>8641.0747887961479</v>
      </c>
    </row>
    <row r="16" spans="1:15" ht="15" customHeight="1">
      <c r="A16" s="100"/>
      <c r="B16" s="52" t="s">
        <v>22</v>
      </c>
      <c r="C16" s="518">
        <v>0.21709999999999999</v>
      </c>
      <c r="D16" s="519"/>
      <c r="E16" s="36" t="s">
        <v>23</v>
      </c>
      <c r="F16" s="139"/>
      <c r="G16" s="140" t="s">
        <v>60</v>
      </c>
      <c r="H16" s="137">
        <f>C19</f>
        <v>18.910313893012045</v>
      </c>
      <c r="I16" s="141"/>
      <c r="J16" s="115">
        <f>J3*H16</f>
        <v>55218.116567595171</v>
      </c>
      <c r="K16" s="122"/>
      <c r="L16" s="140" t="s">
        <v>60</v>
      </c>
      <c r="M16" s="138">
        <f>C19</f>
        <v>18.910313893012045</v>
      </c>
      <c r="N16" s="141"/>
      <c r="O16" s="115">
        <f>O3*M16</f>
        <v>82827.17485139276</v>
      </c>
    </row>
    <row r="17" spans="1:15" ht="15" customHeight="1">
      <c r="A17" s="100"/>
      <c r="B17" s="13" t="s">
        <v>59</v>
      </c>
      <c r="C17" s="495">
        <f>80.8871277108434*(2.72%+1)</f>
        <v>83.087257584578353</v>
      </c>
      <c r="D17" s="496"/>
      <c r="E17" s="36" t="s">
        <v>61</v>
      </c>
      <c r="F17" s="139"/>
      <c r="G17" s="13" t="s">
        <v>62</v>
      </c>
      <c r="H17" s="137">
        <f>C20</f>
        <v>8.3819520000000018</v>
      </c>
      <c r="I17" s="142"/>
      <c r="J17" s="134">
        <f>H17*J3</f>
        <v>24475.299840000007</v>
      </c>
      <c r="K17" s="122"/>
      <c r="L17" s="13" t="s">
        <v>62</v>
      </c>
      <c r="M17" s="138">
        <f>C20</f>
        <v>8.3819520000000018</v>
      </c>
      <c r="N17" s="142"/>
      <c r="O17" s="134">
        <f>M17*O3</f>
        <v>36712.94976000001</v>
      </c>
    </row>
    <row r="18" spans="1:15" ht="15" customHeight="1">
      <c r="A18" s="100"/>
      <c r="B18" s="143" t="s">
        <v>63</v>
      </c>
      <c r="C18" s="30">
        <v>1</v>
      </c>
      <c r="D18" s="30">
        <v>2</v>
      </c>
      <c r="E18" s="36"/>
      <c r="F18" s="139"/>
      <c r="G18" s="13" t="s">
        <v>64</v>
      </c>
      <c r="H18" s="118">
        <f>C21</f>
        <v>1262.4453837108404</v>
      </c>
      <c r="I18" s="144"/>
      <c r="J18" s="134">
        <f>H18*H3</f>
        <v>10099.563069686723</v>
      </c>
      <c r="K18" s="139"/>
      <c r="L18" s="13" t="s">
        <v>64</v>
      </c>
      <c r="M18" s="118">
        <f>C21</f>
        <v>1262.4453837108404</v>
      </c>
      <c r="N18" s="144"/>
      <c r="O18" s="134">
        <f>M18*M3</f>
        <v>15149.344604530084</v>
      </c>
    </row>
    <row r="19" spans="1:15" ht="15" customHeight="1">
      <c r="A19" s="100"/>
      <c r="B19" s="140" t="s">
        <v>60</v>
      </c>
      <c r="C19" s="495">
        <f>18.4095734939759*(2.72%+1)</f>
        <v>18.910313893012045</v>
      </c>
      <c r="D19" s="496"/>
      <c r="E19" s="36" t="s">
        <v>61</v>
      </c>
      <c r="F19" s="145"/>
      <c r="G19" s="13"/>
      <c r="H19" s="133"/>
      <c r="I19" s="133"/>
      <c r="J19" s="134"/>
      <c r="K19" s="139"/>
      <c r="L19" s="13"/>
      <c r="M19" s="133"/>
      <c r="N19" s="133"/>
      <c r="O19" s="134"/>
    </row>
    <row r="20" spans="1:15" ht="15" customHeight="1">
      <c r="A20" s="100"/>
      <c r="B20" s="13" t="s">
        <v>62</v>
      </c>
      <c r="C20" s="495">
        <f>8.16*(2.72%+1)</f>
        <v>8.3819520000000018</v>
      </c>
      <c r="D20" s="496"/>
      <c r="E20" s="36" t="s">
        <v>23</v>
      </c>
      <c r="F20" s="146"/>
      <c r="G20" s="49" t="s">
        <v>31</v>
      </c>
      <c r="H20" s="135"/>
      <c r="I20" s="135"/>
      <c r="J20" s="125">
        <f>J13+SUM(J15:J18)</f>
        <v>425466.0483863707</v>
      </c>
      <c r="K20" s="139"/>
      <c r="L20" s="49" t="s">
        <v>31</v>
      </c>
      <c r="M20" s="135"/>
      <c r="N20" s="135"/>
      <c r="O20" s="125">
        <f>O13+SUM(O15:O18)</f>
        <v>578048.34474627022</v>
      </c>
    </row>
    <row r="21" spans="1:15" s="148" customFormat="1" ht="15" customHeight="1">
      <c r="A21" s="147"/>
      <c r="B21" s="13" t="s">
        <v>64</v>
      </c>
      <c r="C21" s="497">
        <f>1229.01614457831*(2.72%+1)</f>
        <v>1262.4453837108404</v>
      </c>
      <c r="D21" s="498"/>
      <c r="E21" s="36" t="s">
        <v>61</v>
      </c>
      <c r="F21" s="102"/>
      <c r="G21" s="40"/>
      <c r="H21" s="136"/>
      <c r="I21" s="136"/>
      <c r="J21" s="128"/>
      <c r="K21" s="145"/>
      <c r="L21" s="40"/>
      <c r="M21" s="136"/>
      <c r="N21" s="136"/>
      <c r="O21" s="128"/>
    </row>
    <row r="22" spans="1:15" ht="15" customHeight="1">
      <c r="A22" s="100"/>
      <c r="B22" s="149" t="s">
        <v>30</v>
      </c>
      <c r="C22" s="499">
        <v>0.10979999999999999</v>
      </c>
      <c r="D22" s="500"/>
      <c r="E22" s="150" t="s">
        <v>23</v>
      </c>
      <c r="G22" s="151" t="str">
        <f>B22</f>
        <v>Administrative Allocation</v>
      </c>
      <c r="H22" s="132">
        <f>C22</f>
        <v>0.10979999999999999</v>
      </c>
      <c r="I22" s="133"/>
      <c r="J22" s="134">
        <f>J20*H22</f>
        <v>46716.1721128235</v>
      </c>
      <c r="K22" s="146"/>
      <c r="L22" s="151" t="str">
        <f>B22</f>
        <v>Administrative Allocation</v>
      </c>
      <c r="M22" s="132">
        <f>C22</f>
        <v>0.10979999999999999</v>
      </c>
      <c r="N22" s="133"/>
      <c r="O22" s="134">
        <f>O20*M22</f>
        <v>63469.708253140467</v>
      </c>
    </row>
    <row r="23" spans="1:15" ht="15" customHeight="1">
      <c r="A23" s="100"/>
      <c r="B23" s="396" t="s">
        <v>32</v>
      </c>
      <c r="C23" s="501">
        <v>6.3E-3</v>
      </c>
      <c r="D23" s="502"/>
      <c r="E23" s="401" t="s">
        <v>33</v>
      </c>
      <c r="G23" s="396" t="s">
        <v>32</v>
      </c>
      <c r="H23" s="402">
        <f>C23</f>
        <v>6.3E-3</v>
      </c>
      <c r="I23" s="133"/>
      <c r="J23" s="134">
        <f>H23*J9</f>
        <v>1715.1597638177238</v>
      </c>
      <c r="L23" s="152" t="str">
        <f>B23</f>
        <v>PFLMA Trust Contribution</v>
      </c>
      <c r="M23" s="402">
        <f>C23</f>
        <v>6.3E-3</v>
      </c>
      <c r="N23" s="133"/>
      <c r="O23" s="134">
        <f>M23*O10</f>
        <v>2250.203060284095</v>
      </c>
    </row>
    <row r="24" spans="1:15" ht="15" customHeight="1" thickBot="1">
      <c r="A24" s="100"/>
      <c r="B24" s="71" t="s">
        <v>34</v>
      </c>
      <c r="C24" s="503">
        <v>1.8120393120392975E-2</v>
      </c>
      <c r="D24" s="504"/>
      <c r="E24" s="153" t="s">
        <v>65</v>
      </c>
      <c r="G24" s="154" t="s">
        <v>36</v>
      </c>
      <c r="H24" s="155"/>
      <c r="I24" s="155"/>
      <c r="J24" s="156">
        <f>SUM(J20:J23)</f>
        <v>473897.38026301196</v>
      </c>
      <c r="L24" s="154" t="s">
        <v>36</v>
      </c>
      <c r="M24" s="155"/>
      <c r="N24" s="155"/>
      <c r="O24" s="156">
        <f>SUM(O20:O23)</f>
        <v>643768.2560596948</v>
      </c>
    </row>
    <row r="25" spans="1:15" ht="15" customHeight="1">
      <c r="A25" s="100"/>
      <c r="B25" s="75"/>
      <c r="C25" s="157"/>
      <c r="D25" s="157"/>
      <c r="E25" s="157"/>
      <c r="G25" s="40"/>
      <c r="H25" s="136"/>
      <c r="I25" s="136"/>
      <c r="J25" s="128"/>
      <c r="L25" s="40"/>
      <c r="M25" s="136"/>
      <c r="N25" s="136"/>
      <c r="O25" s="128"/>
    </row>
    <row r="26" spans="1:15" ht="15" customHeight="1">
      <c r="A26" s="100"/>
      <c r="B26" s="158"/>
      <c r="C26" s="158"/>
      <c r="D26" s="158"/>
      <c r="E26" s="158"/>
      <c r="G26" s="13" t="s">
        <v>34</v>
      </c>
      <c r="H26" s="132">
        <f>C24</f>
        <v>1.8120393120392975E-2</v>
      </c>
      <c r="I26" s="133"/>
      <c r="J26" s="134">
        <f>J24*H26</f>
        <v>8587.2068290901352</v>
      </c>
      <c r="L26" s="13" t="s">
        <v>34</v>
      </c>
      <c r="M26" s="132">
        <f>C24</f>
        <v>1.8120393120392975E-2</v>
      </c>
      <c r="N26" s="133"/>
      <c r="O26" s="134">
        <f>O24*M26</f>
        <v>11665.333878231477</v>
      </c>
    </row>
    <row r="27" spans="1:15" ht="15" customHeight="1">
      <c r="A27" s="100"/>
      <c r="B27" s="473"/>
      <c r="C27" s="474"/>
      <c r="D27" s="475"/>
      <c r="E27" s="158"/>
      <c r="G27" s="66"/>
      <c r="H27" s="132"/>
      <c r="I27" s="133"/>
      <c r="J27" s="134"/>
      <c r="L27" s="66"/>
      <c r="M27" s="132"/>
      <c r="N27" s="133"/>
      <c r="O27" s="134"/>
    </row>
    <row r="28" spans="1:15" ht="15" customHeight="1">
      <c r="A28" s="100"/>
      <c r="B28" s="476"/>
      <c r="C28" s="159"/>
      <c r="D28" s="477"/>
      <c r="E28" s="160"/>
      <c r="G28" s="13"/>
      <c r="H28" s="132"/>
      <c r="I28" s="133"/>
      <c r="J28" s="134"/>
      <c r="L28" s="13"/>
      <c r="M28" s="132"/>
      <c r="N28" s="133"/>
      <c r="O28" s="134"/>
    </row>
    <row r="29" spans="1:15" ht="15" customHeight="1">
      <c r="A29" s="100"/>
      <c r="B29" s="476"/>
      <c r="C29" s="159"/>
      <c r="D29" s="477"/>
      <c r="E29" s="160"/>
      <c r="G29" s="49" t="s">
        <v>37</v>
      </c>
      <c r="H29" s="135"/>
      <c r="I29" s="135"/>
      <c r="J29" s="125">
        <f>SUM(J24:J28)</f>
        <v>482484.5870921021</v>
      </c>
      <c r="L29" s="49" t="s">
        <v>37</v>
      </c>
      <c r="M29" s="135"/>
      <c r="N29" s="135"/>
      <c r="O29" s="125">
        <f>SUM(O24:O28)</f>
        <v>655433.58993792627</v>
      </c>
    </row>
    <row r="30" spans="1:15" ht="15" customHeight="1">
      <c r="A30" s="100"/>
      <c r="B30" s="476"/>
      <c r="C30" s="159"/>
      <c r="D30" s="477"/>
      <c r="E30" s="158"/>
      <c r="G30" s="67"/>
      <c r="H30" s="161"/>
      <c r="I30" s="161"/>
      <c r="J30" s="162"/>
      <c r="L30" s="67"/>
      <c r="M30" s="161"/>
      <c r="N30" s="161"/>
      <c r="O30" s="162"/>
    </row>
    <row r="31" spans="1:15" ht="15" customHeight="1" thickBot="1">
      <c r="A31" s="100"/>
      <c r="B31" s="478"/>
      <c r="C31" s="159"/>
      <c r="D31" s="477"/>
      <c r="E31" s="158"/>
      <c r="G31" s="13" t="s">
        <v>73</v>
      </c>
      <c r="H31" s="133"/>
      <c r="I31" s="133"/>
      <c r="J31" s="163">
        <f>J29/J3</f>
        <v>165.23444763428154</v>
      </c>
      <c r="L31" s="13" t="s">
        <v>73</v>
      </c>
      <c r="M31" s="133"/>
      <c r="N31" s="133"/>
      <c r="O31" s="163">
        <f>O29/O3</f>
        <v>149.64237213194664</v>
      </c>
    </row>
    <row r="32" spans="1:15" ht="15" customHeight="1" thickBot="1">
      <c r="A32" s="100"/>
      <c r="B32" s="476"/>
      <c r="C32" s="164"/>
      <c r="D32" s="477"/>
      <c r="E32" s="160"/>
      <c r="G32" s="165" t="s">
        <v>75</v>
      </c>
      <c r="H32" s="166">
        <v>0.95</v>
      </c>
      <c r="I32" s="167"/>
      <c r="J32" s="168">
        <f>ROUND(J31/H32,2)</f>
        <v>173.93</v>
      </c>
      <c r="L32" s="165" t="s">
        <v>75</v>
      </c>
      <c r="M32" s="166">
        <v>0.95</v>
      </c>
      <c r="N32" s="167"/>
      <c r="O32" s="168">
        <f>ROUND(O31/M32,2)</f>
        <v>157.52000000000001</v>
      </c>
    </row>
    <row r="33" spans="1:15" ht="27.6" customHeight="1" thickBot="1">
      <c r="A33" s="100"/>
      <c r="B33" s="494"/>
      <c r="C33" s="494"/>
      <c r="D33" s="479"/>
      <c r="E33" s="160"/>
      <c r="G33" s="169" t="s">
        <v>75</v>
      </c>
      <c r="H33" s="170">
        <v>0.98</v>
      </c>
      <c r="I33" s="171"/>
      <c r="J33" s="486">
        <f>ROUND(J31/H33,2)</f>
        <v>168.61</v>
      </c>
      <c r="L33" s="169" t="s">
        <v>75</v>
      </c>
      <c r="M33" s="170">
        <v>0.98</v>
      </c>
      <c r="N33" s="171"/>
      <c r="O33" s="486">
        <f>ROUND(O31/M33,2)</f>
        <v>152.69999999999999</v>
      </c>
    </row>
    <row r="34" spans="1:15" ht="15" customHeight="1">
      <c r="B34" s="100"/>
      <c r="C34" s="100"/>
      <c r="D34" s="100"/>
      <c r="E34" s="158"/>
    </row>
    <row r="35" spans="1:15" ht="15" customHeight="1">
      <c r="B35" s="172"/>
      <c r="C35" s="173"/>
      <c r="D35" s="173"/>
      <c r="E35" s="174"/>
    </row>
    <row r="36" spans="1:15" ht="15" customHeight="1">
      <c r="B36" s="172"/>
      <c r="C36" s="173"/>
      <c r="D36" s="173"/>
      <c r="E36" s="174"/>
      <c r="K36" s="175"/>
    </row>
    <row r="37" spans="1:15" ht="15" customHeight="1">
      <c r="B37" s="172"/>
      <c r="C37" s="173"/>
      <c r="D37" s="173"/>
      <c r="E37" s="174"/>
      <c r="J37" s="176"/>
      <c r="K37" s="176"/>
      <c r="L37" s="176"/>
      <c r="M37" s="176"/>
      <c r="N37" s="176"/>
    </row>
    <row r="38" spans="1:15" ht="15" customHeight="1">
      <c r="B38" s="172"/>
      <c r="C38" s="173"/>
      <c r="D38" s="173"/>
      <c r="E38" s="174"/>
      <c r="I38" s="176"/>
      <c r="J38" s="176"/>
      <c r="K38" s="176"/>
      <c r="L38" s="176"/>
      <c r="M38" s="176"/>
      <c r="N38" s="176"/>
      <c r="O38" s="176"/>
    </row>
    <row r="39" spans="1:15" ht="15" customHeight="1">
      <c r="B39" s="172"/>
      <c r="C39" s="173"/>
      <c r="D39" s="173"/>
      <c r="E39" s="174"/>
      <c r="I39" s="175"/>
      <c r="J39" s="176"/>
      <c r="K39" s="176"/>
      <c r="L39" s="176"/>
      <c r="M39" s="176"/>
      <c r="N39" s="176"/>
      <c r="O39" s="176"/>
    </row>
    <row r="40" spans="1:15" ht="15" customHeight="1">
      <c r="B40" s="403"/>
      <c r="C40" s="96"/>
      <c r="D40" s="96"/>
      <c r="E40" s="353"/>
      <c r="I40" s="175"/>
      <c r="J40" s="177"/>
      <c r="K40" s="176"/>
      <c r="L40" s="176"/>
      <c r="M40" s="176"/>
      <c r="N40" s="176"/>
      <c r="O40" s="177"/>
    </row>
    <row r="41" spans="1:15" ht="15" customHeight="1">
      <c r="B41" s="404"/>
      <c r="C41" s="96"/>
      <c r="D41" s="96"/>
      <c r="E41" s="354"/>
      <c r="I41" s="175"/>
      <c r="K41" s="176"/>
      <c r="L41" s="176"/>
      <c r="M41" s="176"/>
      <c r="N41" s="176"/>
      <c r="O41" s="176"/>
    </row>
    <row r="42" spans="1:15" ht="15" customHeight="1">
      <c r="B42" s="404"/>
      <c r="C42" s="96"/>
      <c r="D42" s="96"/>
      <c r="E42" s="355"/>
      <c r="I42" s="175"/>
      <c r="J42" s="175"/>
    </row>
    <row r="43" spans="1:15" ht="15" customHeight="1">
      <c r="B43" s="404"/>
      <c r="C43" s="96"/>
      <c r="D43" s="96"/>
      <c r="E43" s="355"/>
    </row>
    <row r="44" spans="1:15" ht="15" customHeight="1">
      <c r="B44" s="404"/>
      <c r="C44" s="106"/>
      <c r="D44" s="106"/>
      <c r="E44" s="106"/>
    </row>
    <row r="45" spans="1:15" ht="15" customHeight="1">
      <c r="B45" s="405"/>
      <c r="C45" s="405"/>
      <c r="D45" s="405"/>
      <c r="E45" s="405"/>
    </row>
    <row r="46" spans="1:15" ht="15" customHeight="1">
      <c r="B46" s="118"/>
      <c r="C46" s="118"/>
      <c r="D46" s="118"/>
      <c r="E46" s="118"/>
    </row>
    <row r="47" spans="1:15" ht="15" customHeight="1">
      <c r="B47" s="118"/>
      <c r="C47" s="118"/>
      <c r="D47" s="118"/>
      <c r="E47" s="118"/>
      <c r="K47" s="178"/>
    </row>
    <row r="48" spans="1:15" ht="15" customHeight="1">
      <c r="B48" s="118"/>
      <c r="C48" s="118"/>
      <c r="D48" s="118"/>
      <c r="E48" s="118"/>
    </row>
    <row r="49" spans="2:5" ht="15" customHeight="1">
      <c r="B49" s="118"/>
      <c r="C49" s="118"/>
      <c r="D49" s="118"/>
      <c r="E49" s="118"/>
    </row>
    <row r="50" spans="2:5" ht="15" customHeight="1">
      <c r="B50" s="118"/>
      <c r="C50" s="118"/>
      <c r="D50" s="118"/>
      <c r="E50" s="118"/>
    </row>
    <row r="51" spans="2:5" ht="15" customHeight="1">
      <c r="B51" s="158"/>
      <c r="C51" s="158"/>
      <c r="D51" s="158"/>
      <c r="E51" s="158"/>
    </row>
    <row r="52" spans="2:5" ht="15" customHeight="1">
      <c r="B52" s="179"/>
      <c r="C52" s="179"/>
      <c r="D52" s="179"/>
      <c r="E52" s="179"/>
    </row>
    <row r="53" spans="2:5" ht="15" customHeight="1">
      <c r="B53" s="160"/>
      <c r="C53" s="160"/>
      <c r="D53" s="160"/>
      <c r="E53" s="160"/>
    </row>
    <row r="54" spans="2:5" ht="15" customHeight="1">
      <c r="B54" s="158"/>
      <c r="C54" s="158"/>
      <c r="D54" s="158"/>
      <c r="E54" s="158"/>
    </row>
    <row r="55" spans="2:5" ht="15" customHeight="1">
      <c r="B55" s="158"/>
      <c r="C55" s="158"/>
      <c r="D55" s="158"/>
      <c r="E55" s="158"/>
    </row>
    <row r="56" spans="2:5" ht="15" customHeight="1">
      <c r="B56" s="160"/>
      <c r="C56" s="160"/>
      <c r="D56" s="160"/>
      <c r="E56" s="160"/>
    </row>
    <row r="57" spans="2:5" ht="15" customHeight="1">
      <c r="B57" s="118"/>
      <c r="C57" s="118"/>
      <c r="D57" s="118"/>
      <c r="E57" s="118"/>
    </row>
    <row r="58" spans="2:5" ht="15" customHeight="1">
      <c r="B58" s="160"/>
      <c r="C58" s="160"/>
      <c r="D58" s="160"/>
      <c r="E58" s="160"/>
    </row>
    <row r="59" spans="2:5" ht="15" customHeight="1">
      <c r="B59" s="160"/>
      <c r="C59" s="160"/>
      <c r="D59" s="160"/>
      <c r="E59" s="160"/>
    </row>
    <row r="60" spans="2:5" ht="15" customHeight="1">
      <c r="B60" s="160"/>
      <c r="C60" s="160"/>
      <c r="D60" s="160"/>
      <c r="E60" s="160"/>
    </row>
    <row r="61" spans="2:5" ht="15" customHeight="1">
      <c r="B61" s="158"/>
      <c r="C61" s="158"/>
      <c r="D61" s="158"/>
      <c r="E61" s="158"/>
    </row>
    <row r="62" spans="2:5" ht="15" customHeight="1">
      <c r="B62" s="158"/>
      <c r="C62" s="158"/>
      <c r="D62" s="158"/>
      <c r="E62" s="158"/>
    </row>
    <row r="63" spans="2:5" ht="15" customHeight="1">
      <c r="B63" s="160"/>
      <c r="C63" s="160"/>
      <c r="D63" s="160"/>
      <c r="E63" s="160"/>
    </row>
    <row r="64" spans="2:5" ht="15" customHeight="1">
      <c r="B64" s="160"/>
      <c r="C64" s="160"/>
      <c r="D64" s="160"/>
      <c r="E64" s="160"/>
    </row>
    <row r="65" spans="2:5" ht="15" customHeight="1">
      <c r="B65" s="158"/>
      <c r="C65" s="158"/>
      <c r="D65" s="158"/>
      <c r="E65" s="158"/>
    </row>
    <row r="66" spans="2:5" ht="15" customHeight="1">
      <c r="B66" s="158"/>
      <c r="C66" s="158"/>
      <c r="D66" s="158"/>
      <c r="E66" s="158"/>
    </row>
    <row r="67" spans="2:5" ht="15" customHeight="1">
      <c r="B67" s="160"/>
      <c r="C67" s="160"/>
      <c r="D67" s="160"/>
      <c r="E67" s="160"/>
    </row>
    <row r="68" spans="2:5" ht="15" customHeight="1">
      <c r="B68" s="160"/>
      <c r="C68" s="160"/>
      <c r="D68" s="160"/>
      <c r="E68" s="160"/>
    </row>
    <row r="69" spans="2:5" ht="15" customHeight="1">
      <c r="B69" s="158"/>
      <c r="C69" s="158"/>
      <c r="D69" s="158"/>
      <c r="E69" s="158"/>
    </row>
    <row r="70" spans="2:5" ht="15" customHeight="1">
      <c r="B70" s="174"/>
      <c r="C70" s="174"/>
      <c r="D70" s="174"/>
      <c r="E70" s="174"/>
    </row>
    <row r="71" spans="2:5" ht="15" customHeight="1">
      <c r="B71" s="174"/>
      <c r="C71" s="174"/>
      <c r="D71" s="174"/>
      <c r="E71" s="174"/>
    </row>
    <row r="72" spans="2:5" ht="15" customHeight="1">
      <c r="B72" s="174"/>
      <c r="C72" s="174"/>
      <c r="D72" s="174"/>
      <c r="E72" s="174"/>
    </row>
    <row r="73" spans="2:5" ht="15" customHeight="1">
      <c r="B73" s="174"/>
      <c r="C73" s="174"/>
      <c r="D73" s="174"/>
      <c r="E73" s="174"/>
    </row>
    <row r="74" spans="2:5" ht="15" customHeight="1">
      <c r="B74" s="174"/>
      <c r="C74" s="174"/>
      <c r="D74" s="174"/>
      <c r="E74" s="174"/>
    </row>
  </sheetData>
  <mergeCells count="19">
    <mergeCell ref="C17:D17"/>
    <mergeCell ref="B2:E2"/>
    <mergeCell ref="G2:J2"/>
    <mergeCell ref="L2:O2"/>
    <mergeCell ref="B3:D3"/>
    <mergeCell ref="C4:D4"/>
    <mergeCell ref="C5:D5"/>
    <mergeCell ref="C6:D6"/>
    <mergeCell ref="C7:D7"/>
    <mergeCell ref="C8:D8"/>
    <mergeCell ref="B15:D15"/>
    <mergeCell ref="C16:D16"/>
    <mergeCell ref="B33:C33"/>
    <mergeCell ref="C19:D19"/>
    <mergeCell ref="C20:D20"/>
    <mergeCell ref="C21:D21"/>
    <mergeCell ref="C22:D22"/>
    <mergeCell ref="C23:D23"/>
    <mergeCell ref="C24:D24"/>
  </mergeCells>
  <pageMargins left="0.7" right="0.7" top="0.75" bottom="0.75" header="0.3" footer="0.3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zoomScale="73" zoomScaleNormal="73" zoomScaleSheetLayoutView="85" workbookViewId="0">
      <selection activeCell="C26" sqref="C26"/>
    </sheetView>
  </sheetViews>
  <sheetFormatPr defaultColWidth="9.140625" defaultRowHeight="15.75"/>
  <cols>
    <col min="1" max="1" width="6.7109375" style="181" customWidth="1"/>
    <col min="2" max="2" width="41.85546875" style="183" customWidth="1"/>
    <col min="3" max="3" width="9" style="183" customWidth="1"/>
    <col min="4" max="4" width="9.28515625" style="183" customWidth="1"/>
    <col min="5" max="5" width="59.7109375" style="183" customWidth="1"/>
    <col min="6" max="6" width="3.7109375" style="181" customWidth="1"/>
    <col min="7" max="7" width="33.7109375" style="183" customWidth="1"/>
    <col min="8" max="8" width="11.140625" style="183" customWidth="1"/>
    <col min="9" max="9" width="9.85546875" style="183" customWidth="1"/>
    <col min="10" max="10" width="11.85546875" style="183" customWidth="1"/>
    <col min="11" max="11" width="6.28515625" style="183" customWidth="1"/>
    <col min="12" max="12" width="32.140625" style="181" customWidth="1"/>
    <col min="13" max="13" width="12.7109375" style="181" customWidth="1"/>
    <col min="14" max="14" width="10.7109375" style="181" customWidth="1"/>
    <col min="15" max="15" width="11.7109375" style="181" customWidth="1"/>
    <col min="16" max="16384" width="9.140625" style="181"/>
  </cols>
  <sheetData>
    <row r="1" spans="1:15" ht="15" customHeight="1" thickBot="1">
      <c r="B1" s="182"/>
      <c r="C1" s="182"/>
      <c r="D1" s="182"/>
      <c r="G1" s="184"/>
      <c r="H1" s="182"/>
      <c r="I1" s="182"/>
      <c r="K1" s="181"/>
    </row>
    <row r="2" spans="1:15" ht="15" customHeight="1" thickBot="1">
      <c r="B2" s="538" t="s">
        <v>77</v>
      </c>
      <c r="C2" s="539"/>
      <c r="D2" s="539"/>
      <c r="E2" s="540"/>
      <c r="F2" s="185"/>
      <c r="G2" s="541" t="s">
        <v>78</v>
      </c>
      <c r="H2" s="542"/>
      <c r="I2" s="542"/>
      <c r="J2" s="542"/>
      <c r="K2" s="542"/>
      <c r="L2" s="542"/>
      <c r="M2" s="542"/>
      <c r="N2" s="542"/>
      <c r="O2" s="543"/>
    </row>
    <row r="3" spans="1:15" ht="15" customHeight="1" thickBot="1">
      <c r="B3" s="544" t="s">
        <v>2</v>
      </c>
      <c r="C3" s="545"/>
      <c r="D3" s="546"/>
      <c r="E3" s="186" t="s">
        <v>3</v>
      </c>
      <c r="F3" s="185"/>
      <c r="G3" s="547" t="s">
        <v>79</v>
      </c>
      <c r="H3" s="548"/>
      <c r="I3" s="548"/>
      <c r="J3" s="548"/>
      <c r="K3" s="548"/>
      <c r="L3" s="548"/>
      <c r="M3" s="548"/>
      <c r="N3" s="548"/>
      <c r="O3" s="549"/>
    </row>
    <row r="4" spans="1:15" ht="15" customHeight="1">
      <c r="B4" s="187" t="s">
        <v>6</v>
      </c>
      <c r="C4" s="550">
        <v>61196.377478396869</v>
      </c>
      <c r="D4" s="551"/>
      <c r="E4" s="188" t="s">
        <v>236</v>
      </c>
      <c r="F4" s="189"/>
      <c r="G4" s="190" t="s">
        <v>80</v>
      </c>
      <c r="H4" s="552"/>
      <c r="I4" s="552"/>
      <c r="K4" s="181"/>
      <c r="L4" s="190" t="s">
        <v>81</v>
      </c>
      <c r="M4" s="182"/>
      <c r="N4" s="182"/>
    </row>
    <row r="5" spans="1:15" ht="15" customHeight="1">
      <c r="A5" s="191"/>
      <c r="B5" s="192" t="s">
        <v>82</v>
      </c>
      <c r="C5" s="528">
        <f>31610*(2.72%+1)</f>
        <v>32469.792000000005</v>
      </c>
      <c r="D5" s="529"/>
      <c r="E5" s="188" t="s">
        <v>7</v>
      </c>
      <c r="F5" s="189"/>
      <c r="G5" s="530" t="s">
        <v>83</v>
      </c>
      <c r="H5" s="530"/>
      <c r="I5" s="193"/>
      <c r="K5" s="181"/>
      <c r="L5" s="194" t="s">
        <v>84</v>
      </c>
    </row>
    <row r="6" spans="1:15" ht="15" customHeight="1">
      <c r="A6" s="191"/>
      <c r="B6" s="195" t="s">
        <v>14</v>
      </c>
      <c r="C6" s="196" t="s">
        <v>85</v>
      </c>
      <c r="D6" s="197" t="s">
        <v>86</v>
      </c>
      <c r="E6" s="198"/>
      <c r="F6" s="189"/>
      <c r="G6" s="199"/>
      <c r="H6" s="200"/>
      <c r="I6" s="201" t="s">
        <v>87</v>
      </c>
      <c r="J6" s="202">
        <v>391</v>
      </c>
      <c r="K6" s="181"/>
      <c r="L6" s="199"/>
      <c r="M6" s="200"/>
      <c r="N6" s="201" t="s">
        <v>87</v>
      </c>
      <c r="O6" s="202">
        <v>137</v>
      </c>
    </row>
    <row r="7" spans="1:15" ht="15" customHeight="1">
      <c r="A7" s="191"/>
      <c r="B7" s="187" t="s">
        <v>15</v>
      </c>
      <c r="C7" s="203">
        <v>0.5</v>
      </c>
      <c r="D7" s="203">
        <v>0.5</v>
      </c>
      <c r="E7" s="188" t="s">
        <v>16</v>
      </c>
      <c r="F7" s="189"/>
      <c r="G7" s="204"/>
      <c r="H7" s="205" t="s">
        <v>8</v>
      </c>
      <c r="I7" s="205" t="s">
        <v>9</v>
      </c>
      <c r="J7" s="206" t="s">
        <v>10</v>
      </c>
      <c r="K7" s="181"/>
      <c r="L7" s="204"/>
      <c r="M7" s="205" t="s">
        <v>8</v>
      </c>
      <c r="N7" s="205" t="s">
        <v>9</v>
      </c>
      <c r="O7" s="206" t="s">
        <v>10</v>
      </c>
    </row>
    <row r="8" spans="1:15" ht="15" customHeight="1">
      <c r="A8" s="191"/>
      <c r="B8" s="207" t="s">
        <v>18</v>
      </c>
      <c r="C8" s="208">
        <v>1.5</v>
      </c>
      <c r="D8" s="208">
        <v>4</v>
      </c>
      <c r="E8" s="188" t="s">
        <v>16</v>
      </c>
      <c r="F8" s="189"/>
      <c r="G8" s="199" t="str">
        <f>B4</f>
        <v>Management</v>
      </c>
      <c r="H8" s="209">
        <f>C4</f>
        <v>61196.377478396869</v>
      </c>
      <c r="I8" s="203">
        <f>C7</f>
        <v>0.5</v>
      </c>
      <c r="J8" s="210">
        <f>H8*I8</f>
        <v>30598.188739198435</v>
      </c>
      <c r="K8" s="211"/>
      <c r="L8" s="199" t="str">
        <f>B4</f>
        <v>Management</v>
      </c>
      <c r="M8" s="212">
        <f>C4</f>
        <v>61196.377478396869</v>
      </c>
      <c r="N8" s="203">
        <f>D7</f>
        <v>0.5</v>
      </c>
      <c r="O8" s="210">
        <f>M8*N8</f>
        <v>30598.188739198435</v>
      </c>
    </row>
    <row r="9" spans="1:15" ht="15" customHeight="1">
      <c r="A9" s="191"/>
      <c r="B9" s="531" t="s">
        <v>20</v>
      </c>
      <c r="C9" s="532"/>
      <c r="D9" s="533"/>
      <c r="E9" s="198"/>
      <c r="F9" s="189"/>
      <c r="G9" s="204" t="str">
        <f>B5</f>
        <v>Direct Care</v>
      </c>
      <c r="H9" s="213">
        <f>C5</f>
        <v>32469.792000000005</v>
      </c>
      <c r="I9" s="214">
        <f>C8</f>
        <v>1.5</v>
      </c>
      <c r="J9" s="215">
        <f>H9*I9</f>
        <v>48704.688000000009</v>
      </c>
      <c r="K9" s="211"/>
      <c r="L9" s="204" t="str">
        <f>B5</f>
        <v>Direct Care</v>
      </c>
      <c r="M9" s="216">
        <f>C5</f>
        <v>32469.792000000005</v>
      </c>
      <c r="N9" s="214">
        <f>D8</f>
        <v>4</v>
      </c>
      <c r="O9" s="215">
        <f>M9*N9</f>
        <v>129879.16800000002</v>
      </c>
    </row>
    <row r="10" spans="1:15" ht="15" customHeight="1">
      <c r="A10" s="191"/>
      <c r="B10" s="217" t="s">
        <v>22</v>
      </c>
      <c r="C10" s="534">
        <v>0.21709999999999999</v>
      </c>
      <c r="D10" s="535"/>
      <c r="E10" s="218" t="s">
        <v>23</v>
      </c>
      <c r="F10" s="189"/>
      <c r="G10" s="219" t="s">
        <v>88</v>
      </c>
      <c r="H10" s="220"/>
      <c r="I10" s="221">
        <f>SUM(I8:I9)</f>
        <v>2</v>
      </c>
      <c r="J10" s="222">
        <f>SUM(J8:J9)</f>
        <v>79302.876739198444</v>
      </c>
      <c r="K10" s="211"/>
      <c r="L10" s="219" t="s">
        <v>88</v>
      </c>
      <c r="M10" s="223"/>
      <c r="N10" s="221">
        <f>SUM(N8:N9)</f>
        <v>4.5</v>
      </c>
      <c r="O10" s="222">
        <f>SUM(O8:O9)</f>
        <v>160477.35673919844</v>
      </c>
    </row>
    <row r="11" spans="1:15" ht="15" customHeight="1">
      <c r="A11" s="191"/>
      <c r="B11" s="224" t="s">
        <v>89</v>
      </c>
      <c r="C11" s="536">
        <v>0.47462012496064493</v>
      </c>
      <c r="D11" s="537"/>
      <c r="E11" s="218" t="s">
        <v>27</v>
      </c>
      <c r="F11" s="189"/>
      <c r="G11" s="204"/>
      <c r="H11" s="225"/>
      <c r="I11" s="225"/>
      <c r="J11" s="215"/>
      <c r="K11" s="211"/>
      <c r="L11" s="204"/>
      <c r="M11" s="225"/>
      <c r="N11" s="225"/>
      <c r="O11" s="215"/>
    </row>
    <row r="12" spans="1:15" ht="15" customHeight="1">
      <c r="A12" s="191"/>
      <c r="B12" s="224" t="s">
        <v>28</v>
      </c>
      <c r="C12" s="536">
        <v>17.402737915223646</v>
      </c>
      <c r="D12" s="537"/>
      <c r="E12" s="218" t="s">
        <v>27</v>
      </c>
      <c r="F12" s="189"/>
      <c r="G12" s="204" t="s">
        <v>90</v>
      </c>
      <c r="H12" s="226">
        <f>C10</f>
        <v>0.21709999999999999</v>
      </c>
      <c r="I12" s="225"/>
      <c r="J12" s="215">
        <f>H12*J10</f>
        <v>17216.654540079981</v>
      </c>
      <c r="K12" s="211"/>
      <c r="L12" s="204" t="s">
        <v>90</v>
      </c>
      <c r="M12" s="226">
        <f>C10</f>
        <v>0.21709999999999999</v>
      </c>
      <c r="N12" s="225"/>
      <c r="O12" s="215">
        <f>M12*O10</f>
        <v>34839.634148079982</v>
      </c>
    </row>
    <row r="13" spans="1:15" ht="15" customHeight="1">
      <c r="A13" s="191"/>
      <c r="B13" s="204" t="s">
        <v>91</v>
      </c>
      <c r="C13" s="520">
        <v>3164.1341664042989</v>
      </c>
      <c r="D13" s="521"/>
      <c r="E13" s="218" t="s">
        <v>27</v>
      </c>
      <c r="F13" s="189"/>
      <c r="G13" s="219" t="s">
        <v>21</v>
      </c>
      <c r="H13" s="223"/>
      <c r="I13" s="223"/>
      <c r="J13" s="222">
        <f>SUM(J10+J12)</f>
        <v>96519.531279278424</v>
      </c>
      <c r="K13" s="211"/>
      <c r="L13" s="219" t="s">
        <v>21</v>
      </c>
      <c r="M13" s="223"/>
      <c r="N13" s="223"/>
      <c r="O13" s="222">
        <f>SUM(O10+O12)</f>
        <v>195316.99088727843</v>
      </c>
    </row>
    <row r="14" spans="1:15" ht="15" customHeight="1">
      <c r="A14" s="191"/>
      <c r="B14" s="227" t="s">
        <v>30</v>
      </c>
      <c r="C14" s="522">
        <v>0.10979999999999999</v>
      </c>
      <c r="D14" s="523"/>
      <c r="E14" s="228" t="s">
        <v>23</v>
      </c>
      <c r="F14" s="229"/>
      <c r="G14" s="230"/>
      <c r="H14" s="231"/>
      <c r="I14" s="205"/>
      <c r="J14" s="232"/>
      <c r="K14" s="211"/>
      <c r="L14" s="230"/>
      <c r="M14" s="231"/>
      <c r="N14" s="205"/>
      <c r="O14" s="232"/>
    </row>
    <row r="15" spans="1:15" ht="15" customHeight="1">
      <c r="A15" s="191"/>
      <c r="B15" s="411" t="s">
        <v>32</v>
      </c>
      <c r="C15" s="524">
        <v>6.3E-3</v>
      </c>
      <c r="D15" s="525"/>
      <c r="E15" s="412" t="s">
        <v>33</v>
      </c>
      <c r="F15" s="229"/>
      <c r="G15" s="204" t="s">
        <v>89</v>
      </c>
      <c r="H15" s="233">
        <f>C11</f>
        <v>0.47462012496064493</v>
      </c>
      <c r="I15" s="234">
        <v>2222</v>
      </c>
      <c r="J15" s="215">
        <f>H15*2222*I10</f>
        <v>2109.2118353251062</v>
      </c>
      <c r="K15" s="211"/>
      <c r="L15" s="204" t="str">
        <f>G15</f>
        <v>Staff mileage - per FTE</v>
      </c>
      <c r="M15" s="233">
        <f>C11</f>
        <v>0.47462012496064493</v>
      </c>
      <c r="N15" s="234">
        <v>2222</v>
      </c>
      <c r="O15" s="215">
        <f>M15*2222*N10</f>
        <v>4745.726629481489</v>
      </c>
    </row>
    <row r="16" spans="1:15" ht="15" customHeight="1" thickBot="1">
      <c r="A16" s="191"/>
      <c r="B16" s="235" t="s">
        <v>34</v>
      </c>
      <c r="C16" s="526">
        <v>1.8120393120392975E-2</v>
      </c>
      <c r="D16" s="527"/>
      <c r="E16" s="73" t="s">
        <v>35</v>
      </c>
      <c r="F16" s="189"/>
      <c r="G16" s="204" t="s">
        <v>28</v>
      </c>
      <c r="H16" s="233">
        <f>C12</f>
        <v>17.402737915223646</v>
      </c>
      <c r="I16" s="225"/>
      <c r="J16" s="215">
        <f>150*I10*H16</f>
        <v>5220.8213745670937</v>
      </c>
      <c r="K16" s="211"/>
      <c r="L16" s="204" t="s">
        <v>28</v>
      </c>
      <c r="M16" s="233">
        <f>C12</f>
        <v>17.402737915223646</v>
      </c>
      <c r="N16" s="225"/>
      <c r="O16" s="215">
        <f>150*N10*M16</f>
        <v>11746.848092775961</v>
      </c>
    </row>
    <row r="17" spans="1:15" ht="15" customHeight="1">
      <c r="A17" s="191"/>
      <c r="F17" s="189"/>
      <c r="G17" s="204" t="s">
        <v>91</v>
      </c>
      <c r="H17" s="236"/>
      <c r="I17" s="236"/>
      <c r="J17" s="215">
        <f>C13</f>
        <v>3164.1341664042989</v>
      </c>
      <c r="K17" s="211"/>
      <c r="L17" s="204"/>
      <c r="M17" s="225"/>
      <c r="N17" s="225"/>
      <c r="O17" s="215"/>
    </row>
    <row r="18" spans="1:15" ht="15" customHeight="1">
      <c r="A18" s="191"/>
      <c r="F18" s="189"/>
      <c r="G18" s="204"/>
      <c r="H18" s="225"/>
      <c r="I18" s="225"/>
      <c r="J18" s="215"/>
      <c r="K18" s="211"/>
      <c r="L18" s="204"/>
      <c r="M18" s="225"/>
      <c r="N18" s="225"/>
      <c r="O18" s="215"/>
    </row>
    <row r="19" spans="1:15" ht="15" customHeight="1">
      <c r="A19" s="191"/>
      <c r="F19" s="189"/>
      <c r="G19" s="219" t="s">
        <v>92</v>
      </c>
      <c r="H19" s="223"/>
      <c r="I19" s="223"/>
      <c r="J19" s="222">
        <f>SUM((J13)+SUM(J15:J18))</f>
        <v>107013.69865557492</v>
      </c>
      <c r="K19" s="211"/>
      <c r="L19" s="219" t="s">
        <v>92</v>
      </c>
      <c r="M19" s="223"/>
      <c r="N19" s="223"/>
      <c r="O19" s="222">
        <f>SUM((O13)+SUM(O15:O18))</f>
        <v>211809.56560953587</v>
      </c>
    </row>
    <row r="20" spans="1:15" ht="15" customHeight="1">
      <c r="A20" s="191"/>
      <c r="F20" s="229"/>
      <c r="G20" s="204"/>
      <c r="H20" s="225"/>
      <c r="I20" s="225"/>
      <c r="J20" s="215"/>
      <c r="K20" s="211"/>
      <c r="L20" s="204"/>
      <c r="M20" s="225"/>
      <c r="N20" s="225"/>
      <c r="O20" s="215"/>
    </row>
    <row r="21" spans="1:15" ht="15" customHeight="1">
      <c r="A21" s="191"/>
      <c r="F21" s="189"/>
      <c r="G21" s="237" t="str">
        <f>B14</f>
        <v>Administrative Allocation</v>
      </c>
      <c r="H21" s="226">
        <v>0.10979999999999999</v>
      </c>
      <c r="I21" s="225"/>
      <c r="J21" s="215">
        <f>H21*J19</f>
        <v>11750.104112382125</v>
      </c>
      <c r="K21" s="211"/>
      <c r="L21" s="237" t="str">
        <f>B14</f>
        <v>Administrative Allocation</v>
      </c>
      <c r="M21" s="226">
        <v>0.10979999999999999</v>
      </c>
      <c r="N21" s="225"/>
      <c r="O21" s="215">
        <f>M21*O19</f>
        <v>23256.690303927036</v>
      </c>
    </row>
    <row r="22" spans="1:15" ht="15" customHeight="1">
      <c r="A22" s="191"/>
      <c r="F22" s="189"/>
      <c r="G22" s="406" t="s">
        <v>32</v>
      </c>
      <c r="H22" s="407">
        <f>C15</f>
        <v>6.3E-3</v>
      </c>
      <c r="I22" s="408"/>
      <c r="J22" s="409">
        <f>H22*J10</f>
        <v>499.60812345695018</v>
      </c>
      <c r="K22" s="410"/>
      <c r="L22" s="406" t="str">
        <f>B15</f>
        <v>PFLMA Trust Contribution</v>
      </c>
      <c r="M22" s="407">
        <f>C15</f>
        <v>6.3E-3</v>
      </c>
      <c r="N22" s="408"/>
      <c r="O22" s="409">
        <f>M22*O10</f>
        <v>1011.0073474569501</v>
      </c>
    </row>
    <row r="23" spans="1:15" ht="15" customHeight="1" thickBot="1">
      <c r="A23" s="191"/>
      <c r="F23" s="189"/>
      <c r="G23" s="240" t="s">
        <v>36</v>
      </c>
      <c r="H23" s="241"/>
      <c r="I23" s="241"/>
      <c r="J23" s="242">
        <f>SUM(J19:J22)</f>
        <v>119263.41089141399</v>
      </c>
      <c r="K23" s="211"/>
      <c r="L23" s="240" t="s">
        <v>36</v>
      </c>
      <c r="M23" s="241"/>
      <c r="N23" s="241"/>
      <c r="O23" s="242">
        <f>SUM(O19:O22)</f>
        <v>236077.26326091983</v>
      </c>
    </row>
    <row r="24" spans="1:15" s="194" customFormat="1" ht="15" customHeight="1" thickTop="1">
      <c r="A24" s="243"/>
      <c r="B24" s="183"/>
      <c r="C24" s="183"/>
      <c r="D24" s="183"/>
      <c r="E24" s="183"/>
      <c r="F24" s="229"/>
      <c r="G24" s="204"/>
      <c r="H24" s="225"/>
      <c r="I24" s="225"/>
      <c r="J24" s="215"/>
      <c r="K24" s="211"/>
      <c r="L24" s="204"/>
      <c r="M24" s="225"/>
      <c r="N24" s="225"/>
      <c r="O24" s="215"/>
    </row>
    <row r="25" spans="1:15" ht="15" customHeight="1">
      <c r="A25" s="191"/>
      <c r="F25" s="189"/>
      <c r="G25" s="204" t="s">
        <v>34</v>
      </c>
      <c r="H25" s="244">
        <f>C16</f>
        <v>1.8120393120392975E-2</v>
      </c>
      <c r="I25" s="225"/>
      <c r="J25" s="215">
        <f>J23*H25</f>
        <v>2161.0998902313786</v>
      </c>
      <c r="K25" s="211"/>
      <c r="L25" s="204" t="s">
        <v>34</v>
      </c>
      <c r="M25" s="244">
        <f>C16</f>
        <v>1.8120393120392975E-2</v>
      </c>
      <c r="N25" s="225"/>
      <c r="O25" s="215">
        <f>O23*M25</f>
        <v>4277.812817074373</v>
      </c>
    </row>
    <row r="26" spans="1:15" ht="15" customHeight="1">
      <c r="A26" s="191"/>
      <c r="B26" s="225"/>
      <c r="C26" s="225"/>
      <c r="D26" s="225"/>
      <c r="E26" s="225"/>
      <c r="F26" s="189"/>
      <c r="G26" s="238"/>
      <c r="H26" s="245"/>
      <c r="I26" s="225"/>
      <c r="J26" s="239"/>
      <c r="K26" s="211"/>
      <c r="L26" s="238"/>
      <c r="M26" s="245"/>
      <c r="N26" s="225"/>
      <c r="O26" s="239"/>
    </row>
    <row r="27" spans="1:15" ht="15" customHeight="1">
      <c r="A27" s="191"/>
      <c r="B27" s="403"/>
      <c r="C27" s="96"/>
      <c r="D27" s="96"/>
      <c r="E27" s="174"/>
      <c r="F27" s="189"/>
      <c r="G27" s="219" t="s">
        <v>37</v>
      </c>
      <c r="H27" s="246"/>
      <c r="I27" s="223"/>
      <c r="J27" s="222">
        <f>SUM(J23:J26)</f>
        <v>121424.51078164537</v>
      </c>
      <c r="K27" s="211"/>
      <c r="L27" s="219" t="s">
        <v>37</v>
      </c>
      <c r="M27" s="246"/>
      <c r="N27" s="223"/>
      <c r="O27" s="222">
        <f>SUM(O23:O25)</f>
        <v>240355.07607799419</v>
      </c>
    </row>
    <row r="28" spans="1:15" ht="15" customHeight="1">
      <c r="A28" s="191"/>
      <c r="B28" s="404"/>
      <c r="C28" s="96"/>
      <c r="D28" s="96"/>
      <c r="E28" s="353"/>
      <c r="F28" s="189"/>
      <c r="G28" s="204"/>
      <c r="H28" s="226"/>
      <c r="I28" s="225"/>
      <c r="J28" s="215"/>
      <c r="K28" s="181"/>
      <c r="L28" s="204"/>
      <c r="M28" s="226"/>
      <c r="N28" s="225"/>
      <c r="O28" s="215"/>
    </row>
    <row r="29" spans="1:15" ht="15" customHeight="1">
      <c r="A29" s="191"/>
      <c r="B29" s="404"/>
      <c r="C29" s="96"/>
      <c r="D29" s="96"/>
      <c r="E29" s="354"/>
      <c r="F29" s="189"/>
      <c r="G29" s="247" t="s">
        <v>93</v>
      </c>
      <c r="H29" s="248"/>
      <c r="I29" s="248"/>
      <c r="J29" s="249">
        <f>ROUND(J27/12/J6,2)</f>
        <v>25.88</v>
      </c>
      <c r="K29" s="181"/>
      <c r="L29" s="247" t="s">
        <v>93</v>
      </c>
      <c r="M29" s="248"/>
      <c r="N29" s="248"/>
      <c r="O29" s="249">
        <f>ROUND(O27/12/O6,2)</f>
        <v>146.19999999999999</v>
      </c>
    </row>
    <row r="30" spans="1:15" ht="15" customHeight="1">
      <c r="A30" s="191"/>
      <c r="B30" s="404"/>
      <c r="C30" s="96"/>
      <c r="D30" s="96"/>
      <c r="E30" s="355"/>
      <c r="F30" s="189"/>
    </row>
    <row r="31" spans="1:15" ht="15" customHeight="1">
      <c r="A31" s="191"/>
      <c r="B31" s="404"/>
      <c r="C31" s="48"/>
      <c r="D31" s="48"/>
      <c r="E31" s="355"/>
    </row>
    <row r="32" spans="1:15" ht="15" customHeight="1">
      <c r="B32" s="2"/>
      <c r="C32" s="48"/>
      <c r="D32" s="48"/>
      <c r="E32" s="106"/>
      <c r="J32" s="250"/>
      <c r="K32" s="250"/>
      <c r="L32" s="250"/>
      <c r="M32" s="250"/>
      <c r="N32" s="250"/>
      <c r="O32" s="250"/>
    </row>
    <row r="33" spans="1:17" ht="15" customHeight="1">
      <c r="B33" s="225"/>
      <c r="C33" s="225"/>
      <c r="D33" s="225"/>
      <c r="E33" s="225"/>
      <c r="J33" s="251"/>
      <c r="K33" s="251"/>
      <c r="L33" s="251"/>
      <c r="M33" s="251"/>
      <c r="N33" s="251"/>
      <c r="O33" s="251"/>
    </row>
    <row r="34" spans="1:17" ht="15" customHeight="1">
      <c r="B34" s="225"/>
      <c r="C34" s="225"/>
      <c r="D34" s="225"/>
      <c r="E34" s="225"/>
      <c r="F34" s="183"/>
      <c r="J34" s="252"/>
      <c r="K34" s="252"/>
      <c r="L34" s="252"/>
      <c r="M34" s="253"/>
      <c r="N34" s="253"/>
      <c r="O34" s="253"/>
    </row>
    <row r="35" spans="1:17" s="183" customFormat="1" ht="15" customHeight="1">
      <c r="A35" s="181"/>
      <c r="B35" s="225"/>
      <c r="C35" s="225"/>
      <c r="D35" s="225"/>
      <c r="E35" s="225"/>
      <c r="J35" s="252"/>
      <c r="K35" s="252"/>
      <c r="L35" s="252"/>
      <c r="M35" s="253"/>
      <c r="N35" s="253"/>
      <c r="O35" s="253"/>
      <c r="P35" s="181"/>
      <c r="Q35" s="181"/>
    </row>
    <row r="36" spans="1:17" s="183" customFormat="1" ht="15" customHeight="1">
      <c r="A36" s="181"/>
      <c r="B36" s="225"/>
      <c r="C36" s="225"/>
      <c r="D36" s="225"/>
      <c r="E36" s="225"/>
      <c r="J36" s="254"/>
      <c r="M36" s="181"/>
      <c r="N36" s="181"/>
      <c r="O36" s="181"/>
      <c r="P36" s="181"/>
      <c r="Q36" s="181"/>
    </row>
    <row r="37" spans="1:17" ht="15" customHeight="1">
      <c r="B37" s="225"/>
      <c r="C37" s="225"/>
      <c r="D37" s="225"/>
      <c r="E37" s="225"/>
      <c r="F37" s="183"/>
      <c r="L37" s="183"/>
    </row>
    <row r="38" spans="1:17" ht="15" customHeight="1">
      <c r="B38" s="225"/>
      <c r="C38" s="225"/>
      <c r="D38" s="225"/>
      <c r="E38" s="225"/>
      <c r="F38" s="183"/>
      <c r="L38" s="183"/>
    </row>
    <row r="39" spans="1:17" ht="15" customHeight="1">
      <c r="F39" s="225"/>
      <c r="J39" s="250"/>
      <c r="L39" s="183"/>
    </row>
    <row r="40" spans="1:17" ht="15" customHeight="1">
      <c r="F40" s="183"/>
      <c r="L40" s="183"/>
    </row>
    <row r="41" spans="1:17" ht="15" customHeight="1">
      <c r="F41" s="183"/>
      <c r="L41" s="183"/>
    </row>
    <row r="42" spans="1:17" ht="15" customHeight="1">
      <c r="F42" s="183"/>
      <c r="L42" s="183"/>
    </row>
    <row r="43" spans="1:17" ht="15" customHeight="1">
      <c r="F43" s="183"/>
      <c r="L43" s="183"/>
    </row>
    <row r="44" spans="1:17" ht="15" customHeight="1">
      <c r="F44" s="183"/>
      <c r="L44" s="183"/>
    </row>
    <row r="45" spans="1:17" ht="15" customHeight="1">
      <c r="F45" s="183"/>
      <c r="L45" s="183"/>
    </row>
    <row r="46" spans="1:17" ht="15" customHeight="1">
      <c r="F46" s="183"/>
      <c r="L46" s="183"/>
    </row>
    <row r="47" spans="1:17" ht="15" customHeight="1">
      <c r="F47" s="183"/>
      <c r="L47" s="183"/>
    </row>
    <row r="48" spans="1:17" ht="15" customHeight="1">
      <c r="F48" s="183"/>
      <c r="L48" s="183"/>
    </row>
    <row r="49" spans="6:12" ht="15" customHeight="1">
      <c r="F49" s="183"/>
      <c r="L49" s="183"/>
    </row>
    <row r="50" spans="6:12" ht="15" customHeight="1">
      <c r="F50" s="183"/>
    </row>
    <row r="51" spans="6:12" ht="15" customHeight="1"/>
    <row r="52" spans="6:12" ht="15" customHeight="1"/>
    <row r="53" spans="6:12" ht="15" customHeight="1"/>
    <row r="54" spans="6:12" ht="15" customHeight="1"/>
    <row r="55" spans="6:12" ht="15" customHeight="1"/>
    <row r="56" spans="6:12" ht="15" customHeight="1"/>
    <row r="57" spans="6:12" ht="15" customHeight="1"/>
    <row r="58" spans="6:12" ht="15" customHeight="1"/>
    <row r="59" spans="6:12" ht="15" customHeight="1"/>
    <row r="60" spans="6:12" ht="15" customHeight="1"/>
    <row r="61" spans="6:12" ht="15" customHeight="1"/>
    <row r="62" spans="6:12" ht="15" customHeight="1"/>
    <row r="63" spans="6:12" ht="15" customHeight="1"/>
    <row r="64" spans="6:1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</sheetData>
  <mergeCells count="16">
    <mergeCell ref="B2:E2"/>
    <mergeCell ref="G2:O2"/>
    <mergeCell ref="B3:D3"/>
    <mergeCell ref="G3:O3"/>
    <mergeCell ref="C4:D4"/>
    <mergeCell ref="H4:I4"/>
    <mergeCell ref="G5:H5"/>
    <mergeCell ref="B9:D9"/>
    <mergeCell ref="C10:D10"/>
    <mergeCell ref="C11:D11"/>
    <mergeCell ref="C12:D12"/>
    <mergeCell ref="C13:D13"/>
    <mergeCell ref="C14:D14"/>
    <mergeCell ref="C15:D15"/>
    <mergeCell ref="C16:D16"/>
    <mergeCell ref="C5:D5"/>
  </mergeCells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2"/>
  <sheetViews>
    <sheetView topLeftCell="E1" zoomScale="73" zoomScaleNormal="73" zoomScaleSheetLayoutView="70" workbookViewId="0">
      <selection activeCell="J31" sqref="J31"/>
    </sheetView>
  </sheetViews>
  <sheetFormatPr defaultColWidth="9.140625" defaultRowHeight="20.100000000000001" customHeight="1"/>
  <cols>
    <col min="1" max="1" width="5.28515625" style="1" customWidth="1"/>
    <col min="2" max="2" width="41.28515625" style="1" customWidth="1"/>
    <col min="3" max="3" width="9.42578125" style="1" customWidth="1"/>
    <col min="4" max="4" width="12.28515625" style="1" bestFit="1" customWidth="1"/>
    <col min="5" max="5" width="59.7109375" style="1" customWidth="1"/>
    <col min="6" max="6" width="3.7109375" style="1" customWidth="1"/>
    <col min="7" max="7" width="29.5703125" style="76" customWidth="1"/>
    <col min="8" max="8" width="7.7109375" style="76" customWidth="1"/>
    <col min="9" max="9" width="13.5703125" style="76" customWidth="1"/>
    <col min="10" max="10" width="14" style="76" customWidth="1"/>
    <col min="11" max="11" width="14.42578125" style="1" customWidth="1"/>
    <col min="12" max="12" width="2.5703125" style="1" customWidth="1"/>
    <col min="13" max="13" width="25.42578125" style="1" customWidth="1"/>
    <col min="14" max="14" width="11.85546875" style="1" customWidth="1"/>
    <col min="15" max="15" width="16.140625" style="1" customWidth="1"/>
    <col min="16" max="16" width="12.85546875" style="1" customWidth="1"/>
    <col min="17" max="17" width="12.7109375" style="1" customWidth="1"/>
    <col min="18" max="26" width="9.140625" style="1"/>
    <col min="27" max="29" width="0" style="1" hidden="1" customWidth="1"/>
    <col min="30" max="16384" width="9.140625" style="1"/>
  </cols>
  <sheetData>
    <row r="1" spans="2:29" ht="15" customHeight="1" thickBot="1">
      <c r="F1" s="255"/>
      <c r="G1" s="256"/>
      <c r="H1" s="256"/>
      <c r="I1" s="257"/>
      <c r="J1" s="257"/>
      <c r="K1" s="255"/>
      <c r="L1" s="78"/>
    </row>
    <row r="2" spans="2:29" ht="15" customHeight="1" thickBot="1">
      <c r="B2" s="561" t="s">
        <v>94</v>
      </c>
      <c r="C2" s="562"/>
      <c r="D2" s="562"/>
      <c r="E2" s="510"/>
      <c r="F2" s="258"/>
      <c r="G2" s="563" t="s">
        <v>95</v>
      </c>
      <c r="H2" s="564"/>
      <c r="I2" s="564"/>
      <c r="J2" s="564"/>
      <c r="K2" s="565"/>
      <c r="M2" s="563" t="s">
        <v>96</v>
      </c>
      <c r="N2" s="564"/>
      <c r="O2" s="564"/>
      <c r="P2" s="564"/>
      <c r="Q2" s="565"/>
      <c r="AA2" s="259" t="s">
        <v>66</v>
      </c>
      <c r="AB2" s="260" t="s">
        <v>67</v>
      </c>
      <c r="AC2" s="261" t="s">
        <v>68</v>
      </c>
    </row>
    <row r="3" spans="2:29" ht="15" customHeight="1">
      <c r="B3" s="556" t="s">
        <v>2</v>
      </c>
      <c r="C3" s="557"/>
      <c r="D3" s="557"/>
      <c r="E3" s="262" t="s">
        <v>3</v>
      </c>
      <c r="F3" s="258"/>
      <c r="G3" s="263" t="s">
        <v>97</v>
      </c>
      <c r="H3" s="260">
        <v>11</v>
      </c>
      <c r="I3" s="260"/>
      <c r="J3" s="264" t="s">
        <v>98</v>
      </c>
      <c r="K3" s="261">
        <f>H3*365</f>
        <v>4015</v>
      </c>
      <c r="L3" s="78"/>
      <c r="M3" s="265" t="s">
        <v>97</v>
      </c>
      <c r="N3" s="266">
        <v>7</v>
      </c>
      <c r="O3" s="266"/>
      <c r="P3" s="267" t="s">
        <v>99</v>
      </c>
      <c r="Q3" s="268">
        <f>N3*365</f>
        <v>2555</v>
      </c>
      <c r="AA3" s="269" t="s">
        <v>69</v>
      </c>
      <c r="AB3" s="270">
        <v>10</v>
      </c>
      <c r="AC3" s="271">
        <f>AB3*8</f>
        <v>80</v>
      </c>
    </row>
    <row r="4" spans="2:29" s="78" customFormat="1" ht="15" customHeight="1">
      <c r="B4" s="272" t="s">
        <v>100</v>
      </c>
      <c r="C4" s="566">
        <v>61196.377478396869</v>
      </c>
      <c r="D4" s="566"/>
      <c r="E4" s="273" t="s">
        <v>236</v>
      </c>
      <c r="F4" s="274"/>
      <c r="G4" s="275"/>
      <c r="H4" s="276"/>
      <c r="I4" s="277" t="s">
        <v>8</v>
      </c>
      <c r="J4" s="277" t="s">
        <v>47</v>
      </c>
      <c r="K4" s="278" t="s">
        <v>10</v>
      </c>
      <c r="L4" s="270"/>
      <c r="M4" s="279"/>
      <c r="N4" s="280"/>
      <c r="O4" s="281" t="s">
        <v>8</v>
      </c>
      <c r="P4" s="281" t="s">
        <v>47</v>
      </c>
      <c r="Q4" s="282" t="s">
        <v>10</v>
      </c>
      <c r="AA4" s="269" t="s">
        <v>70</v>
      </c>
      <c r="AB4" s="270">
        <v>10</v>
      </c>
      <c r="AC4" s="271">
        <f>AB4*8</f>
        <v>80</v>
      </c>
    </row>
    <row r="5" spans="2:29" s="78" customFormat="1" ht="15" customHeight="1">
      <c r="B5" s="283" t="s">
        <v>101</v>
      </c>
      <c r="C5" s="515">
        <f>31610*(2.72%+1)</f>
        <v>32469.792000000005</v>
      </c>
      <c r="D5" s="515"/>
      <c r="E5" s="273" t="s">
        <v>102</v>
      </c>
      <c r="F5" s="274"/>
      <c r="G5" s="272"/>
      <c r="H5" s="274"/>
      <c r="I5" s="270"/>
      <c r="J5" s="270"/>
      <c r="K5" s="284"/>
      <c r="L5" s="1"/>
      <c r="M5" s="272"/>
      <c r="N5" s="274"/>
      <c r="O5" s="270"/>
      <c r="P5" s="270"/>
      <c r="Q5" s="284"/>
      <c r="AA5" s="269" t="s">
        <v>71</v>
      </c>
      <c r="AB5" s="270">
        <v>10</v>
      </c>
      <c r="AC5" s="271">
        <f>AB5*8</f>
        <v>80</v>
      </c>
    </row>
    <row r="6" spans="2:29" ht="15" customHeight="1">
      <c r="B6" s="272" t="s">
        <v>103</v>
      </c>
      <c r="C6" s="515">
        <f>28467*(2.72%+1)</f>
        <v>29241.302400000004</v>
      </c>
      <c r="D6" s="515"/>
      <c r="E6" s="273" t="s">
        <v>102</v>
      </c>
      <c r="F6" s="285"/>
      <c r="G6" s="272" t="str">
        <f>B4</f>
        <v>Managment (Lic. SA Counselor(LDAC)</v>
      </c>
      <c r="H6" s="274"/>
      <c r="I6" s="286">
        <f>C4</f>
        <v>61196.377478396869</v>
      </c>
      <c r="J6" s="287">
        <f>C9</f>
        <v>1</v>
      </c>
      <c r="K6" s="288">
        <f>J6*I6</f>
        <v>61196.377478396869</v>
      </c>
      <c r="M6" s="272" t="str">
        <f>B4</f>
        <v>Managment (Lic. SA Counselor(LDAC)</v>
      </c>
      <c r="N6" s="274"/>
      <c r="O6" s="286">
        <f>C4</f>
        <v>61196.377478396869</v>
      </c>
      <c r="P6" s="287">
        <f>D9</f>
        <v>0.5</v>
      </c>
      <c r="Q6" s="288">
        <f>P6*O6</f>
        <v>30598.188739198435</v>
      </c>
      <c r="AA6" s="289" t="s">
        <v>72</v>
      </c>
      <c r="AB6" s="266">
        <v>10</v>
      </c>
      <c r="AC6" s="290">
        <f>AB6*8</f>
        <v>80</v>
      </c>
    </row>
    <row r="7" spans="2:29" ht="15" customHeight="1">
      <c r="B7" s="272" t="s">
        <v>104</v>
      </c>
      <c r="C7" s="515">
        <f>27817*(2.72%+1)</f>
        <v>28573.622400000004</v>
      </c>
      <c r="D7" s="515"/>
      <c r="E7" s="273" t="s">
        <v>102</v>
      </c>
      <c r="F7" s="285"/>
      <c r="G7" s="272" t="str">
        <f>B5</f>
        <v xml:space="preserve">Direct Care </v>
      </c>
      <c r="H7" s="291"/>
      <c r="I7" s="286">
        <f>C5</f>
        <v>32469.792000000005</v>
      </c>
      <c r="J7" s="287">
        <f>C10</f>
        <v>1.5</v>
      </c>
      <c r="K7" s="292">
        <f>J7*I7</f>
        <v>48704.688000000009</v>
      </c>
      <c r="M7" s="272" t="str">
        <f>B5</f>
        <v xml:space="preserve">Direct Care </v>
      </c>
      <c r="N7" s="291"/>
      <c r="O7" s="286">
        <f>C5</f>
        <v>32469.792000000005</v>
      </c>
      <c r="P7" s="287">
        <f>D10</f>
        <v>1</v>
      </c>
      <c r="Q7" s="292">
        <f>P7*O7</f>
        <v>32469.792000000005</v>
      </c>
      <c r="AA7" s="269"/>
      <c r="AB7" s="293" t="s">
        <v>74</v>
      </c>
      <c r="AC7" s="271">
        <f>SUM(AC3:AC6)</f>
        <v>320</v>
      </c>
    </row>
    <row r="8" spans="2:29" ht="15" customHeight="1">
      <c r="B8" s="294" t="s">
        <v>14</v>
      </c>
      <c r="C8" s="81" t="s">
        <v>105</v>
      </c>
      <c r="D8" s="81" t="s">
        <v>106</v>
      </c>
      <c r="E8" s="295"/>
      <c r="F8" s="285"/>
      <c r="G8" s="272" t="str">
        <f>B6</f>
        <v>Program support (clerical)</v>
      </c>
      <c r="H8" s="274"/>
      <c r="I8" s="286">
        <f>C6</f>
        <v>29241.302400000004</v>
      </c>
      <c r="J8" s="287">
        <f>C11</f>
        <v>0.25</v>
      </c>
      <c r="K8" s="292">
        <f>J8*I8</f>
        <v>7310.325600000001</v>
      </c>
      <c r="L8" s="296"/>
      <c r="M8" s="272" t="str">
        <f>B6</f>
        <v>Program support (clerical)</v>
      </c>
      <c r="N8" s="274"/>
      <c r="O8" s="286">
        <f>C6</f>
        <v>29241.302400000004</v>
      </c>
      <c r="P8" s="287">
        <f>D11</f>
        <v>0.25</v>
      </c>
      <c r="Q8" s="292">
        <f>P8*O8</f>
        <v>7310.325600000001</v>
      </c>
      <c r="AA8" s="289" t="s">
        <v>76</v>
      </c>
      <c r="AB8" s="297"/>
      <c r="AC8" s="298">
        <f>AC7/(52*40)</f>
        <v>0.15384615384615385</v>
      </c>
    </row>
    <row r="9" spans="2:29" ht="15" customHeight="1">
      <c r="B9" s="272" t="s">
        <v>107</v>
      </c>
      <c r="C9" s="287">
        <v>1</v>
      </c>
      <c r="D9" s="287">
        <v>0.5</v>
      </c>
      <c r="E9" s="273" t="s">
        <v>16</v>
      </c>
      <c r="F9" s="285"/>
      <c r="G9" s="272" t="str">
        <f>B7</f>
        <v>Relief staffing</v>
      </c>
      <c r="H9" s="274"/>
      <c r="I9" s="286">
        <f>C7</f>
        <v>28573.622400000004</v>
      </c>
      <c r="J9" s="287">
        <f>C12</f>
        <v>0.23076923076923078</v>
      </c>
      <c r="K9" s="288">
        <f>I9*J9</f>
        <v>6593.9128615384625</v>
      </c>
      <c r="L9" s="55"/>
      <c r="M9" s="272" t="str">
        <f>B7</f>
        <v>Relief staffing</v>
      </c>
      <c r="N9" s="274"/>
      <c r="O9" s="286">
        <f>C7</f>
        <v>28573.622400000004</v>
      </c>
      <c r="P9" s="287">
        <f>D12</f>
        <v>0.15384615384615385</v>
      </c>
      <c r="Q9" s="288">
        <f>O9*P9</f>
        <v>4395.9419076923086</v>
      </c>
    </row>
    <row r="10" spans="2:29" ht="15" customHeight="1">
      <c r="B10" s="283" t="s">
        <v>49</v>
      </c>
      <c r="C10" s="299">
        <v>1.5</v>
      </c>
      <c r="D10" s="299">
        <v>1</v>
      </c>
      <c r="E10" s="273" t="s">
        <v>16</v>
      </c>
      <c r="F10" s="285"/>
      <c r="G10" s="275" t="s">
        <v>88</v>
      </c>
      <c r="H10" s="276"/>
      <c r="I10" s="300"/>
      <c r="J10" s="301">
        <f>SUM(J6:J9)</f>
        <v>2.9807692307692308</v>
      </c>
      <c r="K10" s="302">
        <f>SUM(K6:K9)</f>
        <v>123805.30393993534</v>
      </c>
      <c r="M10" s="275" t="s">
        <v>88</v>
      </c>
      <c r="N10" s="276"/>
      <c r="O10" s="300"/>
      <c r="P10" s="301">
        <f>SUM(P6:P9)</f>
        <v>1.9038461538461537</v>
      </c>
      <c r="Q10" s="302">
        <f>SUM(Q6:Q9)</f>
        <v>74774.24824689074</v>
      </c>
    </row>
    <row r="11" spans="2:29" ht="15" customHeight="1">
      <c r="B11" s="272" t="s">
        <v>103</v>
      </c>
      <c r="C11" s="287">
        <v>0.25</v>
      </c>
      <c r="D11" s="287">
        <v>0.25</v>
      </c>
      <c r="E11" s="273" t="s">
        <v>16</v>
      </c>
      <c r="F11" s="285"/>
      <c r="G11" s="272"/>
      <c r="H11" s="274"/>
      <c r="I11" s="293"/>
      <c r="J11" s="270"/>
      <c r="K11" s="303"/>
      <c r="M11" s="272"/>
      <c r="N11" s="274"/>
      <c r="O11" s="293"/>
      <c r="P11" s="270"/>
      <c r="Q11" s="303"/>
    </row>
    <row r="12" spans="2:29" ht="15" customHeight="1">
      <c r="B12" s="272" t="s">
        <v>104</v>
      </c>
      <c r="C12" s="287">
        <v>0.23076923076923078</v>
      </c>
      <c r="D12" s="287">
        <v>0.15384615384615385</v>
      </c>
      <c r="E12" s="273" t="s">
        <v>16</v>
      </c>
      <c r="F12" s="285"/>
      <c r="G12" s="272" t="s">
        <v>56</v>
      </c>
      <c r="H12" s="274"/>
      <c r="I12" s="304">
        <f>C14</f>
        <v>0.21709999999999999</v>
      </c>
      <c r="J12" s="270"/>
      <c r="K12" s="305">
        <f>K10*I12</f>
        <v>26878.131485359962</v>
      </c>
      <c r="M12" s="272" t="s">
        <v>56</v>
      </c>
      <c r="N12" s="274"/>
      <c r="O12" s="304">
        <f>C14</f>
        <v>0.21709999999999999</v>
      </c>
      <c r="P12" s="270"/>
      <c r="Q12" s="305">
        <f>Q10*O12</f>
        <v>16233.489294399978</v>
      </c>
    </row>
    <row r="13" spans="2:29" ht="15" customHeight="1">
      <c r="B13" s="556" t="s">
        <v>20</v>
      </c>
      <c r="C13" s="557"/>
      <c r="D13" s="557"/>
      <c r="E13" s="306"/>
      <c r="F13" s="285"/>
      <c r="G13" s="275" t="s">
        <v>108</v>
      </c>
      <c r="H13" s="276"/>
      <c r="I13" s="307"/>
      <c r="J13" s="277"/>
      <c r="K13" s="302">
        <f>SUM(K10:K12)</f>
        <v>150683.43542529532</v>
      </c>
      <c r="M13" s="275" t="s">
        <v>108</v>
      </c>
      <c r="N13" s="276"/>
      <c r="O13" s="307"/>
      <c r="P13" s="277"/>
      <c r="Q13" s="302">
        <f>SUM(Q10:Q12)</f>
        <v>91007.737541290713</v>
      </c>
    </row>
    <row r="14" spans="2:29" ht="15" customHeight="1">
      <c r="B14" s="308" t="s">
        <v>22</v>
      </c>
      <c r="C14" s="558">
        <v>0.21709999999999999</v>
      </c>
      <c r="D14" s="558"/>
      <c r="E14" s="306" t="s">
        <v>23</v>
      </c>
      <c r="F14" s="285"/>
      <c r="G14" s="272"/>
      <c r="H14" s="274"/>
      <c r="I14" s="293"/>
      <c r="J14" s="270"/>
      <c r="K14" s="305"/>
      <c r="M14" s="272"/>
      <c r="N14" s="274"/>
      <c r="O14" s="293"/>
      <c r="P14" s="270"/>
      <c r="Q14" s="305"/>
    </row>
    <row r="15" spans="2:29" ht="15" customHeight="1">
      <c r="B15" s="272" t="s">
        <v>28</v>
      </c>
      <c r="C15" s="559">
        <v>17.402737915223646</v>
      </c>
      <c r="D15" s="559"/>
      <c r="E15" s="273" t="s">
        <v>27</v>
      </c>
      <c r="F15" s="285"/>
      <c r="G15" s="272" t="s">
        <v>28</v>
      </c>
      <c r="H15" s="274"/>
      <c r="I15" s="309">
        <f>C15</f>
        <v>17.402737915223646</v>
      </c>
      <c r="J15" s="310"/>
      <c r="K15" s="305">
        <f>150*J10*I15</f>
        <v>7781.031856325958</v>
      </c>
      <c r="M15" s="272" t="s">
        <v>28</v>
      </c>
      <c r="N15" s="274"/>
      <c r="O15" s="309">
        <f>C15</f>
        <v>17.402737915223646</v>
      </c>
      <c r="P15" s="310"/>
      <c r="Q15" s="305">
        <f>150*P10*O15</f>
        <v>4969.8203469436748</v>
      </c>
    </row>
    <row r="16" spans="2:29" ht="15" customHeight="1">
      <c r="B16" s="272" t="s">
        <v>30</v>
      </c>
      <c r="C16" s="560">
        <v>0.10979999999999999</v>
      </c>
      <c r="D16" s="560">
        <v>0.10979999999999999</v>
      </c>
      <c r="E16" s="273" t="s">
        <v>23</v>
      </c>
      <c r="F16" s="285"/>
      <c r="G16" s="272"/>
      <c r="H16" s="274"/>
      <c r="I16" s="293"/>
      <c r="J16" s="270"/>
      <c r="K16" s="303"/>
      <c r="M16" s="272"/>
      <c r="N16" s="274"/>
      <c r="O16" s="293"/>
      <c r="P16" s="270"/>
      <c r="Q16" s="303"/>
    </row>
    <row r="17" spans="2:23" ht="15" customHeight="1">
      <c r="B17" s="411" t="s">
        <v>32</v>
      </c>
      <c r="C17" s="553">
        <v>6.3E-3</v>
      </c>
      <c r="D17" s="553"/>
      <c r="E17" s="413" t="s">
        <v>33</v>
      </c>
      <c r="F17" s="285"/>
      <c r="G17" s="275" t="s">
        <v>92</v>
      </c>
      <c r="H17" s="276"/>
      <c r="I17" s="307"/>
      <c r="J17" s="277"/>
      <c r="K17" s="302">
        <f>K13+SUM(K15:K15)</f>
        <v>158464.46728162127</v>
      </c>
      <c r="M17" s="275" t="s">
        <v>92</v>
      </c>
      <c r="N17" s="276"/>
      <c r="O17" s="307"/>
      <c r="P17" s="277"/>
      <c r="Q17" s="302">
        <f>Q13+SUM(Q15:Q15)</f>
        <v>95977.557888234383</v>
      </c>
    </row>
    <row r="18" spans="2:23" ht="15" customHeight="1" thickBot="1">
      <c r="B18" s="311" t="s">
        <v>34</v>
      </c>
      <c r="C18" s="554">
        <v>1.8120393120392975E-2</v>
      </c>
      <c r="D18" s="555"/>
      <c r="E18" s="73" t="s">
        <v>65</v>
      </c>
      <c r="F18" s="285"/>
      <c r="G18" s="312"/>
      <c r="H18" s="313"/>
      <c r="I18" s="314"/>
      <c r="J18" s="315"/>
      <c r="K18" s="316"/>
      <c r="M18" s="312"/>
      <c r="N18" s="313"/>
      <c r="O18" s="314"/>
      <c r="P18" s="315"/>
      <c r="Q18" s="316"/>
    </row>
    <row r="19" spans="2:23" ht="15" customHeight="1">
      <c r="F19" s="285"/>
      <c r="G19" s="272" t="s">
        <v>109</v>
      </c>
      <c r="H19" s="274"/>
      <c r="I19" s="317">
        <f>C16</f>
        <v>0.10979999999999999</v>
      </c>
      <c r="J19" s="78"/>
      <c r="K19" s="305">
        <f>K17*I19</f>
        <v>17399.398507522015</v>
      </c>
      <c r="M19" s="420" t="s">
        <v>109</v>
      </c>
      <c r="N19" s="415"/>
      <c r="O19" s="421">
        <f>C16</f>
        <v>0.10979999999999999</v>
      </c>
      <c r="P19" s="417"/>
      <c r="Q19" s="418">
        <f>Q17*O19</f>
        <v>10538.335856128135</v>
      </c>
      <c r="R19" s="419"/>
      <c r="S19" s="419"/>
      <c r="T19" s="419"/>
      <c r="U19" s="419"/>
      <c r="V19" s="419"/>
      <c r="W19" s="419"/>
    </row>
    <row r="20" spans="2:23" ht="15" customHeight="1">
      <c r="F20" s="318"/>
      <c r="G20" s="414" t="s">
        <v>32</v>
      </c>
      <c r="H20" s="415"/>
      <c r="I20" s="416">
        <f>C17</f>
        <v>6.3E-3</v>
      </c>
      <c r="J20" s="417"/>
      <c r="K20" s="418">
        <f>I20*K10</f>
        <v>779.97341482159266</v>
      </c>
      <c r="L20" s="419"/>
      <c r="M20" s="414" t="s">
        <v>32</v>
      </c>
      <c r="N20" s="415"/>
      <c r="O20" s="416">
        <f>C17</f>
        <v>6.3E-3</v>
      </c>
      <c r="P20" s="417"/>
      <c r="Q20" s="418">
        <f>O20*Q10</f>
        <v>471.07776395541168</v>
      </c>
      <c r="R20" s="419"/>
      <c r="S20" s="419"/>
      <c r="T20" s="419"/>
      <c r="U20" s="419"/>
      <c r="V20" s="419"/>
      <c r="W20" s="419"/>
    </row>
    <row r="21" spans="2:23" ht="15" customHeight="1" thickBot="1">
      <c r="B21" s="78"/>
      <c r="C21" s="78"/>
      <c r="D21" s="78"/>
      <c r="E21" s="78"/>
      <c r="F21" s="285"/>
      <c r="G21" s="321" t="s">
        <v>36</v>
      </c>
      <c r="H21" s="322"/>
      <c r="I21" s="323"/>
      <c r="J21" s="324"/>
      <c r="K21" s="325">
        <f>SUM(K17:K20)</f>
        <v>176643.83920396486</v>
      </c>
      <c r="M21" s="326" t="s">
        <v>36</v>
      </c>
      <c r="N21" s="327"/>
      <c r="O21" s="328"/>
      <c r="P21" s="329"/>
      <c r="Q21" s="330">
        <f>SUM(Q17:Q20)</f>
        <v>106986.97150831793</v>
      </c>
    </row>
    <row r="22" spans="2:23" s="78" customFormat="1" ht="15" customHeight="1" thickTop="1">
      <c r="B22" s="403"/>
      <c r="C22" s="96"/>
      <c r="D22" s="96"/>
      <c r="E22" s="174"/>
      <c r="F22" s="274"/>
      <c r="G22" s="272"/>
      <c r="H22" s="274"/>
      <c r="I22" s="293"/>
      <c r="J22" s="331"/>
      <c r="K22" s="305"/>
      <c r="M22" s="272"/>
      <c r="N22" s="274"/>
      <c r="O22" s="293"/>
      <c r="P22" s="331"/>
      <c r="Q22" s="305"/>
    </row>
    <row r="23" spans="2:23" ht="15" customHeight="1">
      <c r="B23" s="404"/>
      <c r="C23" s="96"/>
      <c r="D23" s="96"/>
      <c r="E23" s="353"/>
      <c r="F23" s="285"/>
      <c r="G23" s="272" t="s">
        <v>34</v>
      </c>
      <c r="H23" s="274"/>
      <c r="I23" s="332">
        <f>C18</f>
        <v>1.8120393120392975E-2</v>
      </c>
      <c r="J23" s="78"/>
      <c r="K23" s="305">
        <f>K21*I23</f>
        <v>3200.8558086713278</v>
      </c>
      <c r="M23" s="272" t="s">
        <v>34</v>
      </c>
      <c r="N23" s="274"/>
      <c r="O23" s="332">
        <f>C18</f>
        <v>1.8120393120392975E-2</v>
      </c>
      <c r="P23" s="78"/>
      <c r="Q23" s="305">
        <f>Q21*O23</f>
        <v>1938.6459824910035</v>
      </c>
    </row>
    <row r="24" spans="2:23" ht="15" customHeight="1">
      <c r="B24" s="404"/>
      <c r="C24" s="96"/>
      <c r="D24" s="96"/>
      <c r="E24" s="354"/>
      <c r="F24" s="285"/>
      <c r="G24" s="319"/>
      <c r="H24" s="274"/>
      <c r="I24" s="333"/>
      <c r="J24" s="78"/>
      <c r="K24" s="320"/>
      <c r="M24" s="319"/>
      <c r="N24" s="274"/>
      <c r="O24" s="333"/>
      <c r="P24" s="78"/>
      <c r="Q24" s="320"/>
    </row>
    <row r="25" spans="2:23" ht="15" customHeight="1">
      <c r="B25" s="404"/>
      <c r="C25" s="96"/>
      <c r="D25" s="96"/>
      <c r="E25" s="355"/>
      <c r="F25" s="285"/>
      <c r="G25" s="275" t="s">
        <v>37</v>
      </c>
      <c r="H25" s="276"/>
      <c r="I25" s="334"/>
      <c r="J25" s="335"/>
      <c r="K25" s="302">
        <f>SUM(K21:K24)</f>
        <v>179844.69501263619</v>
      </c>
      <c r="M25" s="275" t="s">
        <v>37</v>
      </c>
      <c r="N25" s="276"/>
      <c r="O25" s="334"/>
      <c r="P25" s="335"/>
      <c r="Q25" s="302">
        <f>SUM(Q21:Q24)</f>
        <v>108925.61749080893</v>
      </c>
    </row>
    <row r="26" spans="2:23" ht="15" customHeight="1">
      <c r="B26" s="404"/>
      <c r="C26" s="48"/>
      <c r="D26" s="48"/>
      <c r="E26" s="355"/>
      <c r="F26" s="285"/>
      <c r="G26" s="272"/>
      <c r="H26" s="274"/>
      <c r="I26" s="317"/>
      <c r="J26" s="78"/>
      <c r="K26" s="305"/>
      <c r="M26" s="272"/>
      <c r="N26" s="274"/>
      <c r="O26" s="317"/>
      <c r="P26" s="78"/>
      <c r="Q26" s="305"/>
    </row>
    <row r="27" spans="2:23" ht="15" customHeight="1" thickBot="1">
      <c r="B27" s="404"/>
      <c r="C27" s="48"/>
      <c r="D27" s="48"/>
      <c r="E27" s="106"/>
      <c r="F27" s="285"/>
      <c r="G27" s="336" t="s">
        <v>110</v>
      </c>
      <c r="H27" s="337"/>
      <c r="I27" s="338"/>
      <c r="J27" s="339"/>
      <c r="K27" s="340">
        <f>ROUND(K25/K3,2)</f>
        <v>44.79</v>
      </c>
      <c r="M27" s="336" t="s">
        <v>110</v>
      </c>
      <c r="N27" s="337"/>
      <c r="O27" s="338"/>
      <c r="P27" s="339"/>
      <c r="Q27" s="340">
        <f>ROUND(Q25/Q3,2)</f>
        <v>42.63</v>
      </c>
    </row>
    <row r="28" spans="2:23" ht="15" customHeight="1">
      <c r="B28" s="78"/>
      <c r="C28" s="78"/>
      <c r="D28" s="78"/>
      <c r="E28" s="78"/>
      <c r="F28" s="285"/>
      <c r="G28" s="274"/>
      <c r="H28" s="274"/>
      <c r="I28" s="293"/>
      <c r="J28" s="270"/>
      <c r="K28" s="341"/>
    </row>
    <row r="29" spans="2:23" ht="15" customHeight="1">
      <c r="B29" s="78"/>
      <c r="C29" s="78"/>
      <c r="D29" s="78"/>
      <c r="E29" s="78"/>
      <c r="F29" s="285"/>
      <c r="K29" s="342"/>
    </row>
    <row r="30" spans="2:23" ht="15" customHeight="1">
      <c r="B30" s="78"/>
      <c r="C30" s="78"/>
      <c r="D30" s="78"/>
      <c r="E30" s="78"/>
      <c r="F30" s="285"/>
      <c r="M30" s="343"/>
      <c r="N30" s="343"/>
    </row>
    <row r="31" spans="2:23" ht="15" customHeight="1">
      <c r="B31" s="78"/>
      <c r="C31" s="78"/>
      <c r="D31" s="480"/>
      <c r="F31" s="344"/>
    </row>
    <row r="32" spans="2:23" ht="15" customHeight="1">
      <c r="B32" s="78"/>
      <c r="C32" s="78"/>
      <c r="D32" s="481"/>
      <c r="F32" s="344"/>
      <c r="G32" s="48"/>
    </row>
    <row r="33" spans="2:10" ht="15" customHeight="1">
      <c r="B33" s="78"/>
      <c r="C33" s="78"/>
      <c r="D33" s="78"/>
    </row>
    <row r="34" spans="2:10" s="26" customFormat="1" ht="15" customHeight="1">
      <c r="B34" s="482"/>
      <c r="C34" s="482"/>
      <c r="D34" s="482"/>
      <c r="G34" s="345"/>
      <c r="H34" s="345"/>
      <c r="I34" s="345"/>
      <c r="J34" s="345"/>
    </row>
    <row r="35" spans="2:10" ht="15" customHeight="1"/>
    <row r="36" spans="2:10" ht="15" customHeight="1"/>
    <row r="37" spans="2:10" ht="15" customHeight="1"/>
    <row r="38" spans="2:10" ht="15" customHeight="1"/>
    <row r="39" spans="2:10" ht="15" customHeight="1"/>
    <row r="40" spans="2:10" ht="15" customHeight="1"/>
    <row r="41" spans="2:10" ht="15" customHeight="1"/>
    <row r="42" spans="2:10" ht="15" customHeight="1"/>
  </sheetData>
  <mergeCells count="14">
    <mergeCell ref="C5:D5"/>
    <mergeCell ref="B2:E2"/>
    <mergeCell ref="G2:K2"/>
    <mergeCell ref="M2:Q2"/>
    <mergeCell ref="B3:D3"/>
    <mergeCell ref="C4:D4"/>
    <mergeCell ref="C17:D17"/>
    <mergeCell ref="C18:D18"/>
    <mergeCell ref="C6:D6"/>
    <mergeCell ref="C7:D7"/>
    <mergeCell ref="B13:D13"/>
    <mergeCell ref="C14:D14"/>
    <mergeCell ref="C15:D15"/>
    <mergeCell ref="C16:D16"/>
  </mergeCells>
  <pageMargins left="0.7" right="0.7" top="0.75" bottom="0.75" header="0.3" footer="0.3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2"/>
  <sheetViews>
    <sheetView zoomScale="81" zoomScaleNormal="81" zoomScaleSheetLayoutView="70" workbookViewId="0">
      <selection activeCell="H27" sqref="H27"/>
    </sheetView>
  </sheetViews>
  <sheetFormatPr defaultColWidth="9.140625" defaultRowHeight="15.75"/>
  <cols>
    <col min="1" max="1" width="9.140625" style="1"/>
    <col min="2" max="2" width="30.7109375" style="1" customWidth="1"/>
    <col min="3" max="3" width="14.5703125" style="1" bestFit="1" customWidth="1"/>
    <col min="4" max="4" width="15.140625" style="1" customWidth="1"/>
    <col min="5" max="6" width="11.7109375" style="1" customWidth="1"/>
    <col min="7" max="7" width="13.28515625" style="1" customWidth="1"/>
    <col min="8" max="8" width="27.7109375" style="1" customWidth="1"/>
    <col min="9" max="9" width="13" style="1" customWidth="1"/>
    <col min="10" max="10" width="14.42578125" style="1" customWidth="1"/>
    <col min="11" max="11" width="13.140625" style="1" customWidth="1"/>
    <col min="12" max="12" width="15.85546875" style="1" customWidth="1"/>
    <col min="13" max="13" width="36.7109375" style="1" customWidth="1"/>
    <col min="14" max="16384" width="9.140625" style="1"/>
  </cols>
  <sheetData>
    <row r="1" spans="2:13" ht="15" customHeight="1">
      <c r="B1" s="78"/>
      <c r="C1" s="78"/>
    </row>
    <row r="2" spans="2:13" ht="15" customHeight="1">
      <c r="B2" s="346"/>
      <c r="C2" s="347"/>
      <c r="H2" s="348"/>
    </row>
    <row r="3" spans="2:13" ht="15" customHeight="1">
      <c r="B3" s="568" t="s">
        <v>111</v>
      </c>
      <c r="C3" s="568"/>
      <c r="D3" s="568"/>
      <c r="E3" s="568"/>
      <c r="F3" s="568"/>
      <c r="G3" s="419"/>
      <c r="H3" s="569" t="s">
        <v>112</v>
      </c>
      <c r="I3" s="570"/>
      <c r="J3" s="570"/>
      <c r="K3" s="570"/>
      <c r="L3" s="570"/>
    </row>
    <row r="4" spans="2:13" ht="15" customHeight="1">
      <c r="B4" s="422" t="s">
        <v>113</v>
      </c>
      <c r="C4" s="422"/>
      <c r="D4" s="419"/>
      <c r="E4" s="419"/>
      <c r="F4" s="419"/>
      <c r="G4" s="419"/>
      <c r="H4" s="423"/>
      <c r="I4" s="423"/>
      <c r="J4" s="423"/>
      <c r="K4" s="423"/>
      <c r="L4" s="423"/>
      <c r="M4" s="32"/>
    </row>
    <row r="5" spans="2:13" ht="15" customHeight="1">
      <c r="B5" s="419"/>
      <c r="C5" s="419"/>
      <c r="D5" s="425"/>
      <c r="E5" s="425"/>
      <c r="F5" s="425"/>
      <c r="G5" s="419"/>
      <c r="H5" s="571" t="s">
        <v>114</v>
      </c>
      <c r="I5" s="572"/>
      <c r="J5" s="572"/>
      <c r="K5" s="572"/>
      <c r="L5" s="573"/>
    </row>
    <row r="6" spans="2:13" s="32" customFormat="1" ht="15" customHeight="1">
      <c r="B6" s="422"/>
      <c r="C6" s="422"/>
      <c r="D6" s="425"/>
      <c r="E6" s="426"/>
      <c r="F6" s="425"/>
      <c r="G6" s="424"/>
      <c r="H6" s="427"/>
      <c r="I6" s="427"/>
      <c r="J6" s="574" t="s">
        <v>115</v>
      </c>
      <c r="K6" s="575"/>
      <c r="L6" s="576"/>
      <c r="M6" s="1"/>
    </row>
    <row r="7" spans="2:13" ht="15" customHeight="1">
      <c r="B7" s="424" t="s">
        <v>101</v>
      </c>
      <c r="C7" s="424"/>
      <c r="D7" s="428"/>
      <c r="E7" s="428"/>
      <c r="F7" s="428"/>
      <c r="G7" s="419"/>
      <c r="H7" s="429" t="s">
        <v>116</v>
      </c>
      <c r="I7" s="429"/>
      <c r="J7" s="429">
        <v>0.25</v>
      </c>
      <c r="K7" s="429">
        <v>0.5</v>
      </c>
      <c r="L7" s="429">
        <v>1</v>
      </c>
    </row>
    <row r="8" spans="2:13" ht="15" customHeight="1">
      <c r="B8" s="430" t="s">
        <v>117</v>
      </c>
      <c r="C8" s="431"/>
      <c r="D8" s="432">
        <f>28467*(2.72%+1)</f>
        <v>29241.302400000004</v>
      </c>
      <c r="E8" s="433"/>
      <c r="F8" s="434"/>
      <c r="G8" s="419"/>
      <c r="H8" s="429"/>
      <c r="I8" s="429"/>
      <c r="J8" s="577" t="s">
        <v>118</v>
      </c>
      <c r="K8" s="578"/>
      <c r="L8" s="579"/>
    </row>
    <row r="9" spans="2:13" ht="15" customHeight="1">
      <c r="B9" s="435" t="s">
        <v>32</v>
      </c>
      <c r="C9" s="436">
        <v>6.3E-3</v>
      </c>
      <c r="D9" s="437">
        <f>D8*C9</f>
        <v>184.22020512000003</v>
      </c>
      <c r="E9" s="433"/>
      <c r="F9" s="434"/>
      <c r="G9" s="419"/>
      <c r="H9" s="438" t="s">
        <v>82</v>
      </c>
      <c r="I9" s="439"/>
      <c r="J9" s="440">
        <f>F15</f>
        <v>9106</v>
      </c>
      <c r="K9" s="441">
        <f>E15</f>
        <v>18211</v>
      </c>
      <c r="L9" s="441">
        <f>D15</f>
        <v>36422</v>
      </c>
    </row>
    <row r="10" spans="2:13" ht="15" customHeight="1">
      <c r="B10" s="435" t="s">
        <v>90</v>
      </c>
      <c r="C10" s="442">
        <f>'[2]Project Benchmarks'!$C$14</f>
        <v>0.21709999999999999</v>
      </c>
      <c r="D10" s="437">
        <f>C10*D8</f>
        <v>6348.2867510400001</v>
      </c>
      <c r="E10" s="433"/>
      <c r="F10" s="443"/>
      <c r="G10" s="419"/>
      <c r="H10" s="438" t="s">
        <v>49</v>
      </c>
      <c r="I10" s="439"/>
      <c r="J10" s="440">
        <f>F26</f>
        <v>10110.837439437346</v>
      </c>
      <c r="K10" s="441">
        <f>E26</f>
        <v>20221.674878874692</v>
      </c>
      <c r="L10" s="441">
        <f>D26</f>
        <v>40443.349757749384</v>
      </c>
    </row>
    <row r="11" spans="2:13" ht="15" customHeight="1">
      <c r="B11" s="435"/>
      <c r="C11" s="417"/>
      <c r="D11" s="444" t="s">
        <v>119</v>
      </c>
      <c r="E11" s="444" t="s">
        <v>120</v>
      </c>
      <c r="F11" s="444" t="s">
        <v>121</v>
      </c>
      <c r="G11" s="445"/>
      <c r="H11" s="438" t="s">
        <v>122</v>
      </c>
      <c r="I11" s="439"/>
      <c r="J11" s="440">
        <f>F37</f>
        <v>11120.321873441279</v>
      </c>
      <c r="K11" s="441">
        <f>E37</f>
        <v>22240.643746882557</v>
      </c>
      <c r="L11" s="441">
        <f>D37</f>
        <v>44481.287493765114</v>
      </c>
    </row>
    <row r="12" spans="2:13" ht="15" customHeight="1">
      <c r="B12" s="446" t="s">
        <v>123</v>
      </c>
      <c r="C12" s="447"/>
      <c r="D12" s="448">
        <f>SUM(D8:D11)</f>
        <v>35773.809356160004</v>
      </c>
      <c r="E12" s="448">
        <f>D12*0.5</f>
        <v>17886.904678080002</v>
      </c>
      <c r="F12" s="448">
        <f>D12*0.25</f>
        <v>8943.4523390400009</v>
      </c>
      <c r="G12" s="419"/>
      <c r="H12" s="438" t="str">
        <f>B40</f>
        <v>LICSW / Clinician</v>
      </c>
      <c r="I12" s="439"/>
      <c r="J12" s="440">
        <f>F48</f>
        <v>16420.754875937837</v>
      </c>
      <c r="K12" s="441">
        <f>E48</f>
        <v>32841.509751875674</v>
      </c>
      <c r="L12" s="441">
        <f>D48</f>
        <v>65683.019503751348</v>
      </c>
    </row>
    <row r="13" spans="2:13" ht="15" customHeight="1">
      <c r="B13" s="449" t="s">
        <v>34</v>
      </c>
      <c r="C13" s="436">
        <f>'[2]Spring 2019 CAF'!$BU$25</f>
        <v>1.8120393120392975E-2</v>
      </c>
      <c r="D13" s="349">
        <f>D12*C13</f>
        <v>648.23548894761154</v>
      </c>
      <c r="E13" s="349">
        <f>E12*C13</f>
        <v>324.11774447380577</v>
      </c>
      <c r="F13" s="349">
        <f>F12*C13</f>
        <v>162.05887223690289</v>
      </c>
      <c r="G13" s="419"/>
      <c r="H13" s="438"/>
      <c r="I13" s="438"/>
      <c r="J13" s="438"/>
      <c r="K13" s="438"/>
      <c r="L13" s="438"/>
    </row>
    <row r="14" spans="2:13" ht="15" customHeight="1">
      <c r="B14" s="449"/>
      <c r="C14" s="450"/>
      <c r="D14" s="349"/>
      <c r="E14" s="349"/>
      <c r="F14" s="349"/>
      <c r="G14" s="419"/>
      <c r="H14" s="438"/>
      <c r="I14" s="429" t="s">
        <v>124</v>
      </c>
      <c r="J14" s="438"/>
      <c r="K14" s="429" t="s">
        <v>125</v>
      </c>
      <c r="L14" s="438"/>
    </row>
    <row r="15" spans="2:13" ht="15" customHeight="1" thickBot="1">
      <c r="B15" s="451" t="s">
        <v>37</v>
      </c>
      <c r="C15" s="452"/>
      <c r="D15" s="350">
        <f>ROUND(D12+D13,0)</f>
        <v>36422</v>
      </c>
      <c r="E15" s="350">
        <f>ROUND(E12+E13,0)</f>
        <v>18211</v>
      </c>
      <c r="F15" s="350">
        <f>ROUND(F12+F13,0)</f>
        <v>9106</v>
      </c>
      <c r="G15" s="419"/>
      <c r="H15" s="438" t="s">
        <v>101</v>
      </c>
      <c r="I15" s="453">
        <f>D16</f>
        <v>140.08461538461538</v>
      </c>
      <c r="J15" s="453">
        <f t="shared" ref="J15:L18" si="0">J9/12</f>
        <v>758.83333333333337</v>
      </c>
      <c r="K15" s="453">
        <f t="shared" si="0"/>
        <v>1517.5833333333333</v>
      </c>
      <c r="L15" s="453">
        <f t="shared" si="0"/>
        <v>3035.1666666666665</v>
      </c>
    </row>
    <row r="16" spans="2:13" ht="15" customHeight="1" thickTop="1" thickBot="1">
      <c r="B16" s="454" t="s">
        <v>126</v>
      </c>
      <c r="C16" s="455">
        <f>2080/8</f>
        <v>260</v>
      </c>
      <c r="D16" s="456">
        <f>D15/C16</f>
        <v>140.08461538461538</v>
      </c>
      <c r="E16" s="457"/>
      <c r="F16" s="457"/>
      <c r="G16" s="419"/>
      <c r="H16" s="438" t="s">
        <v>49</v>
      </c>
      <c r="I16" s="453">
        <f>D27</f>
        <v>155.55134522211301</v>
      </c>
      <c r="J16" s="453">
        <f t="shared" si="0"/>
        <v>842.56978661977882</v>
      </c>
      <c r="K16" s="453">
        <f t="shared" si="0"/>
        <v>1685.1395732395576</v>
      </c>
      <c r="L16" s="453">
        <f t="shared" si="0"/>
        <v>3370.2791464791153</v>
      </c>
    </row>
    <row r="17" spans="2:13" ht="15" customHeight="1">
      <c r="B17" s="422"/>
      <c r="C17" s="422"/>
      <c r="D17" s="425"/>
      <c r="E17" s="425"/>
      <c r="F17" s="425"/>
      <c r="G17" s="419"/>
      <c r="H17" s="438" t="s">
        <v>122</v>
      </c>
      <c r="I17" s="453">
        <f>D38</f>
        <v>171.08187497601966</v>
      </c>
      <c r="J17" s="453">
        <f t="shared" si="0"/>
        <v>926.69348945343984</v>
      </c>
      <c r="K17" s="453">
        <f t="shared" si="0"/>
        <v>1853.3869789068797</v>
      </c>
      <c r="L17" s="453">
        <f t="shared" si="0"/>
        <v>3706.7739578137594</v>
      </c>
    </row>
    <row r="18" spans="2:13" ht="15" customHeight="1" thickBot="1">
      <c r="B18" s="424" t="s">
        <v>49</v>
      </c>
      <c r="C18" s="424"/>
      <c r="D18" s="425"/>
      <c r="E18" s="425"/>
      <c r="F18" s="425"/>
      <c r="G18" s="419"/>
      <c r="H18" s="458" t="str">
        <f>B40</f>
        <v>LICSW / Clinician</v>
      </c>
      <c r="I18" s="459">
        <f>D49</f>
        <v>252.62699809135134</v>
      </c>
      <c r="J18" s="459">
        <f t="shared" si="0"/>
        <v>1368.3962396614863</v>
      </c>
      <c r="K18" s="459">
        <f t="shared" si="0"/>
        <v>2736.7924793229727</v>
      </c>
      <c r="L18" s="459">
        <f t="shared" si="0"/>
        <v>5473.5849586459453</v>
      </c>
    </row>
    <row r="19" spans="2:13" ht="15" customHeight="1">
      <c r="B19" s="430" t="s">
        <v>127</v>
      </c>
      <c r="C19" s="431"/>
      <c r="D19" s="432">
        <f>31610*(1+2.72%)</f>
        <v>32469.792000000005</v>
      </c>
      <c r="E19" s="434"/>
      <c r="F19" s="434"/>
      <c r="G19" s="419"/>
      <c r="H19" s="460"/>
      <c r="I19" s="461"/>
      <c r="J19" s="461"/>
      <c r="K19" s="461"/>
      <c r="L19" s="462"/>
      <c r="M19" s="32"/>
    </row>
    <row r="20" spans="2:13" ht="15" customHeight="1" thickBot="1">
      <c r="B20" s="435" t="s">
        <v>32</v>
      </c>
      <c r="C20" s="436">
        <v>6.3E-3</v>
      </c>
      <c r="D20" s="437">
        <f>C20*D19</f>
        <v>204.55968960000004</v>
      </c>
      <c r="E20" s="434"/>
      <c r="F20" s="434"/>
      <c r="G20" s="419"/>
      <c r="H20" s="463" t="s">
        <v>32</v>
      </c>
      <c r="I20" s="567">
        <v>6.3E-3</v>
      </c>
      <c r="J20" s="567"/>
      <c r="K20" s="464" t="s">
        <v>33</v>
      </c>
      <c r="L20" s="465"/>
    </row>
    <row r="21" spans="2:13" s="32" customFormat="1" ht="15" customHeight="1">
      <c r="B21" s="435" t="s">
        <v>90</v>
      </c>
      <c r="C21" s="442">
        <f>'[2]Project Benchmarks'!C14</f>
        <v>0.21709999999999999</v>
      </c>
      <c r="D21" s="437">
        <f>D19*C21</f>
        <v>7049.1918432000002</v>
      </c>
      <c r="E21" s="434"/>
      <c r="F21" s="434"/>
      <c r="G21" s="424"/>
      <c r="H21" s="419"/>
      <c r="I21" s="419"/>
      <c r="J21" s="419"/>
      <c r="K21" s="419"/>
      <c r="L21" s="419"/>
      <c r="M21" s="1"/>
    </row>
    <row r="22" spans="2:13" ht="15" customHeight="1">
      <c r="B22" s="435"/>
      <c r="C22" s="417"/>
      <c r="D22" s="444" t="s">
        <v>119</v>
      </c>
      <c r="E22" s="444" t="s">
        <v>120</v>
      </c>
      <c r="F22" s="444" t="s">
        <v>121</v>
      </c>
      <c r="G22" s="419"/>
      <c r="H22" s="419"/>
      <c r="I22" s="419"/>
      <c r="J22" s="419"/>
      <c r="K22" s="419"/>
      <c r="L22" s="419"/>
    </row>
    <row r="23" spans="2:13" ht="15" customHeight="1">
      <c r="B23" s="466" t="s">
        <v>123</v>
      </c>
      <c r="C23" s="447"/>
      <c r="D23" s="448">
        <f>SUM(D19:D22)</f>
        <v>39723.543532800002</v>
      </c>
      <c r="E23" s="351">
        <f>D23*0.5</f>
        <v>19861.771766400001</v>
      </c>
      <c r="F23" s="351">
        <f>D23*0.25</f>
        <v>9930.8858832000005</v>
      </c>
      <c r="G23" s="419"/>
      <c r="H23" s="419"/>
      <c r="I23" s="419"/>
      <c r="J23" s="467"/>
      <c r="K23" s="419"/>
      <c r="L23" s="419"/>
    </row>
    <row r="24" spans="2:13" ht="15" customHeight="1">
      <c r="B24" s="435" t="s">
        <v>34</v>
      </c>
      <c r="C24" s="436">
        <f>'[2]Spring 2019 CAF'!$BU$25</f>
        <v>1.8120393120392975E-2</v>
      </c>
      <c r="D24" s="349">
        <f>D23*C24</f>
        <v>719.80622494938007</v>
      </c>
      <c r="E24" s="349">
        <f>E23*C24</f>
        <v>359.90311247469003</v>
      </c>
      <c r="F24" s="349">
        <f>F23*C24</f>
        <v>179.95155623734502</v>
      </c>
      <c r="G24" s="419"/>
      <c r="H24" s="419"/>
      <c r="I24" s="419"/>
      <c r="J24" s="467"/>
      <c r="K24" s="419"/>
      <c r="L24" s="419"/>
    </row>
    <row r="25" spans="2:13" ht="15" customHeight="1">
      <c r="B25" s="435"/>
      <c r="C25" s="450"/>
      <c r="D25" s="349"/>
      <c r="E25" s="349"/>
      <c r="F25" s="349"/>
      <c r="G25" s="419"/>
      <c r="H25" s="419"/>
      <c r="I25" s="419"/>
      <c r="J25" s="467"/>
      <c r="K25" s="419"/>
      <c r="L25" s="419"/>
    </row>
    <row r="26" spans="2:13" ht="15" customHeight="1" thickBot="1">
      <c r="B26" s="451" t="s">
        <v>37</v>
      </c>
      <c r="C26" s="452"/>
      <c r="D26" s="350">
        <f>D23+D24</f>
        <v>40443.349757749384</v>
      </c>
      <c r="E26" s="350">
        <f>E23+E24</f>
        <v>20221.674878874692</v>
      </c>
      <c r="F26" s="350">
        <f>F23+F24</f>
        <v>10110.837439437346</v>
      </c>
      <c r="G26" s="419"/>
      <c r="H26" s="419"/>
      <c r="I26" s="419"/>
      <c r="J26" s="467"/>
      <c r="K26" s="419"/>
      <c r="L26" s="419"/>
    </row>
    <row r="27" spans="2:13" ht="15" customHeight="1" thickTop="1" thickBot="1">
      <c r="B27" s="454" t="s">
        <v>126</v>
      </c>
      <c r="C27" s="455">
        <f>2080/8</f>
        <v>260</v>
      </c>
      <c r="D27" s="456">
        <f>D26/C27</f>
        <v>155.55134522211301</v>
      </c>
      <c r="E27" s="457"/>
      <c r="F27" s="457"/>
      <c r="G27" s="419"/>
      <c r="H27" s="419"/>
      <c r="I27" s="419"/>
      <c r="J27" s="467"/>
      <c r="K27" s="419"/>
      <c r="L27" s="419"/>
    </row>
    <row r="28" spans="2:13" ht="15" customHeight="1">
      <c r="B28" s="468"/>
      <c r="C28" s="443"/>
      <c r="D28" s="469"/>
      <c r="E28" s="457"/>
      <c r="F28" s="457"/>
      <c r="G28" s="419"/>
      <c r="H28" s="419"/>
      <c r="I28" s="419"/>
      <c r="J28" s="419"/>
      <c r="K28" s="419"/>
      <c r="L28" s="419"/>
    </row>
    <row r="29" spans="2:13" ht="15" customHeight="1">
      <c r="B29" s="424" t="s">
        <v>122</v>
      </c>
      <c r="C29" s="424"/>
      <c r="D29" s="425"/>
      <c r="E29" s="425"/>
      <c r="F29" s="425"/>
      <c r="G29" s="419"/>
      <c r="H29" s="419"/>
      <c r="I29" s="419"/>
      <c r="J29" s="470"/>
      <c r="K29" s="419"/>
      <c r="L29" s="419"/>
    </row>
    <row r="30" spans="2:13" ht="15" customHeight="1">
      <c r="B30" s="430" t="s">
        <v>127</v>
      </c>
      <c r="C30" s="431"/>
      <c r="D30" s="432">
        <f>34766*(2.72%+1)</f>
        <v>35711.635200000004</v>
      </c>
      <c r="E30" s="434"/>
      <c r="F30" s="434"/>
      <c r="G30" s="419"/>
      <c r="H30" s="419"/>
      <c r="I30" s="419"/>
      <c r="J30" s="470"/>
      <c r="K30" s="419"/>
      <c r="L30" s="419"/>
    </row>
    <row r="31" spans="2:13" ht="15" customHeight="1">
      <c r="B31" s="435" t="s">
        <v>32</v>
      </c>
      <c r="C31" s="436">
        <v>6.3E-3</v>
      </c>
      <c r="D31" s="437">
        <f>C31*D30</f>
        <v>224.98330176000002</v>
      </c>
      <c r="E31" s="434"/>
      <c r="F31" s="434"/>
      <c r="G31" s="419"/>
      <c r="H31" s="419"/>
      <c r="I31" s="419"/>
      <c r="J31" s="470"/>
      <c r="K31" s="419"/>
      <c r="L31" s="419"/>
    </row>
    <row r="32" spans="2:13" ht="15" customHeight="1">
      <c r="B32" s="435" t="s">
        <v>90</v>
      </c>
      <c r="C32" s="442">
        <f>'[2]Project Benchmarks'!$C$14</f>
        <v>0.21709999999999999</v>
      </c>
      <c r="D32" s="437">
        <f>D30*C32</f>
        <v>7752.9960019200007</v>
      </c>
      <c r="E32" s="434"/>
      <c r="F32" s="434"/>
      <c r="G32" s="419"/>
      <c r="H32" s="419"/>
      <c r="I32" s="419"/>
      <c r="J32" s="419"/>
      <c r="K32" s="419"/>
      <c r="L32" s="419"/>
    </row>
    <row r="33" spans="2:12" ht="15" customHeight="1">
      <c r="B33" s="435"/>
      <c r="C33" s="417"/>
      <c r="D33" s="444" t="s">
        <v>119</v>
      </c>
      <c r="E33" s="444" t="s">
        <v>120</v>
      </c>
      <c r="F33" s="444" t="s">
        <v>121</v>
      </c>
      <c r="G33" s="419"/>
      <c r="H33" s="419"/>
      <c r="I33" s="419"/>
      <c r="J33" s="419"/>
      <c r="K33" s="419"/>
      <c r="L33" s="419"/>
    </row>
    <row r="34" spans="2:12" ht="15" customHeight="1">
      <c r="B34" s="466" t="s">
        <v>123</v>
      </c>
      <c r="C34" s="447"/>
      <c r="D34" s="448">
        <f>SUM(D30:D33)</f>
        <v>43689.614503680008</v>
      </c>
      <c r="E34" s="351">
        <f>D34*0.5</f>
        <v>21844.807251840004</v>
      </c>
      <c r="F34" s="351">
        <f>D34*0.25</f>
        <v>10922.403625920002</v>
      </c>
      <c r="G34" s="419"/>
      <c r="H34" s="419"/>
      <c r="I34" s="419"/>
      <c r="J34" s="419"/>
      <c r="K34" s="419"/>
      <c r="L34" s="419"/>
    </row>
    <row r="35" spans="2:12" ht="15" customHeight="1">
      <c r="B35" s="435" t="s">
        <v>34</v>
      </c>
      <c r="C35" s="436">
        <f>'[2]Spring 2019 CAF'!$BU$25</f>
        <v>1.8120393120392975E-2</v>
      </c>
      <c r="D35" s="349">
        <f>D34*C35</f>
        <v>791.6729900851044</v>
      </c>
      <c r="E35" s="349">
        <f>E34*C35</f>
        <v>395.8364950425522</v>
      </c>
      <c r="F35" s="349">
        <f>F34*C35</f>
        <v>197.9182475212761</v>
      </c>
      <c r="G35" s="419"/>
      <c r="H35" s="419"/>
      <c r="I35" s="419"/>
      <c r="J35" s="419"/>
      <c r="K35" s="419"/>
      <c r="L35" s="419"/>
    </row>
    <row r="36" spans="2:12" ht="15" customHeight="1">
      <c r="B36" s="435"/>
      <c r="C36" s="450"/>
      <c r="D36" s="349"/>
      <c r="E36" s="349"/>
      <c r="F36" s="349"/>
      <c r="G36" s="419"/>
      <c r="H36" s="419"/>
      <c r="I36" s="419"/>
      <c r="J36" s="419"/>
      <c r="K36" s="419"/>
      <c r="L36" s="419"/>
    </row>
    <row r="37" spans="2:12" ht="15" customHeight="1" thickBot="1">
      <c r="B37" s="451" t="s">
        <v>37</v>
      </c>
      <c r="C37" s="452"/>
      <c r="D37" s="350">
        <f>D34+D35</f>
        <v>44481.287493765114</v>
      </c>
      <c r="E37" s="350">
        <f>E34+E35</f>
        <v>22240.643746882557</v>
      </c>
      <c r="F37" s="350">
        <f>F34+F35</f>
        <v>11120.321873441279</v>
      </c>
      <c r="G37" s="419"/>
      <c r="H37" s="419"/>
      <c r="I37" s="419"/>
      <c r="J37" s="419"/>
      <c r="K37" s="419"/>
      <c r="L37" s="419"/>
    </row>
    <row r="38" spans="2:12" ht="15" customHeight="1" thickTop="1" thickBot="1">
      <c r="B38" s="454" t="s">
        <v>126</v>
      </c>
      <c r="C38" s="455">
        <f>2080/8</f>
        <v>260</v>
      </c>
      <c r="D38" s="456">
        <f>D37/C38</f>
        <v>171.08187497601966</v>
      </c>
      <c r="E38" s="457"/>
      <c r="F38" s="457"/>
      <c r="G38" s="419"/>
      <c r="H38" s="419"/>
      <c r="I38" s="419"/>
      <c r="J38" s="419"/>
      <c r="K38" s="419"/>
      <c r="L38" s="419"/>
    </row>
    <row r="39" spans="2:12" ht="15" customHeight="1">
      <c r="B39" s="417"/>
      <c r="C39" s="417"/>
      <c r="D39" s="457"/>
      <c r="E39" s="457"/>
      <c r="F39" s="457"/>
      <c r="G39" s="419"/>
      <c r="H39" s="419"/>
      <c r="I39" s="419"/>
      <c r="J39" s="419"/>
      <c r="K39" s="419"/>
      <c r="L39" s="419"/>
    </row>
    <row r="40" spans="2:12" ht="15" customHeight="1">
      <c r="B40" s="424" t="s">
        <v>128</v>
      </c>
      <c r="C40" s="424"/>
      <c r="D40" s="425"/>
      <c r="E40" s="425"/>
      <c r="F40" s="428"/>
      <c r="G40" s="419"/>
      <c r="H40" s="419"/>
      <c r="I40" s="419"/>
      <c r="J40" s="419"/>
      <c r="K40" s="419"/>
      <c r="L40" s="419"/>
    </row>
    <row r="41" spans="2:12" ht="15" customHeight="1">
      <c r="B41" s="430" t="s">
        <v>129</v>
      </c>
      <c r="C41" s="431"/>
      <c r="D41" s="432">
        <f>51337*(2.72%+1)</f>
        <v>52733.366400000006</v>
      </c>
      <c r="E41" s="434"/>
      <c r="F41" s="425"/>
      <c r="G41" s="419"/>
      <c r="H41" s="419"/>
      <c r="I41" s="419"/>
      <c r="J41" s="419"/>
      <c r="K41" s="419"/>
      <c r="L41" s="419"/>
    </row>
    <row r="42" spans="2:12" ht="15" customHeight="1">
      <c r="B42" s="435" t="s">
        <v>32</v>
      </c>
      <c r="C42" s="436">
        <v>6.3E-3</v>
      </c>
      <c r="D42" s="437">
        <f>C42*D41</f>
        <v>332.22020832000004</v>
      </c>
      <c r="E42" s="434"/>
      <c r="F42" s="425"/>
      <c r="G42" s="419"/>
      <c r="H42" s="419"/>
      <c r="I42" s="419"/>
      <c r="J42" s="419"/>
      <c r="K42" s="419"/>
      <c r="L42" s="419" t="s">
        <v>130</v>
      </c>
    </row>
    <row r="43" spans="2:12" ht="15" customHeight="1">
      <c r="B43" s="435" t="s">
        <v>90</v>
      </c>
      <c r="C43" s="442">
        <f>'[2]Project Benchmarks'!$C$14</f>
        <v>0.21709999999999999</v>
      </c>
      <c r="D43" s="437">
        <f>C43*D41</f>
        <v>11448.41384544</v>
      </c>
      <c r="E43" s="434"/>
      <c r="F43" s="425"/>
      <c r="G43" s="419"/>
      <c r="H43" s="419"/>
      <c r="I43" s="419"/>
      <c r="J43" s="419"/>
      <c r="K43" s="419"/>
      <c r="L43" s="419"/>
    </row>
    <row r="44" spans="2:12" ht="15" customHeight="1">
      <c r="B44" s="435"/>
      <c r="C44" s="417"/>
      <c r="D44" s="444" t="s">
        <v>119</v>
      </c>
      <c r="E44" s="444" t="s">
        <v>120</v>
      </c>
      <c r="F44" s="444" t="s">
        <v>121</v>
      </c>
      <c r="G44" s="417"/>
      <c r="H44" s="419"/>
      <c r="I44" s="419"/>
      <c r="J44" s="419"/>
      <c r="K44" s="419"/>
      <c r="L44" s="419"/>
    </row>
    <row r="45" spans="2:12">
      <c r="B45" s="446" t="s">
        <v>123</v>
      </c>
      <c r="C45" s="447"/>
      <c r="D45" s="448">
        <f>SUM(D41:D44)</f>
        <v>64514.000453760011</v>
      </c>
      <c r="E45" s="351">
        <f>D45*0.5</f>
        <v>32257.000226880005</v>
      </c>
      <c r="F45" s="351">
        <f>D45*0.25</f>
        <v>16128.500113440003</v>
      </c>
      <c r="G45" s="417"/>
      <c r="H45" s="419"/>
      <c r="I45" s="419"/>
      <c r="J45" s="419"/>
      <c r="K45" s="419"/>
      <c r="L45" s="419"/>
    </row>
    <row r="46" spans="2:12">
      <c r="B46" s="449" t="s">
        <v>34</v>
      </c>
      <c r="C46" s="436">
        <f>'[2]Spring 2019 CAF'!$BU$25</f>
        <v>1.8120393120392975E-2</v>
      </c>
      <c r="D46" s="349">
        <f>D45*C46</f>
        <v>1169.0190499913422</v>
      </c>
      <c r="E46" s="349">
        <f>E45*C46</f>
        <v>584.50952499567109</v>
      </c>
      <c r="F46" s="349">
        <f>F45*C46</f>
        <v>292.25476249783554</v>
      </c>
      <c r="G46" s="417"/>
      <c r="H46" s="419"/>
      <c r="I46" s="419"/>
      <c r="J46" s="419"/>
      <c r="K46" s="419"/>
      <c r="L46" s="419"/>
    </row>
    <row r="47" spans="2:12">
      <c r="B47" s="449"/>
      <c r="C47" s="450"/>
      <c r="D47" s="349"/>
      <c r="E47" s="349"/>
      <c r="F47" s="349"/>
      <c r="G47" s="417"/>
      <c r="H47" s="419"/>
      <c r="I47" s="419"/>
      <c r="J47" s="419"/>
      <c r="K47" s="419"/>
      <c r="L47" s="419"/>
    </row>
    <row r="48" spans="2:12" ht="16.5" thickBot="1">
      <c r="B48" s="471" t="s">
        <v>37</v>
      </c>
      <c r="C48" s="472"/>
      <c r="D48" s="352">
        <f>D45+D46</f>
        <v>65683.019503751348</v>
      </c>
      <c r="E48" s="352">
        <f>E45+E46</f>
        <v>32841.509751875674</v>
      </c>
      <c r="F48" s="352">
        <f>F45+F46</f>
        <v>16420.754875937837</v>
      </c>
      <c r="G48" s="417"/>
      <c r="H48" s="419"/>
      <c r="I48" s="419"/>
      <c r="J48" s="419"/>
      <c r="K48" s="419"/>
      <c r="L48" s="419"/>
    </row>
    <row r="49" spans="2:12" ht="17.25" thickTop="1" thickBot="1">
      <c r="B49" s="454" t="s">
        <v>126</v>
      </c>
      <c r="C49" s="455">
        <f>2080/8</f>
        <v>260</v>
      </c>
      <c r="D49" s="456">
        <f>D48/C49</f>
        <v>252.62699809135134</v>
      </c>
      <c r="E49" s="457"/>
      <c r="F49" s="457"/>
      <c r="G49" s="417"/>
      <c r="H49" s="419"/>
      <c r="I49" s="419"/>
      <c r="J49" s="419"/>
      <c r="K49" s="419"/>
      <c r="L49" s="419"/>
    </row>
    <row r="50" spans="2:12">
      <c r="B50" s="419"/>
      <c r="C50" s="419"/>
      <c r="D50" s="425"/>
      <c r="E50" s="425"/>
      <c r="F50" s="425"/>
      <c r="G50" s="419"/>
      <c r="H50" s="419"/>
      <c r="I50" s="419"/>
      <c r="J50" s="419"/>
      <c r="K50" s="419"/>
      <c r="L50" s="419"/>
    </row>
    <row r="51" spans="2:12">
      <c r="D51" s="76"/>
      <c r="E51" s="76"/>
      <c r="F51" s="76"/>
    </row>
    <row r="52" spans="2:12">
      <c r="B52" s="78"/>
      <c r="C52" s="78"/>
      <c r="D52" s="48"/>
      <c r="E52" s="48"/>
      <c r="F52" s="48"/>
      <c r="G52" s="78"/>
    </row>
    <row r="53" spans="2:12">
      <c r="B53" s="78"/>
      <c r="C53" s="78"/>
      <c r="D53" s="48"/>
      <c r="E53" s="48"/>
      <c r="F53" s="48"/>
      <c r="G53" s="78"/>
    </row>
    <row r="54" spans="2:12">
      <c r="B54" s="394"/>
      <c r="C54" s="394"/>
      <c r="D54" s="394"/>
      <c r="E54" s="394"/>
      <c r="F54" s="394"/>
      <c r="G54" s="394"/>
    </row>
    <row r="55" spans="2:12" ht="18.75">
      <c r="B55" s="484"/>
      <c r="C55" s="483"/>
      <c r="D55" s="483"/>
      <c r="E55" s="174"/>
      <c r="F55" s="394"/>
      <c r="G55" s="394"/>
    </row>
    <row r="56" spans="2:12" ht="18.75">
      <c r="B56" s="485"/>
      <c r="C56" s="483"/>
      <c r="D56" s="483"/>
      <c r="E56" s="353"/>
      <c r="F56" s="394"/>
      <c r="G56" s="394"/>
    </row>
    <row r="57" spans="2:12" ht="18.75">
      <c r="B57" s="485"/>
      <c r="C57" s="483"/>
      <c r="D57" s="483"/>
      <c r="E57" s="354"/>
      <c r="F57" s="394"/>
      <c r="G57" s="394"/>
    </row>
    <row r="58" spans="2:12" ht="18.75">
      <c r="B58" s="485"/>
      <c r="C58" s="483"/>
      <c r="D58" s="483"/>
      <c r="E58" s="355"/>
      <c r="F58" s="394"/>
      <c r="G58" s="394"/>
    </row>
    <row r="59" spans="2:12" ht="18.75">
      <c r="B59" s="485"/>
      <c r="C59" s="106"/>
      <c r="D59" s="106"/>
      <c r="E59" s="355"/>
      <c r="F59" s="394"/>
      <c r="G59" s="394"/>
    </row>
    <row r="60" spans="2:12">
      <c r="B60" s="2"/>
      <c r="C60" s="48"/>
      <c r="D60" s="48"/>
      <c r="E60" s="106"/>
      <c r="F60" s="78"/>
      <c r="G60" s="78"/>
    </row>
    <row r="61" spans="2:12">
      <c r="B61" s="78"/>
      <c r="C61" s="78"/>
      <c r="D61" s="78"/>
      <c r="E61" s="78"/>
      <c r="F61" s="78"/>
      <c r="G61" s="78"/>
    </row>
    <row r="62" spans="2:12">
      <c r="B62" s="78"/>
      <c r="C62" s="78"/>
      <c r="D62" s="78"/>
      <c r="E62" s="78"/>
      <c r="F62" s="78"/>
      <c r="G62" s="78"/>
    </row>
  </sheetData>
  <mergeCells count="6">
    <mergeCell ref="I20:J20"/>
    <mergeCell ref="B3:F3"/>
    <mergeCell ref="H3:L3"/>
    <mergeCell ref="H5:L5"/>
    <mergeCell ref="J6:L6"/>
    <mergeCell ref="J8:L8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opLeftCell="BF1" workbookViewId="0">
      <selection activeCell="BT30" sqref="BT30"/>
    </sheetView>
  </sheetViews>
  <sheetFormatPr defaultRowHeight="12.75"/>
  <cols>
    <col min="1" max="1" width="38.42578125" style="358" customWidth="1"/>
    <col min="2" max="2" width="12.85546875" style="363" customWidth="1"/>
    <col min="3" max="61" width="7.7109375" style="358" customWidth="1"/>
    <col min="62" max="73" width="9" style="358" customWidth="1"/>
    <col min="74" max="82" width="7.7109375" style="358" customWidth="1"/>
    <col min="83" max="256" width="8.85546875" style="358"/>
    <col min="257" max="257" width="38.42578125" style="358" customWidth="1"/>
    <col min="258" max="258" width="12.85546875" style="358" customWidth="1"/>
    <col min="259" max="317" width="7.7109375" style="358" customWidth="1"/>
    <col min="318" max="329" width="9" style="358" customWidth="1"/>
    <col min="330" max="338" width="7.7109375" style="358" customWidth="1"/>
    <col min="339" max="512" width="8.85546875" style="358"/>
    <col min="513" max="513" width="38.42578125" style="358" customWidth="1"/>
    <col min="514" max="514" width="12.85546875" style="358" customWidth="1"/>
    <col min="515" max="573" width="7.7109375" style="358" customWidth="1"/>
    <col min="574" max="585" width="9" style="358" customWidth="1"/>
    <col min="586" max="594" width="7.7109375" style="358" customWidth="1"/>
    <col min="595" max="768" width="8.85546875" style="358"/>
    <col min="769" max="769" width="38.42578125" style="358" customWidth="1"/>
    <col min="770" max="770" width="12.85546875" style="358" customWidth="1"/>
    <col min="771" max="829" width="7.7109375" style="358" customWidth="1"/>
    <col min="830" max="841" width="9" style="358" customWidth="1"/>
    <col min="842" max="850" width="7.7109375" style="358" customWidth="1"/>
    <col min="851" max="1024" width="8.85546875" style="358"/>
    <col min="1025" max="1025" width="38.42578125" style="358" customWidth="1"/>
    <col min="1026" max="1026" width="12.85546875" style="358" customWidth="1"/>
    <col min="1027" max="1085" width="7.7109375" style="358" customWidth="1"/>
    <col min="1086" max="1097" width="9" style="358" customWidth="1"/>
    <col min="1098" max="1106" width="7.7109375" style="358" customWidth="1"/>
    <col min="1107" max="1280" width="8.85546875" style="358"/>
    <col min="1281" max="1281" width="38.42578125" style="358" customWidth="1"/>
    <col min="1282" max="1282" width="12.85546875" style="358" customWidth="1"/>
    <col min="1283" max="1341" width="7.7109375" style="358" customWidth="1"/>
    <col min="1342" max="1353" width="9" style="358" customWidth="1"/>
    <col min="1354" max="1362" width="7.7109375" style="358" customWidth="1"/>
    <col min="1363" max="1536" width="8.85546875" style="358"/>
    <col min="1537" max="1537" width="38.42578125" style="358" customWidth="1"/>
    <col min="1538" max="1538" width="12.85546875" style="358" customWidth="1"/>
    <col min="1539" max="1597" width="7.7109375" style="358" customWidth="1"/>
    <col min="1598" max="1609" width="9" style="358" customWidth="1"/>
    <col min="1610" max="1618" width="7.7109375" style="358" customWidth="1"/>
    <col min="1619" max="1792" width="8.85546875" style="358"/>
    <col min="1793" max="1793" width="38.42578125" style="358" customWidth="1"/>
    <col min="1794" max="1794" width="12.85546875" style="358" customWidth="1"/>
    <col min="1795" max="1853" width="7.7109375" style="358" customWidth="1"/>
    <col min="1854" max="1865" width="9" style="358" customWidth="1"/>
    <col min="1866" max="1874" width="7.7109375" style="358" customWidth="1"/>
    <col min="1875" max="2048" width="8.85546875" style="358"/>
    <col min="2049" max="2049" width="38.42578125" style="358" customWidth="1"/>
    <col min="2050" max="2050" width="12.85546875" style="358" customWidth="1"/>
    <col min="2051" max="2109" width="7.7109375" style="358" customWidth="1"/>
    <col min="2110" max="2121" width="9" style="358" customWidth="1"/>
    <col min="2122" max="2130" width="7.7109375" style="358" customWidth="1"/>
    <col min="2131" max="2304" width="8.85546875" style="358"/>
    <col min="2305" max="2305" width="38.42578125" style="358" customWidth="1"/>
    <col min="2306" max="2306" width="12.85546875" style="358" customWidth="1"/>
    <col min="2307" max="2365" width="7.7109375" style="358" customWidth="1"/>
    <col min="2366" max="2377" width="9" style="358" customWidth="1"/>
    <col min="2378" max="2386" width="7.7109375" style="358" customWidth="1"/>
    <col min="2387" max="2560" width="8.85546875" style="358"/>
    <col min="2561" max="2561" width="38.42578125" style="358" customWidth="1"/>
    <col min="2562" max="2562" width="12.85546875" style="358" customWidth="1"/>
    <col min="2563" max="2621" width="7.7109375" style="358" customWidth="1"/>
    <col min="2622" max="2633" width="9" style="358" customWidth="1"/>
    <col min="2634" max="2642" width="7.7109375" style="358" customWidth="1"/>
    <col min="2643" max="2816" width="8.85546875" style="358"/>
    <col min="2817" max="2817" width="38.42578125" style="358" customWidth="1"/>
    <col min="2818" max="2818" width="12.85546875" style="358" customWidth="1"/>
    <col min="2819" max="2877" width="7.7109375" style="358" customWidth="1"/>
    <col min="2878" max="2889" width="9" style="358" customWidth="1"/>
    <col min="2890" max="2898" width="7.7109375" style="358" customWidth="1"/>
    <col min="2899" max="3072" width="8.85546875" style="358"/>
    <col min="3073" max="3073" width="38.42578125" style="358" customWidth="1"/>
    <col min="3074" max="3074" width="12.85546875" style="358" customWidth="1"/>
    <col min="3075" max="3133" width="7.7109375" style="358" customWidth="1"/>
    <col min="3134" max="3145" width="9" style="358" customWidth="1"/>
    <col min="3146" max="3154" width="7.7109375" style="358" customWidth="1"/>
    <col min="3155" max="3328" width="8.85546875" style="358"/>
    <col min="3329" max="3329" width="38.42578125" style="358" customWidth="1"/>
    <col min="3330" max="3330" width="12.85546875" style="358" customWidth="1"/>
    <col min="3331" max="3389" width="7.7109375" style="358" customWidth="1"/>
    <col min="3390" max="3401" width="9" style="358" customWidth="1"/>
    <col min="3402" max="3410" width="7.7109375" style="358" customWidth="1"/>
    <col min="3411" max="3584" width="8.85546875" style="358"/>
    <col min="3585" max="3585" width="38.42578125" style="358" customWidth="1"/>
    <col min="3586" max="3586" width="12.85546875" style="358" customWidth="1"/>
    <col min="3587" max="3645" width="7.7109375" style="358" customWidth="1"/>
    <col min="3646" max="3657" width="9" style="358" customWidth="1"/>
    <col min="3658" max="3666" width="7.7109375" style="358" customWidth="1"/>
    <col min="3667" max="3840" width="8.85546875" style="358"/>
    <col min="3841" max="3841" width="38.42578125" style="358" customWidth="1"/>
    <col min="3842" max="3842" width="12.85546875" style="358" customWidth="1"/>
    <col min="3843" max="3901" width="7.7109375" style="358" customWidth="1"/>
    <col min="3902" max="3913" width="9" style="358" customWidth="1"/>
    <col min="3914" max="3922" width="7.7109375" style="358" customWidth="1"/>
    <col min="3923" max="4096" width="8.85546875" style="358"/>
    <col min="4097" max="4097" width="38.42578125" style="358" customWidth="1"/>
    <col min="4098" max="4098" width="12.85546875" style="358" customWidth="1"/>
    <col min="4099" max="4157" width="7.7109375" style="358" customWidth="1"/>
    <col min="4158" max="4169" width="9" style="358" customWidth="1"/>
    <col min="4170" max="4178" width="7.7109375" style="358" customWidth="1"/>
    <col min="4179" max="4352" width="8.85546875" style="358"/>
    <col min="4353" max="4353" width="38.42578125" style="358" customWidth="1"/>
    <col min="4354" max="4354" width="12.85546875" style="358" customWidth="1"/>
    <col min="4355" max="4413" width="7.7109375" style="358" customWidth="1"/>
    <col min="4414" max="4425" width="9" style="358" customWidth="1"/>
    <col min="4426" max="4434" width="7.7109375" style="358" customWidth="1"/>
    <col min="4435" max="4608" width="8.85546875" style="358"/>
    <col min="4609" max="4609" width="38.42578125" style="358" customWidth="1"/>
    <col min="4610" max="4610" width="12.85546875" style="358" customWidth="1"/>
    <col min="4611" max="4669" width="7.7109375" style="358" customWidth="1"/>
    <col min="4670" max="4681" width="9" style="358" customWidth="1"/>
    <col min="4682" max="4690" width="7.7109375" style="358" customWidth="1"/>
    <col min="4691" max="4864" width="8.85546875" style="358"/>
    <col min="4865" max="4865" width="38.42578125" style="358" customWidth="1"/>
    <col min="4866" max="4866" width="12.85546875" style="358" customWidth="1"/>
    <col min="4867" max="4925" width="7.7109375" style="358" customWidth="1"/>
    <col min="4926" max="4937" width="9" style="358" customWidth="1"/>
    <col min="4938" max="4946" width="7.7109375" style="358" customWidth="1"/>
    <col min="4947" max="5120" width="8.85546875" style="358"/>
    <col min="5121" max="5121" width="38.42578125" style="358" customWidth="1"/>
    <col min="5122" max="5122" width="12.85546875" style="358" customWidth="1"/>
    <col min="5123" max="5181" width="7.7109375" style="358" customWidth="1"/>
    <col min="5182" max="5193" width="9" style="358" customWidth="1"/>
    <col min="5194" max="5202" width="7.7109375" style="358" customWidth="1"/>
    <col min="5203" max="5376" width="8.85546875" style="358"/>
    <col min="5377" max="5377" width="38.42578125" style="358" customWidth="1"/>
    <col min="5378" max="5378" width="12.85546875" style="358" customWidth="1"/>
    <col min="5379" max="5437" width="7.7109375" style="358" customWidth="1"/>
    <col min="5438" max="5449" width="9" style="358" customWidth="1"/>
    <col min="5450" max="5458" width="7.7109375" style="358" customWidth="1"/>
    <col min="5459" max="5632" width="8.85546875" style="358"/>
    <col min="5633" max="5633" width="38.42578125" style="358" customWidth="1"/>
    <col min="5634" max="5634" width="12.85546875" style="358" customWidth="1"/>
    <col min="5635" max="5693" width="7.7109375" style="358" customWidth="1"/>
    <col min="5694" max="5705" width="9" style="358" customWidth="1"/>
    <col min="5706" max="5714" width="7.7109375" style="358" customWidth="1"/>
    <col min="5715" max="5888" width="8.85546875" style="358"/>
    <col min="5889" max="5889" width="38.42578125" style="358" customWidth="1"/>
    <col min="5890" max="5890" width="12.85546875" style="358" customWidth="1"/>
    <col min="5891" max="5949" width="7.7109375" style="358" customWidth="1"/>
    <col min="5950" max="5961" width="9" style="358" customWidth="1"/>
    <col min="5962" max="5970" width="7.7109375" style="358" customWidth="1"/>
    <col min="5971" max="6144" width="8.85546875" style="358"/>
    <col min="6145" max="6145" width="38.42578125" style="358" customWidth="1"/>
    <col min="6146" max="6146" width="12.85546875" style="358" customWidth="1"/>
    <col min="6147" max="6205" width="7.7109375" style="358" customWidth="1"/>
    <col min="6206" max="6217" width="9" style="358" customWidth="1"/>
    <col min="6218" max="6226" width="7.7109375" style="358" customWidth="1"/>
    <col min="6227" max="6400" width="8.85546875" style="358"/>
    <col min="6401" max="6401" width="38.42578125" style="358" customWidth="1"/>
    <col min="6402" max="6402" width="12.85546875" style="358" customWidth="1"/>
    <col min="6403" max="6461" width="7.7109375" style="358" customWidth="1"/>
    <col min="6462" max="6473" width="9" style="358" customWidth="1"/>
    <col min="6474" max="6482" width="7.7109375" style="358" customWidth="1"/>
    <col min="6483" max="6656" width="8.85546875" style="358"/>
    <col min="6657" max="6657" width="38.42578125" style="358" customWidth="1"/>
    <col min="6658" max="6658" width="12.85546875" style="358" customWidth="1"/>
    <col min="6659" max="6717" width="7.7109375" style="358" customWidth="1"/>
    <col min="6718" max="6729" width="9" style="358" customWidth="1"/>
    <col min="6730" max="6738" width="7.7109375" style="358" customWidth="1"/>
    <col min="6739" max="6912" width="8.85546875" style="358"/>
    <col min="6913" max="6913" width="38.42578125" style="358" customWidth="1"/>
    <col min="6914" max="6914" width="12.85546875" style="358" customWidth="1"/>
    <col min="6915" max="6973" width="7.7109375" style="358" customWidth="1"/>
    <col min="6974" max="6985" width="9" style="358" customWidth="1"/>
    <col min="6986" max="6994" width="7.7109375" style="358" customWidth="1"/>
    <col min="6995" max="7168" width="8.85546875" style="358"/>
    <col min="7169" max="7169" width="38.42578125" style="358" customWidth="1"/>
    <col min="7170" max="7170" width="12.85546875" style="358" customWidth="1"/>
    <col min="7171" max="7229" width="7.7109375" style="358" customWidth="1"/>
    <col min="7230" max="7241" width="9" style="358" customWidth="1"/>
    <col min="7242" max="7250" width="7.7109375" style="358" customWidth="1"/>
    <col min="7251" max="7424" width="8.85546875" style="358"/>
    <col min="7425" max="7425" width="38.42578125" style="358" customWidth="1"/>
    <col min="7426" max="7426" width="12.85546875" style="358" customWidth="1"/>
    <col min="7427" max="7485" width="7.7109375" style="358" customWidth="1"/>
    <col min="7486" max="7497" width="9" style="358" customWidth="1"/>
    <col min="7498" max="7506" width="7.7109375" style="358" customWidth="1"/>
    <col min="7507" max="7680" width="8.85546875" style="358"/>
    <col min="7681" max="7681" width="38.42578125" style="358" customWidth="1"/>
    <col min="7682" max="7682" width="12.85546875" style="358" customWidth="1"/>
    <col min="7683" max="7741" width="7.7109375" style="358" customWidth="1"/>
    <col min="7742" max="7753" width="9" style="358" customWidth="1"/>
    <col min="7754" max="7762" width="7.7109375" style="358" customWidth="1"/>
    <col min="7763" max="7936" width="8.85546875" style="358"/>
    <col min="7937" max="7937" width="38.42578125" style="358" customWidth="1"/>
    <col min="7938" max="7938" width="12.85546875" style="358" customWidth="1"/>
    <col min="7939" max="7997" width="7.7109375" style="358" customWidth="1"/>
    <col min="7998" max="8009" width="9" style="358" customWidth="1"/>
    <col min="8010" max="8018" width="7.7109375" style="358" customWidth="1"/>
    <col min="8019" max="8192" width="8.85546875" style="358"/>
    <col min="8193" max="8193" width="38.42578125" style="358" customWidth="1"/>
    <col min="8194" max="8194" width="12.85546875" style="358" customWidth="1"/>
    <col min="8195" max="8253" width="7.7109375" style="358" customWidth="1"/>
    <col min="8254" max="8265" width="9" style="358" customWidth="1"/>
    <col min="8266" max="8274" width="7.7109375" style="358" customWidth="1"/>
    <col min="8275" max="8448" width="8.85546875" style="358"/>
    <col min="8449" max="8449" width="38.42578125" style="358" customWidth="1"/>
    <col min="8450" max="8450" width="12.85546875" style="358" customWidth="1"/>
    <col min="8451" max="8509" width="7.7109375" style="358" customWidth="1"/>
    <col min="8510" max="8521" width="9" style="358" customWidth="1"/>
    <col min="8522" max="8530" width="7.7109375" style="358" customWidth="1"/>
    <col min="8531" max="8704" width="8.85546875" style="358"/>
    <col min="8705" max="8705" width="38.42578125" style="358" customWidth="1"/>
    <col min="8706" max="8706" width="12.85546875" style="358" customWidth="1"/>
    <col min="8707" max="8765" width="7.7109375" style="358" customWidth="1"/>
    <col min="8766" max="8777" width="9" style="358" customWidth="1"/>
    <col min="8778" max="8786" width="7.7109375" style="358" customWidth="1"/>
    <col min="8787" max="8960" width="8.85546875" style="358"/>
    <col min="8961" max="8961" width="38.42578125" style="358" customWidth="1"/>
    <col min="8962" max="8962" width="12.85546875" style="358" customWidth="1"/>
    <col min="8963" max="9021" width="7.7109375" style="358" customWidth="1"/>
    <col min="9022" max="9033" width="9" style="358" customWidth="1"/>
    <col min="9034" max="9042" width="7.7109375" style="358" customWidth="1"/>
    <col min="9043" max="9216" width="8.85546875" style="358"/>
    <col min="9217" max="9217" width="38.42578125" style="358" customWidth="1"/>
    <col min="9218" max="9218" width="12.85546875" style="358" customWidth="1"/>
    <col min="9219" max="9277" width="7.7109375" style="358" customWidth="1"/>
    <col min="9278" max="9289" width="9" style="358" customWidth="1"/>
    <col min="9290" max="9298" width="7.7109375" style="358" customWidth="1"/>
    <col min="9299" max="9472" width="8.85546875" style="358"/>
    <col min="9473" max="9473" width="38.42578125" style="358" customWidth="1"/>
    <col min="9474" max="9474" width="12.85546875" style="358" customWidth="1"/>
    <col min="9475" max="9533" width="7.7109375" style="358" customWidth="1"/>
    <col min="9534" max="9545" width="9" style="358" customWidth="1"/>
    <col min="9546" max="9554" width="7.7109375" style="358" customWidth="1"/>
    <col min="9555" max="9728" width="8.85546875" style="358"/>
    <col min="9729" max="9729" width="38.42578125" style="358" customWidth="1"/>
    <col min="9730" max="9730" width="12.85546875" style="358" customWidth="1"/>
    <col min="9731" max="9789" width="7.7109375" style="358" customWidth="1"/>
    <col min="9790" max="9801" width="9" style="358" customWidth="1"/>
    <col min="9802" max="9810" width="7.7109375" style="358" customWidth="1"/>
    <col min="9811" max="9984" width="8.85546875" style="358"/>
    <col min="9985" max="9985" width="38.42578125" style="358" customWidth="1"/>
    <col min="9986" max="9986" width="12.85546875" style="358" customWidth="1"/>
    <col min="9987" max="10045" width="7.7109375" style="358" customWidth="1"/>
    <col min="10046" max="10057" width="9" style="358" customWidth="1"/>
    <col min="10058" max="10066" width="7.7109375" style="358" customWidth="1"/>
    <col min="10067" max="10240" width="8.85546875" style="358"/>
    <col min="10241" max="10241" width="38.42578125" style="358" customWidth="1"/>
    <col min="10242" max="10242" width="12.85546875" style="358" customWidth="1"/>
    <col min="10243" max="10301" width="7.7109375" style="358" customWidth="1"/>
    <col min="10302" max="10313" width="9" style="358" customWidth="1"/>
    <col min="10314" max="10322" width="7.7109375" style="358" customWidth="1"/>
    <col min="10323" max="10496" width="8.85546875" style="358"/>
    <col min="10497" max="10497" width="38.42578125" style="358" customWidth="1"/>
    <col min="10498" max="10498" width="12.85546875" style="358" customWidth="1"/>
    <col min="10499" max="10557" width="7.7109375" style="358" customWidth="1"/>
    <col min="10558" max="10569" width="9" style="358" customWidth="1"/>
    <col min="10570" max="10578" width="7.7109375" style="358" customWidth="1"/>
    <col min="10579" max="10752" width="8.85546875" style="358"/>
    <col min="10753" max="10753" width="38.42578125" style="358" customWidth="1"/>
    <col min="10754" max="10754" width="12.85546875" style="358" customWidth="1"/>
    <col min="10755" max="10813" width="7.7109375" style="358" customWidth="1"/>
    <col min="10814" max="10825" width="9" style="358" customWidth="1"/>
    <col min="10826" max="10834" width="7.7109375" style="358" customWidth="1"/>
    <col min="10835" max="11008" width="8.85546875" style="358"/>
    <col min="11009" max="11009" width="38.42578125" style="358" customWidth="1"/>
    <col min="11010" max="11010" width="12.85546875" style="358" customWidth="1"/>
    <col min="11011" max="11069" width="7.7109375" style="358" customWidth="1"/>
    <col min="11070" max="11081" width="9" style="358" customWidth="1"/>
    <col min="11082" max="11090" width="7.7109375" style="358" customWidth="1"/>
    <col min="11091" max="11264" width="8.85546875" style="358"/>
    <col min="11265" max="11265" width="38.42578125" style="358" customWidth="1"/>
    <col min="11266" max="11266" width="12.85546875" style="358" customWidth="1"/>
    <col min="11267" max="11325" width="7.7109375" style="358" customWidth="1"/>
    <col min="11326" max="11337" width="9" style="358" customWidth="1"/>
    <col min="11338" max="11346" width="7.7109375" style="358" customWidth="1"/>
    <col min="11347" max="11520" width="8.85546875" style="358"/>
    <col min="11521" max="11521" width="38.42578125" style="358" customWidth="1"/>
    <col min="11522" max="11522" width="12.85546875" style="358" customWidth="1"/>
    <col min="11523" max="11581" width="7.7109375" style="358" customWidth="1"/>
    <col min="11582" max="11593" width="9" style="358" customWidth="1"/>
    <col min="11594" max="11602" width="7.7109375" style="358" customWidth="1"/>
    <col min="11603" max="11776" width="8.85546875" style="358"/>
    <col min="11777" max="11777" width="38.42578125" style="358" customWidth="1"/>
    <col min="11778" max="11778" width="12.85546875" style="358" customWidth="1"/>
    <col min="11779" max="11837" width="7.7109375" style="358" customWidth="1"/>
    <col min="11838" max="11849" width="9" style="358" customWidth="1"/>
    <col min="11850" max="11858" width="7.7109375" style="358" customWidth="1"/>
    <col min="11859" max="12032" width="8.85546875" style="358"/>
    <col min="12033" max="12033" width="38.42578125" style="358" customWidth="1"/>
    <col min="12034" max="12034" width="12.85546875" style="358" customWidth="1"/>
    <col min="12035" max="12093" width="7.7109375" style="358" customWidth="1"/>
    <col min="12094" max="12105" width="9" style="358" customWidth="1"/>
    <col min="12106" max="12114" width="7.7109375" style="358" customWidth="1"/>
    <col min="12115" max="12288" width="8.85546875" style="358"/>
    <col min="12289" max="12289" width="38.42578125" style="358" customWidth="1"/>
    <col min="12290" max="12290" width="12.85546875" style="358" customWidth="1"/>
    <col min="12291" max="12349" width="7.7109375" style="358" customWidth="1"/>
    <col min="12350" max="12361" width="9" style="358" customWidth="1"/>
    <col min="12362" max="12370" width="7.7109375" style="358" customWidth="1"/>
    <col min="12371" max="12544" width="8.85546875" style="358"/>
    <col min="12545" max="12545" width="38.42578125" style="358" customWidth="1"/>
    <col min="12546" max="12546" width="12.85546875" style="358" customWidth="1"/>
    <col min="12547" max="12605" width="7.7109375" style="358" customWidth="1"/>
    <col min="12606" max="12617" width="9" style="358" customWidth="1"/>
    <col min="12618" max="12626" width="7.7109375" style="358" customWidth="1"/>
    <col min="12627" max="12800" width="8.85546875" style="358"/>
    <col min="12801" max="12801" width="38.42578125" style="358" customWidth="1"/>
    <col min="12802" max="12802" width="12.85546875" style="358" customWidth="1"/>
    <col min="12803" max="12861" width="7.7109375" style="358" customWidth="1"/>
    <col min="12862" max="12873" width="9" style="358" customWidth="1"/>
    <col min="12874" max="12882" width="7.7109375" style="358" customWidth="1"/>
    <col min="12883" max="13056" width="8.85546875" style="358"/>
    <col min="13057" max="13057" width="38.42578125" style="358" customWidth="1"/>
    <col min="13058" max="13058" width="12.85546875" style="358" customWidth="1"/>
    <col min="13059" max="13117" width="7.7109375" style="358" customWidth="1"/>
    <col min="13118" max="13129" width="9" style="358" customWidth="1"/>
    <col min="13130" max="13138" width="7.7109375" style="358" customWidth="1"/>
    <col min="13139" max="13312" width="8.85546875" style="358"/>
    <col min="13313" max="13313" width="38.42578125" style="358" customWidth="1"/>
    <col min="13314" max="13314" width="12.85546875" style="358" customWidth="1"/>
    <col min="13315" max="13373" width="7.7109375" style="358" customWidth="1"/>
    <col min="13374" max="13385" width="9" style="358" customWidth="1"/>
    <col min="13386" max="13394" width="7.7109375" style="358" customWidth="1"/>
    <col min="13395" max="13568" width="8.85546875" style="358"/>
    <col min="13569" max="13569" width="38.42578125" style="358" customWidth="1"/>
    <col min="13570" max="13570" width="12.85546875" style="358" customWidth="1"/>
    <col min="13571" max="13629" width="7.7109375" style="358" customWidth="1"/>
    <col min="13630" max="13641" width="9" style="358" customWidth="1"/>
    <col min="13642" max="13650" width="7.7109375" style="358" customWidth="1"/>
    <col min="13651" max="13824" width="8.85546875" style="358"/>
    <col min="13825" max="13825" width="38.42578125" style="358" customWidth="1"/>
    <col min="13826" max="13826" width="12.85546875" style="358" customWidth="1"/>
    <col min="13827" max="13885" width="7.7109375" style="358" customWidth="1"/>
    <col min="13886" max="13897" width="9" style="358" customWidth="1"/>
    <col min="13898" max="13906" width="7.7109375" style="358" customWidth="1"/>
    <col min="13907" max="14080" width="8.85546875" style="358"/>
    <col min="14081" max="14081" width="38.42578125" style="358" customWidth="1"/>
    <col min="14082" max="14082" width="12.85546875" style="358" customWidth="1"/>
    <col min="14083" max="14141" width="7.7109375" style="358" customWidth="1"/>
    <col min="14142" max="14153" width="9" style="358" customWidth="1"/>
    <col min="14154" max="14162" width="7.7109375" style="358" customWidth="1"/>
    <col min="14163" max="14336" width="8.85546875" style="358"/>
    <col min="14337" max="14337" width="38.42578125" style="358" customWidth="1"/>
    <col min="14338" max="14338" width="12.85546875" style="358" customWidth="1"/>
    <col min="14339" max="14397" width="7.7109375" style="358" customWidth="1"/>
    <col min="14398" max="14409" width="9" style="358" customWidth="1"/>
    <col min="14410" max="14418" width="7.7109375" style="358" customWidth="1"/>
    <col min="14419" max="14592" width="8.85546875" style="358"/>
    <col min="14593" max="14593" width="38.42578125" style="358" customWidth="1"/>
    <col min="14594" max="14594" width="12.85546875" style="358" customWidth="1"/>
    <col min="14595" max="14653" width="7.7109375" style="358" customWidth="1"/>
    <col min="14654" max="14665" width="9" style="358" customWidth="1"/>
    <col min="14666" max="14674" width="7.7109375" style="358" customWidth="1"/>
    <col min="14675" max="14848" width="8.85546875" style="358"/>
    <col min="14849" max="14849" width="38.42578125" style="358" customWidth="1"/>
    <col min="14850" max="14850" width="12.85546875" style="358" customWidth="1"/>
    <col min="14851" max="14909" width="7.7109375" style="358" customWidth="1"/>
    <col min="14910" max="14921" width="9" style="358" customWidth="1"/>
    <col min="14922" max="14930" width="7.7109375" style="358" customWidth="1"/>
    <col min="14931" max="15104" width="8.85546875" style="358"/>
    <col min="15105" max="15105" width="38.42578125" style="358" customWidth="1"/>
    <col min="15106" max="15106" width="12.85546875" style="358" customWidth="1"/>
    <col min="15107" max="15165" width="7.7109375" style="358" customWidth="1"/>
    <col min="15166" max="15177" width="9" style="358" customWidth="1"/>
    <col min="15178" max="15186" width="7.7109375" style="358" customWidth="1"/>
    <col min="15187" max="15360" width="8.85546875" style="358"/>
    <col min="15361" max="15361" width="38.42578125" style="358" customWidth="1"/>
    <col min="15362" max="15362" width="12.85546875" style="358" customWidth="1"/>
    <col min="15363" max="15421" width="7.7109375" style="358" customWidth="1"/>
    <col min="15422" max="15433" width="9" style="358" customWidth="1"/>
    <col min="15434" max="15442" width="7.7109375" style="358" customWidth="1"/>
    <col min="15443" max="15616" width="8.85546875" style="358"/>
    <col min="15617" max="15617" width="38.42578125" style="358" customWidth="1"/>
    <col min="15618" max="15618" width="12.85546875" style="358" customWidth="1"/>
    <col min="15619" max="15677" width="7.7109375" style="358" customWidth="1"/>
    <col min="15678" max="15689" width="9" style="358" customWidth="1"/>
    <col min="15690" max="15698" width="7.7109375" style="358" customWidth="1"/>
    <col min="15699" max="15872" width="8.85546875" style="358"/>
    <col min="15873" max="15873" width="38.42578125" style="358" customWidth="1"/>
    <col min="15874" max="15874" width="12.85546875" style="358" customWidth="1"/>
    <col min="15875" max="15933" width="7.7109375" style="358" customWidth="1"/>
    <col min="15934" max="15945" width="9" style="358" customWidth="1"/>
    <col min="15946" max="15954" width="7.7109375" style="358" customWidth="1"/>
    <col min="15955" max="16128" width="8.85546875" style="358"/>
    <col min="16129" max="16129" width="38.42578125" style="358" customWidth="1"/>
    <col min="16130" max="16130" width="12.85546875" style="358" customWidth="1"/>
    <col min="16131" max="16189" width="7.7109375" style="358" customWidth="1"/>
    <col min="16190" max="16201" width="9" style="358" customWidth="1"/>
    <col min="16202" max="16210" width="7.7109375" style="358" customWidth="1"/>
    <col min="16211" max="16384" width="8.85546875" style="358"/>
  </cols>
  <sheetData>
    <row r="1" spans="1:83" ht="18">
      <c r="A1" s="356" t="s">
        <v>131</v>
      </c>
      <c r="B1" s="357"/>
    </row>
    <row r="2" spans="1:83" ht="15.75">
      <c r="A2" s="359" t="s">
        <v>132</v>
      </c>
      <c r="B2" s="360"/>
    </row>
    <row r="3" spans="1:83" ht="15.75" thickBot="1">
      <c r="A3" s="361" t="s">
        <v>133</v>
      </c>
      <c r="B3" s="362"/>
    </row>
    <row r="6" spans="1:83">
      <c r="BA6" s="364" t="s">
        <v>134</v>
      </c>
      <c r="BB6" s="364" t="s">
        <v>134</v>
      </c>
      <c r="BC6" s="364" t="s">
        <v>134</v>
      </c>
      <c r="BD6" s="364" t="s">
        <v>134</v>
      </c>
      <c r="BE6" s="364" t="s">
        <v>135</v>
      </c>
      <c r="BF6" s="364" t="s">
        <v>135</v>
      </c>
      <c r="BG6" s="364" t="s">
        <v>135</v>
      </c>
      <c r="BH6" s="364" t="s">
        <v>135</v>
      </c>
      <c r="BI6" s="365" t="s">
        <v>136</v>
      </c>
      <c r="BJ6" s="365" t="s">
        <v>136</v>
      </c>
      <c r="BK6" s="365" t="s">
        <v>136</v>
      </c>
      <c r="BL6" s="365" t="s">
        <v>136</v>
      </c>
      <c r="BM6" s="366" t="s">
        <v>137</v>
      </c>
      <c r="BN6" s="366" t="s">
        <v>137</v>
      </c>
      <c r="BO6" s="366" t="s">
        <v>137</v>
      </c>
      <c r="BP6" s="366" t="s">
        <v>137</v>
      </c>
      <c r="BQ6" s="367" t="s">
        <v>138</v>
      </c>
      <c r="BR6" s="367" t="s">
        <v>138</v>
      </c>
      <c r="BS6" s="367" t="s">
        <v>138</v>
      </c>
      <c r="BT6" s="367" t="s">
        <v>138</v>
      </c>
      <c r="BU6" s="368" t="s">
        <v>139</v>
      </c>
      <c r="BV6" s="368" t="s">
        <v>139</v>
      </c>
      <c r="BW6" s="368" t="s">
        <v>139</v>
      </c>
      <c r="BX6" s="368" t="s">
        <v>139</v>
      </c>
      <c r="BY6" s="369" t="s">
        <v>140</v>
      </c>
      <c r="BZ6" s="369" t="s">
        <v>140</v>
      </c>
      <c r="CA6" s="369" t="s">
        <v>140</v>
      </c>
      <c r="CB6" s="369" t="s">
        <v>140</v>
      </c>
    </row>
    <row r="7" spans="1:83" s="363" customFormat="1">
      <c r="B7" s="363" t="s">
        <v>141</v>
      </c>
      <c r="C7" s="370" t="s">
        <v>142</v>
      </c>
      <c r="D7" s="370" t="s">
        <v>143</v>
      </c>
      <c r="E7" s="370" t="s">
        <v>144</v>
      </c>
      <c r="F7" s="370" t="s">
        <v>145</v>
      </c>
      <c r="G7" s="370" t="s">
        <v>146</v>
      </c>
      <c r="H7" s="370" t="s">
        <v>147</v>
      </c>
      <c r="I7" s="370" t="s">
        <v>148</v>
      </c>
      <c r="J7" s="370" t="s">
        <v>149</v>
      </c>
      <c r="K7" s="370" t="s">
        <v>150</v>
      </c>
      <c r="L7" s="370" t="s">
        <v>151</v>
      </c>
      <c r="M7" s="370" t="s">
        <v>152</v>
      </c>
      <c r="N7" s="370" t="s">
        <v>153</v>
      </c>
      <c r="O7" s="370" t="s">
        <v>154</v>
      </c>
      <c r="P7" s="370" t="s">
        <v>155</v>
      </c>
      <c r="Q7" s="370" t="s">
        <v>156</v>
      </c>
      <c r="R7" s="370" t="s">
        <v>157</v>
      </c>
      <c r="S7" s="370" t="s">
        <v>158</v>
      </c>
      <c r="T7" s="370" t="s">
        <v>159</v>
      </c>
      <c r="U7" s="370" t="s">
        <v>160</v>
      </c>
      <c r="V7" s="370" t="s">
        <v>161</v>
      </c>
      <c r="W7" s="370" t="s">
        <v>162</v>
      </c>
      <c r="X7" s="370" t="s">
        <v>163</v>
      </c>
      <c r="Y7" s="370" t="s">
        <v>164</v>
      </c>
      <c r="Z7" s="370" t="s">
        <v>165</v>
      </c>
      <c r="AA7" s="370" t="s">
        <v>166</v>
      </c>
      <c r="AB7" s="370" t="s">
        <v>167</v>
      </c>
      <c r="AC7" s="370" t="s">
        <v>168</v>
      </c>
      <c r="AD7" s="370" t="s">
        <v>169</v>
      </c>
      <c r="AE7" s="370" t="s">
        <v>170</v>
      </c>
      <c r="AF7" s="370" t="s">
        <v>171</v>
      </c>
      <c r="AG7" s="370" t="s">
        <v>172</v>
      </c>
      <c r="AH7" s="370" t="s">
        <v>173</v>
      </c>
      <c r="AI7" s="370" t="s">
        <v>174</v>
      </c>
      <c r="AJ7" s="370" t="s">
        <v>175</v>
      </c>
      <c r="AK7" s="370" t="s">
        <v>176</v>
      </c>
      <c r="AL7" s="370" t="s">
        <v>177</v>
      </c>
      <c r="AM7" s="370" t="s">
        <v>178</v>
      </c>
      <c r="AN7" s="370" t="s">
        <v>179</v>
      </c>
      <c r="AO7" s="370" t="s">
        <v>180</v>
      </c>
      <c r="AP7" s="370" t="s">
        <v>181</v>
      </c>
      <c r="AQ7" s="370" t="s">
        <v>182</v>
      </c>
      <c r="AR7" s="370" t="s">
        <v>183</v>
      </c>
      <c r="AS7" s="370" t="s">
        <v>184</v>
      </c>
      <c r="AT7" s="370" t="s">
        <v>185</v>
      </c>
      <c r="AU7" s="363" t="s">
        <v>186</v>
      </c>
      <c r="AV7" s="363" t="s">
        <v>187</v>
      </c>
      <c r="AW7" s="363" t="s">
        <v>188</v>
      </c>
      <c r="AX7" s="363" t="s">
        <v>189</v>
      </c>
      <c r="AY7" s="363" t="s">
        <v>190</v>
      </c>
      <c r="AZ7" s="363" t="s">
        <v>191</v>
      </c>
      <c r="BA7" s="363" t="s">
        <v>192</v>
      </c>
      <c r="BB7" s="363" t="s">
        <v>193</v>
      </c>
      <c r="BC7" s="363" t="s">
        <v>194</v>
      </c>
      <c r="BD7" s="363" t="s">
        <v>195</v>
      </c>
      <c r="BE7" s="363" t="s">
        <v>196</v>
      </c>
      <c r="BF7" s="363" t="s">
        <v>197</v>
      </c>
      <c r="BG7" s="363" t="s">
        <v>198</v>
      </c>
      <c r="BH7" s="363" t="s">
        <v>199</v>
      </c>
      <c r="BI7" s="363" t="s">
        <v>200</v>
      </c>
      <c r="BJ7" s="363" t="s">
        <v>201</v>
      </c>
      <c r="BK7" s="363" t="s">
        <v>202</v>
      </c>
      <c r="BL7" s="363" t="s">
        <v>203</v>
      </c>
      <c r="BM7" s="363" t="s">
        <v>204</v>
      </c>
      <c r="BN7" s="363" t="s">
        <v>205</v>
      </c>
      <c r="BO7" s="363" t="s">
        <v>206</v>
      </c>
      <c r="BP7" s="363" t="s">
        <v>207</v>
      </c>
      <c r="BQ7" s="363" t="s">
        <v>208</v>
      </c>
      <c r="BR7" s="363" t="s">
        <v>209</v>
      </c>
      <c r="BS7" s="363" t="s">
        <v>210</v>
      </c>
      <c r="BT7" s="363" t="s">
        <v>211</v>
      </c>
      <c r="BU7" s="363" t="s">
        <v>212</v>
      </c>
      <c r="BV7" s="363" t="s">
        <v>213</v>
      </c>
      <c r="BW7" s="363" t="s">
        <v>214</v>
      </c>
      <c r="BX7" s="363" t="s">
        <v>215</v>
      </c>
      <c r="BY7" s="363" t="s">
        <v>216</v>
      </c>
      <c r="BZ7" s="363" t="s">
        <v>217</v>
      </c>
      <c r="CA7" s="363" t="s">
        <v>218</v>
      </c>
      <c r="CB7" s="363" t="s">
        <v>219</v>
      </c>
      <c r="CC7" s="363" t="s">
        <v>220</v>
      </c>
      <c r="CD7" s="363" t="s">
        <v>221</v>
      </c>
      <c r="CE7" s="363" t="s">
        <v>222</v>
      </c>
    </row>
    <row r="8" spans="1:83">
      <c r="A8" s="363" t="s">
        <v>223</v>
      </c>
      <c r="B8" s="363" t="s">
        <v>224</v>
      </c>
      <c r="C8" s="371">
        <v>2.0350000000000001</v>
      </c>
      <c r="D8" s="371">
        <v>2.06</v>
      </c>
      <c r="E8" s="371">
        <v>2.0649999999999999</v>
      </c>
      <c r="F8" s="371">
        <v>2.0870000000000002</v>
      </c>
      <c r="G8" s="371">
        <v>2.1040000000000001</v>
      </c>
      <c r="H8" s="371">
        <v>2.1150000000000002</v>
      </c>
      <c r="I8" s="371">
        <v>2.1509999999999998</v>
      </c>
      <c r="J8" s="371">
        <v>2.17</v>
      </c>
      <c r="K8" s="371">
        <v>2.1869999999999998</v>
      </c>
      <c r="L8" s="371">
        <v>2.2120000000000002</v>
      </c>
      <c r="M8" s="371">
        <v>2.2349999999999999</v>
      </c>
      <c r="N8" s="371">
        <v>2.2210000000000001</v>
      </c>
      <c r="O8" s="371">
        <v>2.2320000000000002</v>
      </c>
      <c r="P8" s="371">
        <v>2.258</v>
      </c>
      <c r="Q8" s="371">
        <v>2.2759999999999998</v>
      </c>
      <c r="R8" s="371">
        <v>2.302</v>
      </c>
      <c r="S8" s="371">
        <v>2.3199999999999998</v>
      </c>
      <c r="T8" s="371">
        <v>2.3639999999999999</v>
      </c>
      <c r="U8" s="371">
        <v>2.4049999999999998</v>
      </c>
      <c r="V8" s="371">
        <v>2.351</v>
      </c>
      <c r="W8" s="371">
        <v>2.34</v>
      </c>
      <c r="X8" s="371">
        <v>2.347</v>
      </c>
      <c r="Y8" s="371">
        <v>2.367</v>
      </c>
      <c r="Z8" s="371">
        <v>2.3809999999999998</v>
      </c>
      <c r="AA8" s="371">
        <v>2.379</v>
      </c>
      <c r="AB8" s="371">
        <v>2.383</v>
      </c>
      <c r="AC8" s="371">
        <v>2.3980000000000001</v>
      </c>
      <c r="AD8" s="371">
        <v>2.4220000000000002</v>
      </c>
      <c r="AE8" s="371">
        <v>2.4319999999999999</v>
      </c>
      <c r="AF8" s="371">
        <v>2.4769999999999999</v>
      </c>
      <c r="AG8" s="371">
        <v>2.4889999999999999</v>
      </c>
      <c r="AH8" s="371">
        <v>2.4969999999999999</v>
      </c>
      <c r="AI8" s="371">
        <v>2.5129999999999999</v>
      </c>
      <c r="AJ8" s="371">
        <v>2.5190000000000001</v>
      </c>
      <c r="AK8" s="371">
        <v>2.5299999999999998</v>
      </c>
      <c r="AL8" s="371">
        <v>2.5499999999999998</v>
      </c>
      <c r="AM8" s="371">
        <v>2.5569999999999999</v>
      </c>
      <c r="AN8" s="371">
        <v>2.5550000000000002</v>
      </c>
      <c r="AO8" s="371">
        <v>2.5739999999999998</v>
      </c>
      <c r="AP8" s="371">
        <v>2.589</v>
      </c>
      <c r="AQ8" s="371">
        <v>2.597</v>
      </c>
      <c r="AR8" s="371">
        <v>2.6080000000000001</v>
      </c>
      <c r="AS8" s="371">
        <v>2.6139999999999999</v>
      </c>
      <c r="AT8" s="371">
        <v>2.617</v>
      </c>
      <c r="AU8" s="358">
        <v>2.6120000000000001</v>
      </c>
      <c r="AV8" s="358">
        <v>2.6230000000000002</v>
      </c>
      <c r="AW8" s="358">
        <v>2.6190000000000002</v>
      </c>
      <c r="AX8" s="358">
        <v>2.6269999999999998</v>
      </c>
      <c r="AY8" s="358">
        <v>2.621</v>
      </c>
      <c r="AZ8" s="358">
        <v>2.6419999999999999</v>
      </c>
      <c r="BA8" s="358">
        <v>2.6629999999999998</v>
      </c>
      <c r="BB8" s="358">
        <v>2.6779999999999999</v>
      </c>
      <c r="BC8" s="358">
        <v>2.694</v>
      </c>
      <c r="BD8" s="358">
        <v>2.6960000000000002</v>
      </c>
      <c r="BE8" s="358">
        <v>2.7080000000000002</v>
      </c>
      <c r="BF8" s="358">
        <v>2.72</v>
      </c>
      <c r="BG8" s="358">
        <v>2.7589999999999999</v>
      </c>
      <c r="BH8" s="358">
        <v>2.7719999999999998</v>
      </c>
      <c r="BI8" s="358">
        <v>2.7810000000000001</v>
      </c>
      <c r="BJ8" s="358">
        <v>2.7879999999999998</v>
      </c>
      <c r="BK8" s="358">
        <v>2.794</v>
      </c>
      <c r="BL8" s="358">
        <v>2.8210000000000002</v>
      </c>
      <c r="BM8" s="358">
        <v>2.843</v>
      </c>
      <c r="BN8" s="358">
        <v>2.8580000000000001</v>
      </c>
      <c r="BO8" s="358">
        <v>2.87</v>
      </c>
      <c r="BP8" s="358">
        <v>2.879</v>
      </c>
      <c r="BQ8" s="358">
        <v>2.8940000000000001</v>
      </c>
      <c r="BR8" s="358">
        <v>2.9039999999999999</v>
      </c>
      <c r="BS8" s="358">
        <v>2.927</v>
      </c>
      <c r="BT8" s="358">
        <v>2.9470000000000001</v>
      </c>
      <c r="BU8" s="358">
        <v>2.9670000000000001</v>
      </c>
      <c r="BV8" s="358">
        <v>2.9849999999999999</v>
      </c>
      <c r="BW8" s="358">
        <v>3.004</v>
      </c>
      <c r="BX8" s="358">
        <v>3.0209999999999999</v>
      </c>
      <c r="BY8" s="358">
        <v>3.0390000000000001</v>
      </c>
      <c r="BZ8" s="358">
        <v>3.0590000000000002</v>
      </c>
      <c r="CA8" s="358">
        <v>3.0779999999999998</v>
      </c>
      <c r="CB8" s="358">
        <v>3.0939999999999999</v>
      </c>
      <c r="CC8" s="358">
        <v>3.1139999999999999</v>
      </c>
      <c r="CD8" s="358">
        <v>3.1339999999999999</v>
      </c>
    </row>
    <row r="9" spans="1:83">
      <c r="A9" s="363" t="s">
        <v>225</v>
      </c>
      <c r="B9" s="363" t="s">
        <v>226</v>
      </c>
      <c r="C9" s="371">
        <v>2.0350000000000001</v>
      </c>
      <c r="D9" s="371">
        <v>2.06</v>
      </c>
      <c r="E9" s="371">
        <v>2.0649999999999999</v>
      </c>
      <c r="F9" s="371">
        <v>2.0870000000000002</v>
      </c>
      <c r="G9" s="371">
        <v>2.1040000000000001</v>
      </c>
      <c r="H9" s="371">
        <v>2.1150000000000002</v>
      </c>
      <c r="I9" s="371">
        <v>2.1509999999999998</v>
      </c>
      <c r="J9" s="371">
        <v>2.17</v>
      </c>
      <c r="K9" s="371">
        <v>2.1869999999999998</v>
      </c>
      <c r="L9" s="371">
        <v>2.2120000000000002</v>
      </c>
      <c r="M9" s="371">
        <v>2.2349999999999999</v>
      </c>
      <c r="N9" s="371">
        <v>2.2210000000000001</v>
      </c>
      <c r="O9" s="371">
        <v>2.2320000000000002</v>
      </c>
      <c r="P9" s="371">
        <v>2.258</v>
      </c>
      <c r="Q9" s="371">
        <v>2.2759999999999998</v>
      </c>
      <c r="R9" s="371">
        <v>2.302</v>
      </c>
      <c r="S9" s="371">
        <v>2.3199999999999998</v>
      </c>
      <c r="T9" s="371">
        <v>2.3639999999999999</v>
      </c>
      <c r="U9" s="371">
        <v>2.4049999999999998</v>
      </c>
      <c r="V9" s="371">
        <v>2.351</v>
      </c>
      <c r="W9" s="371">
        <v>2.34</v>
      </c>
      <c r="X9" s="371">
        <v>2.347</v>
      </c>
      <c r="Y9" s="371">
        <v>2.367</v>
      </c>
      <c r="Z9" s="371">
        <v>2.3809999999999998</v>
      </c>
      <c r="AA9" s="371">
        <v>2.379</v>
      </c>
      <c r="AB9" s="371">
        <v>2.383</v>
      </c>
      <c r="AC9" s="371">
        <v>2.3980000000000001</v>
      </c>
      <c r="AD9" s="371">
        <v>2.4220000000000002</v>
      </c>
      <c r="AE9" s="371">
        <v>2.4319999999999999</v>
      </c>
      <c r="AF9" s="371">
        <v>2.4769999999999999</v>
      </c>
      <c r="AG9" s="371">
        <v>2.4889999999999999</v>
      </c>
      <c r="AH9" s="371">
        <v>2.4969999999999999</v>
      </c>
      <c r="AI9" s="371">
        <v>2.5129999999999999</v>
      </c>
      <c r="AJ9" s="371">
        <v>2.5190000000000001</v>
      </c>
      <c r="AK9" s="371">
        <v>2.5299999999999998</v>
      </c>
      <c r="AL9" s="371">
        <v>2.5499999999999998</v>
      </c>
      <c r="AM9" s="371">
        <v>2.5569999999999999</v>
      </c>
      <c r="AN9" s="371">
        <v>2.5550000000000002</v>
      </c>
      <c r="AO9" s="371">
        <v>2.5739999999999998</v>
      </c>
      <c r="AP9" s="371">
        <v>2.589</v>
      </c>
      <c r="AQ9" s="371">
        <v>2.597</v>
      </c>
      <c r="AR9" s="371">
        <v>2.6080000000000001</v>
      </c>
      <c r="AS9" s="371">
        <v>2.6139999999999999</v>
      </c>
      <c r="AT9" s="371">
        <v>2.617</v>
      </c>
      <c r="AU9" s="358">
        <v>2.6120000000000001</v>
      </c>
      <c r="AV9" s="358">
        <v>2.6230000000000002</v>
      </c>
      <c r="AW9" s="358">
        <v>2.6190000000000002</v>
      </c>
      <c r="AX9" s="358">
        <v>2.6269999999999998</v>
      </c>
      <c r="AY9" s="358">
        <v>2.621</v>
      </c>
      <c r="AZ9" s="358">
        <v>2.6419999999999999</v>
      </c>
      <c r="BA9" s="358">
        <v>2.6629999999999998</v>
      </c>
      <c r="BB9" s="358">
        <v>2.6779999999999999</v>
      </c>
      <c r="BC9" s="358">
        <v>2.694</v>
      </c>
      <c r="BD9" s="358">
        <v>2.6960000000000002</v>
      </c>
      <c r="BE9" s="358">
        <v>2.7080000000000002</v>
      </c>
      <c r="BF9" s="358">
        <v>2.72</v>
      </c>
      <c r="BG9" s="358">
        <v>2.7589999999999999</v>
      </c>
      <c r="BH9" s="358">
        <v>2.7719999999999998</v>
      </c>
      <c r="BI9" s="358">
        <v>2.7810000000000001</v>
      </c>
      <c r="BJ9" s="358">
        <v>2.7879999999999998</v>
      </c>
      <c r="BK9" s="358">
        <v>2.794</v>
      </c>
      <c r="BL9" s="358">
        <v>2.8180000000000001</v>
      </c>
      <c r="BM9" s="358">
        <v>2.8359999999999999</v>
      </c>
      <c r="BN9" s="358">
        <v>2.8490000000000002</v>
      </c>
      <c r="BO9" s="358">
        <v>2.86</v>
      </c>
      <c r="BP9" s="358">
        <v>2.8660000000000001</v>
      </c>
      <c r="BQ9" s="358">
        <v>2.8780000000000001</v>
      </c>
      <c r="BR9" s="358">
        <v>2.8860000000000001</v>
      </c>
      <c r="BS9" s="358">
        <v>2.9049999999999998</v>
      </c>
      <c r="BT9" s="358">
        <v>2.9220000000000002</v>
      </c>
      <c r="BU9" s="358">
        <v>2.9369999999999998</v>
      </c>
      <c r="BV9" s="358">
        <v>2.9510000000000001</v>
      </c>
      <c r="BW9" s="358">
        <v>2.964</v>
      </c>
      <c r="BX9" s="358">
        <v>2.976</v>
      </c>
      <c r="BY9" s="358">
        <v>2.99</v>
      </c>
      <c r="BZ9" s="358">
        <v>3.0030000000000001</v>
      </c>
      <c r="CA9" s="358">
        <v>3.0179999999999998</v>
      </c>
      <c r="CB9" s="358">
        <v>3.0289999999999999</v>
      </c>
      <c r="CC9" s="358">
        <v>3.0449999999999999</v>
      </c>
      <c r="CD9" s="358">
        <v>3.0609999999999999</v>
      </c>
    </row>
    <row r="10" spans="1:83">
      <c r="A10" s="363" t="s">
        <v>227</v>
      </c>
      <c r="B10" s="363" t="s">
        <v>228</v>
      </c>
      <c r="C10" s="371">
        <v>2.0350000000000001</v>
      </c>
      <c r="D10" s="371">
        <v>2.06</v>
      </c>
      <c r="E10" s="371">
        <v>2.0649999999999999</v>
      </c>
      <c r="F10" s="371">
        <v>2.0870000000000002</v>
      </c>
      <c r="G10" s="371">
        <v>2.1040000000000001</v>
      </c>
      <c r="H10" s="371">
        <v>2.1150000000000002</v>
      </c>
      <c r="I10" s="371">
        <v>2.1509999999999998</v>
      </c>
      <c r="J10" s="371">
        <v>2.17</v>
      </c>
      <c r="K10" s="371">
        <v>2.1869999999999998</v>
      </c>
      <c r="L10" s="371">
        <v>2.2120000000000002</v>
      </c>
      <c r="M10" s="371">
        <v>2.2349999999999999</v>
      </c>
      <c r="N10" s="371">
        <v>2.2210000000000001</v>
      </c>
      <c r="O10" s="371">
        <v>2.2320000000000002</v>
      </c>
      <c r="P10" s="371">
        <v>2.258</v>
      </c>
      <c r="Q10" s="371">
        <v>2.2759999999999998</v>
      </c>
      <c r="R10" s="371">
        <v>2.302</v>
      </c>
      <c r="S10" s="371">
        <v>2.3199999999999998</v>
      </c>
      <c r="T10" s="371">
        <v>2.3639999999999999</v>
      </c>
      <c r="U10" s="371">
        <v>2.4049999999999998</v>
      </c>
      <c r="V10" s="371">
        <v>2.351</v>
      </c>
      <c r="W10" s="371">
        <v>2.34</v>
      </c>
      <c r="X10" s="371">
        <v>2.347</v>
      </c>
      <c r="Y10" s="371">
        <v>2.367</v>
      </c>
      <c r="Z10" s="371">
        <v>2.3809999999999998</v>
      </c>
      <c r="AA10" s="371">
        <v>2.379</v>
      </c>
      <c r="AB10" s="371">
        <v>2.383</v>
      </c>
      <c r="AC10" s="371">
        <v>2.3980000000000001</v>
      </c>
      <c r="AD10" s="371">
        <v>2.4220000000000002</v>
      </c>
      <c r="AE10" s="371">
        <v>2.4319999999999999</v>
      </c>
      <c r="AF10" s="371">
        <v>2.4769999999999999</v>
      </c>
      <c r="AG10" s="371">
        <v>2.4889999999999999</v>
      </c>
      <c r="AH10" s="371">
        <v>2.4969999999999999</v>
      </c>
      <c r="AI10" s="371">
        <v>2.5129999999999999</v>
      </c>
      <c r="AJ10" s="371">
        <v>2.5190000000000001</v>
      </c>
      <c r="AK10" s="371">
        <v>2.5299999999999998</v>
      </c>
      <c r="AL10" s="371">
        <v>2.5499999999999998</v>
      </c>
      <c r="AM10" s="371">
        <v>2.5569999999999999</v>
      </c>
      <c r="AN10" s="371">
        <v>2.5550000000000002</v>
      </c>
      <c r="AO10" s="371">
        <v>2.5739999999999998</v>
      </c>
      <c r="AP10" s="371">
        <v>2.589</v>
      </c>
      <c r="AQ10" s="371">
        <v>2.597</v>
      </c>
      <c r="AR10" s="371">
        <v>2.6080000000000001</v>
      </c>
      <c r="AS10" s="371">
        <v>2.6139999999999999</v>
      </c>
      <c r="AT10" s="371">
        <v>2.617</v>
      </c>
      <c r="AU10" s="358">
        <v>2.6120000000000001</v>
      </c>
      <c r="AV10" s="358">
        <v>2.6230000000000002</v>
      </c>
      <c r="AW10" s="358">
        <v>2.6190000000000002</v>
      </c>
      <c r="AX10" s="358">
        <v>2.6269999999999998</v>
      </c>
      <c r="AY10" s="358">
        <v>2.621</v>
      </c>
      <c r="AZ10" s="358">
        <v>2.6419999999999999</v>
      </c>
      <c r="BA10" s="358">
        <v>2.6629999999999998</v>
      </c>
      <c r="BB10" s="358">
        <v>2.6779999999999999</v>
      </c>
      <c r="BC10" s="358">
        <v>2.694</v>
      </c>
      <c r="BD10" s="358">
        <v>2.6960000000000002</v>
      </c>
      <c r="BE10" s="358">
        <v>2.7080000000000002</v>
      </c>
      <c r="BF10" s="358">
        <v>2.72</v>
      </c>
      <c r="BG10" s="358">
        <v>2.7589999999999999</v>
      </c>
      <c r="BH10" s="358">
        <v>2.7719999999999998</v>
      </c>
      <c r="BI10" s="358">
        <v>2.7810000000000001</v>
      </c>
      <c r="BJ10" s="358">
        <v>2.7879999999999998</v>
      </c>
      <c r="BK10" s="358">
        <v>2.794</v>
      </c>
      <c r="BL10" s="358">
        <v>2.8239999999999998</v>
      </c>
      <c r="BM10" s="358">
        <v>2.8479999999999999</v>
      </c>
      <c r="BN10" s="358">
        <v>2.867</v>
      </c>
      <c r="BO10" s="358">
        <v>2.8839999999999999</v>
      </c>
      <c r="BP10" s="358">
        <v>2.8959999999999999</v>
      </c>
      <c r="BQ10" s="358">
        <v>2.9169999999999998</v>
      </c>
      <c r="BR10" s="358">
        <v>2.9319999999999999</v>
      </c>
      <c r="BS10" s="358">
        <v>2.96</v>
      </c>
      <c r="BT10" s="358">
        <v>2.9870000000000001</v>
      </c>
      <c r="BU10" s="358">
        <v>3.0129999999999999</v>
      </c>
      <c r="BV10" s="358">
        <v>3.0369999999999999</v>
      </c>
      <c r="BW10" s="358">
        <v>3.0619999999999998</v>
      </c>
      <c r="BX10" s="358">
        <v>3.0859999999999999</v>
      </c>
      <c r="BY10" s="358">
        <v>3.1120000000000001</v>
      </c>
      <c r="BZ10" s="358">
        <v>3.1389999999999998</v>
      </c>
      <c r="CA10" s="358">
        <v>3.1669999999999998</v>
      </c>
      <c r="CB10" s="358">
        <v>3.19</v>
      </c>
      <c r="CC10" s="358">
        <v>3.218</v>
      </c>
      <c r="CD10" s="358">
        <v>3.246</v>
      </c>
    </row>
    <row r="12" spans="1:83"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</row>
    <row r="13" spans="1:83"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</row>
    <row r="14" spans="1:83"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</row>
    <row r="15" spans="1:83"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BJ15" s="373" t="s">
        <v>229</v>
      </c>
      <c r="BK15" s="374"/>
      <c r="BL15" s="374"/>
      <c r="BM15" s="375" t="s">
        <v>230</v>
      </c>
      <c r="BN15" s="376"/>
      <c r="BO15" s="376"/>
      <c r="BP15" s="376"/>
      <c r="BQ15" s="376"/>
      <c r="BR15" s="376"/>
      <c r="BS15" s="374"/>
      <c r="BT15" s="374"/>
      <c r="BU15" s="374"/>
    </row>
    <row r="16" spans="1:83"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BJ16" s="377"/>
      <c r="BK16" s="378"/>
      <c r="BL16" s="378"/>
      <c r="BM16" s="378"/>
      <c r="BN16" s="378"/>
      <c r="BO16" s="378"/>
      <c r="BP16" s="378"/>
      <c r="BQ16" s="378"/>
      <c r="BR16" s="378"/>
      <c r="BS16" s="378"/>
      <c r="BT16" s="378"/>
      <c r="BU16" s="379"/>
    </row>
    <row r="17" spans="3:73"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BJ17" s="381"/>
      <c r="BK17" s="382" t="s">
        <v>231</v>
      </c>
      <c r="BL17" s="383" t="s">
        <v>232</v>
      </c>
      <c r="BM17" s="383"/>
      <c r="BN17" s="383"/>
      <c r="BO17" s="383"/>
      <c r="BP17" s="383"/>
      <c r="BQ17" s="383"/>
      <c r="BR17" s="383"/>
      <c r="BS17" s="383"/>
      <c r="BT17" s="383"/>
      <c r="BU17" s="384"/>
    </row>
    <row r="18" spans="3:73">
      <c r="BJ18" s="381"/>
      <c r="BK18" s="383"/>
      <c r="BL18" s="370" t="s">
        <v>205</v>
      </c>
      <c r="BM18" s="383"/>
      <c r="BN18" s="383"/>
      <c r="BO18" s="383"/>
      <c r="BP18" s="383"/>
      <c r="BQ18" s="383"/>
      <c r="BR18" s="383"/>
      <c r="BS18" s="383"/>
      <c r="BT18" s="383"/>
      <c r="BU18" s="385" t="s">
        <v>233</v>
      </c>
    </row>
    <row r="19" spans="3:73">
      <c r="BJ19" s="381"/>
      <c r="BK19" s="383"/>
      <c r="BL19" s="371">
        <f>BN9</f>
        <v>2.8490000000000002</v>
      </c>
      <c r="BM19" s="383"/>
      <c r="BN19" s="383"/>
      <c r="BO19" s="383"/>
      <c r="BP19" s="383"/>
      <c r="BQ19" s="383"/>
      <c r="BR19" s="383"/>
      <c r="BS19" s="383"/>
      <c r="BT19" s="383"/>
      <c r="BU19" s="386">
        <f>BL19</f>
        <v>2.8490000000000002</v>
      </c>
    </row>
    <row r="20" spans="3:73">
      <c r="BJ20" s="381"/>
      <c r="BK20" s="383"/>
      <c r="BL20" s="383"/>
      <c r="BM20" s="383"/>
      <c r="BN20" s="383"/>
      <c r="BO20" s="383"/>
      <c r="BP20" s="383"/>
      <c r="BQ20" s="383"/>
      <c r="BR20" s="383"/>
      <c r="BS20" s="383"/>
      <c r="BT20" s="383"/>
      <c r="BU20" s="387"/>
    </row>
    <row r="21" spans="3:73">
      <c r="BJ21" s="580" t="s">
        <v>234</v>
      </c>
      <c r="BK21" s="581"/>
      <c r="BL21" s="581"/>
      <c r="BM21" s="383"/>
      <c r="BN21" s="383"/>
      <c r="BO21" s="383"/>
      <c r="BP21" s="383"/>
      <c r="BQ21" s="383"/>
      <c r="BR21" s="383"/>
      <c r="BS21" s="383"/>
      <c r="BT21" s="383"/>
      <c r="BU21" s="387"/>
    </row>
    <row r="22" spans="3:73">
      <c r="BJ22" s="381"/>
      <c r="BK22" s="383"/>
      <c r="BL22" s="363" t="str">
        <f>BO7</f>
        <v>2020Q1</v>
      </c>
      <c r="BM22" s="363" t="str">
        <f t="shared" ref="BM22:BS22" si="0">BP7</f>
        <v>2020Q2</v>
      </c>
      <c r="BN22" s="363" t="str">
        <f t="shared" si="0"/>
        <v>2020Q3</v>
      </c>
      <c r="BO22" s="363" t="str">
        <f t="shared" si="0"/>
        <v>2020Q4</v>
      </c>
      <c r="BP22" s="363" t="str">
        <f t="shared" si="0"/>
        <v>2021Q1</v>
      </c>
      <c r="BQ22" s="363" t="str">
        <f t="shared" si="0"/>
        <v>2021Q2</v>
      </c>
      <c r="BR22" s="363" t="str">
        <f t="shared" si="0"/>
        <v>2021Q3</v>
      </c>
      <c r="BS22" s="363" t="str">
        <f t="shared" si="0"/>
        <v>2021Q4</v>
      </c>
      <c r="BT22" s="383"/>
      <c r="BU22" s="387"/>
    </row>
    <row r="23" spans="3:73">
      <c r="BJ23" s="381"/>
      <c r="BK23" s="383"/>
      <c r="BL23" s="371">
        <f>BO9</f>
        <v>2.86</v>
      </c>
      <c r="BM23" s="371">
        <f t="shared" ref="BM23:BS23" si="1">BP9</f>
        <v>2.8660000000000001</v>
      </c>
      <c r="BN23" s="371">
        <f t="shared" si="1"/>
        <v>2.8780000000000001</v>
      </c>
      <c r="BO23" s="371">
        <f t="shared" si="1"/>
        <v>2.8860000000000001</v>
      </c>
      <c r="BP23" s="371">
        <f t="shared" si="1"/>
        <v>2.9049999999999998</v>
      </c>
      <c r="BQ23" s="371">
        <f t="shared" si="1"/>
        <v>2.9220000000000002</v>
      </c>
      <c r="BR23" s="371">
        <f t="shared" si="1"/>
        <v>2.9369999999999998</v>
      </c>
      <c r="BS23" s="371">
        <f t="shared" si="1"/>
        <v>2.9510000000000001</v>
      </c>
      <c r="BT23" s="383"/>
      <c r="BU23" s="386">
        <f>AVERAGE(BL23:BS23)</f>
        <v>2.9006249999999998</v>
      </c>
    </row>
    <row r="24" spans="3:73">
      <c r="BJ24" s="381"/>
      <c r="BK24" s="383"/>
      <c r="BL24" s="383"/>
      <c r="BM24" s="383"/>
      <c r="BN24" s="383"/>
      <c r="BO24" s="383"/>
      <c r="BP24" s="383"/>
      <c r="BQ24" s="383"/>
      <c r="BR24" s="383"/>
      <c r="BS24" s="383"/>
      <c r="BT24" s="383"/>
      <c r="BU24" s="387"/>
    </row>
    <row r="25" spans="3:73">
      <c r="BJ25" s="381"/>
      <c r="BK25" s="383"/>
      <c r="BL25" s="383"/>
      <c r="BM25" s="383"/>
      <c r="BN25" s="383"/>
      <c r="BO25" s="383"/>
      <c r="BP25" s="383"/>
      <c r="BQ25" s="383"/>
      <c r="BR25" s="383"/>
      <c r="BS25" s="383"/>
      <c r="BT25" s="388" t="s">
        <v>235</v>
      </c>
      <c r="BU25" s="389">
        <f>(BU23-BU19)/BU19</f>
        <v>1.8120393120392975E-2</v>
      </c>
    </row>
    <row r="26" spans="3:73">
      <c r="BJ26" s="390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2"/>
    </row>
  </sheetData>
  <mergeCells count="1">
    <mergeCell ref="BJ21:BL21"/>
  </mergeCells>
  <pageMargins left="0.25" right="0.2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2020 Outreach and Engagement</vt:lpstr>
      <vt:lpstr>2020 Safe Haven 7-9, 10-12 beds</vt:lpstr>
      <vt:lpstr>2020 Housing First - HOP </vt:lpstr>
      <vt:lpstr>2020 Housing First - ATARP </vt:lpstr>
      <vt:lpstr>2020 Program Staffing Sup</vt:lpstr>
      <vt:lpstr>Spring 2019 CAF</vt:lpstr>
      <vt:lpstr>'2020 Housing First - ATARP '!Print_Area</vt:lpstr>
      <vt:lpstr>'2020 Housing First - HOP '!Print_Area</vt:lpstr>
      <vt:lpstr>'2020 Outreach and Engagement'!Print_Area</vt:lpstr>
      <vt:lpstr>'2020 Program Staffing Sup'!Print_Area</vt:lpstr>
      <vt:lpstr>'2020 Safe Haven 7-9, 10-12 beds'!Print_Area</vt:lpstr>
      <vt:lpstr>'Spring 2019 CAF'!Print_Area</vt:lpstr>
      <vt:lpstr>'Spring 2019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2019-09-04T14:19:58Z</cp:lastPrinted>
  <dcterms:created xsi:type="dcterms:W3CDTF">2019-08-05T11:24:22Z</dcterms:created>
  <dcterms:modified xsi:type="dcterms:W3CDTF">2019-09-05T14:57:02Z</dcterms:modified>
</cp:coreProperties>
</file>