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70"/>
  </bookViews>
  <sheets>
    <sheet name="2020 Proposed Models " sheetId="2" r:id="rId1"/>
    <sheet name="Spring 2019 CAF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verage">#REF!</definedName>
    <definedName name="CAF_NEW">[1]RawDataCalcs!$L$70:$DB$70</definedName>
    <definedName name="Cap">'[2]RawDataCalcs3386&amp;3401'!$L$66:$DB$66</definedName>
    <definedName name="Data">#REF!</definedName>
    <definedName name="Floor">'[2]RawDataCalcs3386&amp;3401'!$L$65:$DB$65</definedName>
    <definedName name="Funds">'[3]RawDataCalcs3386&amp;3401'!$L$68:$DB$68</definedName>
    <definedName name="gk">#REF!</definedName>
    <definedName name="JailDAverage">#REF!</definedName>
    <definedName name="JailDCap">[4]ALLRawDataCalcs!$L$80:$DB$80</definedName>
    <definedName name="JailDFloor">[4]ALLRawDataCalcs!$L$79:$DB$79</definedName>
    <definedName name="JailDgk">#REF!</definedName>
    <definedName name="JailDMax">#REF!</definedName>
    <definedName name="JailDMedian">#REF!</definedName>
    <definedName name="Max">#REF!</definedName>
    <definedName name="Median">#REF!</definedName>
    <definedName name="Min">#REF!</definedName>
    <definedName name="new">#REF!</definedName>
    <definedName name="_xlnm.Print_Area" localSheetId="0">'2020 Proposed Models '!$A$1:$S$79</definedName>
    <definedName name="_xlnm.Print_Area" localSheetId="1">'Spring 2019 CAF'!$BI$6:$BX$28</definedName>
    <definedName name="_xlnm.Print_Titles" localSheetId="1">'Spring 2019 CAF'!$A:$A</definedName>
    <definedName name="Program_File">#REF!</definedName>
    <definedName name="ProvFTE">'[5]FTE Data'!$A$3:$AW$56</definedName>
    <definedName name="PurchasedBy">'[5]FTE Data'!$C$263:$AZ$657</definedName>
    <definedName name="resmay2007">#REF!</definedName>
    <definedName name="Site_list">[5]Lists!$A$2:$A$53</definedName>
    <definedName name="Source">#REF!</definedName>
    <definedName name="Source_2">#REF!</definedName>
    <definedName name="SourcePathAndFileName">#REF!</definedName>
    <definedName name="Total_UFR">#REF!</definedName>
  </definedNames>
  <calcPr calcId="145621"/>
</workbook>
</file>

<file path=xl/calcChain.xml><?xml version="1.0" encoding="utf-8"?>
<calcChain xmlns="http://schemas.openxmlformats.org/spreadsheetml/2006/main">
  <c r="J72" i="2" l="1"/>
  <c r="H72" i="2"/>
  <c r="D72" i="2"/>
  <c r="B72" i="2"/>
  <c r="J71" i="2"/>
  <c r="D71" i="2"/>
  <c r="K69" i="2"/>
  <c r="E69" i="2"/>
  <c r="L68" i="2"/>
  <c r="K68" i="2"/>
  <c r="E68" i="2"/>
  <c r="J64" i="2"/>
  <c r="J61" i="2"/>
  <c r="H61" i="2"/>
  <c r="D61" i="2"/>
  <c r="C61" i="2"/>
  <c r="B61" i="2"/>
  <c r="J60" i="2"/>
  <c r="H60" i="2"/>
  <c r="D60" i="2"/>
  <c r="C60" i="2"/>
  <c r="B60" i="2"/>
  <c r="L57" i="2"/>
  <c r="L69" i="2" s="1"/>
  <c r="J57" i="2"/>
  <c r="C57" i="2"/>
  <c r="F69" i="2" s="1"/>
  <c r="P46" i="2"/>
  <c r="J75" i="2" s="1"/>
  <c r="J46" i="2"/>
  <c r="D46" i="2"/>
  <c r="J43" i="2"/>
  <c r="H43" i="2"/>
  <c r="D43" i="2"/>
  <c r="B43" i="2"/>
  <c r="J42" i="2"/>
  <c r="D42" i="2"/>
  <c r="K40" i="2"/>
  <c r="E40" i="2"/>
  <c r="K39" i="2"/>
  <c r="E39" i="2"/>
  <c r="J35" i="2"/>
  <c r="D35" i="2"/>
  <c r="J32" i="2"/>
  <c r="I32" i="2"/>
  <c r="H32" i="2"/>
  <c r="D32" i="2"/>
  <c r="C32" i="2"/>
  <c r="E32" i="2" s="1"/>
  <c r="F32" i="2" s="1"/>
  <c r="B32" i="2"/>
  <c r="J31" i="2"/>
  <c r="I31" i="2"/>
  <c r="H31" i="2"/>
  <c r="D31" i="2"/>
  <c r="C31" i="2"/>
  <c r="B31" i="2"/>
  <c r="L28" i="2"/>
  <c r="L40" i="2" s="1"/>
  <c r="I28" i="2"/>
  <c r="F28" i="2"/>
  <c r="F40" i="2" s="1"/>
  <c r="C28" i="2"/>
  <c r="F16" i="2"/>
  <c r="F15" i="2"/>
  <c r="R9" i="2"/>
  <c r="K61" i="2" s="1"/>
  <c r="L61" i="2" s="1"/>
  <c r="P9" i="2"/>
  <c r="I61" i="2" s="1"/>
  <c r="S8" i="2"/>
  <c r="R8" i="2"/>
  <c r="K60" i="2" s="1"/>
  <c r="P8" i="2"/>
  <c r="I60" i="2" s="1"/>
  <c r="K8" i="2"/>
  <c r="K32" i="2" s="1"/>
  <c r="L32" i="2" s="1"/>
  <c r="E8" i="2"/>
  <c r="F8" i="2" s="1"/>
  <c r="K7" i="2"/>
  <c r="E31" i="2" s="1"/>
  <c r="E7" i="2"/>
  <c r="E60" i="2" s="1"/>
  <c r="R5" i="2"/>
  <c r="S5" i="2" s="1"/>
  <c r="Q5" i="2"/>
  <c r="L4" i="2"/>
  <c r="L16" i="2" s="1"/>
  <c r="F4" i="2"/>
  <c r="BS23" i="1"/>
  <c r="BR23" i="1"/>
  <c r="BQ23" i="1"/>
  <c r="BP23" i="1"/>
  <c r="BO23" i="1"/>
  <c r="BN23" i="1"/>
  <c r="BM23" i="1"/>
  <c r="BL23" i="1"/>
  <c r="BU23" i="1" s="1"/>
  <c r="BU25" i="1" s="1"/>
  <c r="BS22" i="1"/>
  <c r="BR22" i="1"/>
  <c r="BQ22" i="1"/>
  <c r="BP22" i="1"/>
  <c r="BO22" i="1"/>
  <c r="BN22" i="1"/>
  <c r="BM22" i="1"/>
  <c r="BL22" i="1"/>
  <c r="BU19" i="1"/>
  <c r="BL19" i="1"/>
  <c r="F60" i="2" l="1"/>
  <c r="S16" i="2"/>
  <c r="S17" i="2"/>
  <c r="E33" i="2"/>
  <c r="F31" i="2"/>
  <c r="F33" i="2" s="1"/>
  <c r="K62" i="2"/>
  <c r="L60" i="2"/>
  <c r="L62" i="2" s="1"/>
  <c r="R10" i="2"/>
  <c r="F7" i="2"/>
  <c r="F9" i="2" s="1"/>
  <c r="L7" i="2"/>
  <c r="L9" i="2" s="1"/>
  <c r="L8" i="2"/>
  <c r="E9" i="2"/>
  <c r="K9" i="2"/>
  <c r="S9" i="2"/>
  <c r="S10" i="2" s="1"/>
  <c r="L15" i="2"/>
  <c r="K31" i="2"/>
  <c r="F57" i="2"/>
  <c r="E61" i="2"/>
  <c r="F61" i="2" s="1"/>
  <c r="D75" i="2"/>
  <c r="F39" i="2"/>
  <c r="L39" i="2"/>
  <c r="F68" i="2"/>
  <c r="S12" i="2" l="1"/>
  <c r="S14" i="2" s="1"/>
  <c r="S18" i="2" s="1"/>
  <c r="L31" i="2"/>
  <c r="L33" i="2" s="1"/>
  <c r="K33" i="2"/>
  <c r="L11" i="2"/>
  <c r="L13" i="2" s="1"/>
  <c r="L17" i="2" s="1"/>
  <c r="F11" i="2"/>
  <c r="F13" i="2" s="1"/>
  <c r="F17" i="2" s="1"/>
  <c r="L72" i="2"/>
  <c r="L64" i="2"/>
  <c r="L66" i="2" s="1"/>
  <c r="L70" i="2" s="1"/>
  <c r="F35" i="2"/>
  <c r="F37" i="2"/>
  <c r="F41" i="2" s="1"/>
  <c r="F43" i="2"/>
  <c r="F62" i="2"/>
  <c r="E62" i="2"/>
  <c r="L73" i="2" l="1"/>
  <c r="L75" i="2" s="1"/>
  <c r="L77" i="2" s="1"/>
  <c r="L78" i="2" s="1"/>
  <c r="L71" i="2"/>
  <c r="F19" i="2"/>
  <c r="F20" i="2" s="1"/>
  <c r="F21" i="2" s="1"/>
  <c r="F18" i="2"/>
  <c r="S19" i="2"/>
  <c r="S20" i="2" s="1"/>
  <c r="S21" i="2" s="1"/>
  <c r="S22" i="2" s="1"/>
  <c r="L18" i="2"/>
  <c r="L19" i="2" s="1"/>
  <c r="L20" i="2" s="1"/>
  <c r="L21" i="2" s="1"/>
  <c r="F64" i="2"/>
  <c r="F72" i="2"/>
  <c r="F66" i="2"/>
  <c r="F70" i="2" s="1"/>
  <c r="F42" i="2"/>
  <c r="F44" i="2"/>
  <c r="F46" i="2" s="1"/>
  <c r="F48" i="2" s="1"/>
  <c r="F49" i="2" s="1"/>
  <c r="L43" i="2"/>
  <c r="L37" i="2"/>
  <c r="L41" i="2" s="1"/>
  <c r="L35" i="2"/>
  <c r="L44" i="2" l="1"/>
  <c r="L46" i="2" s="1"/>
  <c r="L48" i="2" s="1"/>
  <c r="L49" i="2" s="1"/>
  <c r="L42" i="2"/>
  <c r="F71" i="2"/>
  <c r="F73" i="2" s="1"/>
  <c r="F75" i="2" s="1"/>
  <c r="F77" i="2" s="1"/>
  <c r="F78" i="2" s="1"/>
</calcChain>
</file>

<file path=xl/sharedStrings.xml><?xml version="1.0" encoding="utf-8"?>
<sst xmlns="http://schemas.openxmlformats.org/spreadsheetml/2006/main" count="294" uniqueCount="160">
  <si>
    <t>Massachusetts Economic Indicators</t>
  </si>
  <si>
    <t>IHS Markit, Spring 2019 Forecast</t>
  </si>
  <si>
    <t>Prepared by Michael Lynch, 781-301-9129</t>
  </si>
  <si>
    <t>FY17</t>
  </si>
  <si>
    <t>FY18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</si>
  <si>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</si>
  <si>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</si>
  <si>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</si>
  <si>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</si>
  <si>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</si>
  <si>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</si>
  <si>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</si>
  <si>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</si>
  <si>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</si>
  <si>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</si>
  <si>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</si>
  <si>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</si>
  <si>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</si>
  <si>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</si>
  <si>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</si>
  <si>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</si>
  <si>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</si>
  <si>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</si>
  <si>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</si>
  <si>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</si>
  <si>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</si>
  <si>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</si>
  <si>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</si>
  <si>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</si>
  <si>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</si>
  <si>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</si>
  <si>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</si>
  <si>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</si>
  <si>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</si>
  <si>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</si>
  <si>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</si>
  <si>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</si>
  <si>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</si>
  <si>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</si>
  <si>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</si>
  <si>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</si>
  <si>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</si>
  <si>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</si>
  <si>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</si>
  <si>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</si>
  <si>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</si>
  <si>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</si>
  <si>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</si>
  <si>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</si>
  <si>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</si>
  <si>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</si>
  <si>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</si>
  <si>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</si>
  <si>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</si>
  <si>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</si>
  <si>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</si>
  <si>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</si>
  <si>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</si>
  <si>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</si>
  <si>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</si>
  <si>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</si>
  <si>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</si>
  <si>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</si>
  <si>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</si>
  <si>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</si>
  <si>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</si>
  <si>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</si>
  <si>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</si>
  <si>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</si>
  <si>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</si>
  <si>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</si>
  <si>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</si>
  <si>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</si>
  <si>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</si>
  <si>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</si>
  <si>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</si>
  <si>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</si>
  <si>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</si>
  <si>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</si>
  <si>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</si>
  <si>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</si>
  <si>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</si>
  <si>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</si>
  <si>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</si>
  <si>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</si>
  <si>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</si>
  <si>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</si>
  <si>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</si>
  <si>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</si>
  <si>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</si>
  <si>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</si>
  <si>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</si>
  <si>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</si>
  <si>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</si>
  <si>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</si>
  <si>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</si>
  <si>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</si>
  <si>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</si>
  <si>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</si>
  <si>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1/1/20-12/31/21</t>
  </si>
  <si>
    <t xml:space="preserve">Base period: </t>
  </si>
  <si>
    <t>FY20Q2</t>
  </si>
  <si>
    <t>Average</t>
  </si>
  <si>
    <t xml:space="preserve">Prospective rate period: </t>
  </si>
  <si>
    <t>CAF:</t>
  </si>
  <si>
    <t>Clubhouse Rate Review - Effective January 2020</t>
  </si>
  <si>
    <t>Proposed models for January 2020</t>
  </si>
  <si>
    <t>61+ AVERAGE DAILY ATTENDANCE</t>
  </si>
  <si>
    <t>60 &amp; UNDER  AVERAGE DAILY ATTENDANCE</t>
  </si>
  <si>
    <t>SAMPLE Avg Daily Attendance:</t>
  </si>
  <si>
    <t>Days:</t>
  </si>
  <si>
    <t>Martha's Vineyard Model</t>
  </si>
  <si>
    <t>Clients : FTE</t>
  </si>
  <si>
    <t>Salary</t>
  </si>
  <si>
    <t>FTE</t>
  </si>
  <si>
    <t>Expense</t>
  </si>
  <si>
    <t>Direct Mgmt Staffing</t>
  </si>
  <si>
    <t>Clients: FTE</t>
  </si>
  <si>
    <t>Non-Management Staffing</t>
  </si>
  <si>
    <t>Sub-total Direct Care Staff</t>
  </si>
  <si>
    <t>Factor</t>
  </si>
  <si>
    <t>Taxes &amp; Fringe</t>
  </si>
  <si>
    <t>*</t>
  </si>
  <si>
    <t>Total Staffing Costs</t>
  </si>
  <si>
    <t>Unit Cost</t>
  </si>
  <si>
    <t>Occupancy</t>
  </si>
  <si>
    <t xml:space="preserve">Other Program Exp. </t>
  </si>
  <si>
    <t>Total Reimbursable Exp. Excl. Admin.</t>
  </si>
  <si>
    <t>Admin. Alloc. (M &amp; G)</t>
  </si>
  <si>
    <t>Total</t>
  </si>
  <si>
    <t>Proposed Rate</t>
  </si>
  <si>
    <t>CAF Rate</t>
  </si>
  <si>
    <t>Rate with CAF</t>
  </si>
  <si>
    <t>UNDER 30 AVERAGE DAILY ATTENDANCE (not incl. MV)</t>
  </si>
  <si>
    <t>30 to 70 AVERAGE DAILY ATTENDANCE</t>
  </si>
  <si>
    <t>Clubhouse - Master Data Look-up Table  (3034)</t>
  </si>
  <si>
    <t>Benchmark Salaries</t>
  </si>
  <si>
    <t>Source</t>
  </si>
  <si>
    <t>Management</t>
  </si>
  <si>
    <t>Salary with compounded CAFs applied</t>
  </si>
  <si>
    <t>Direct Service Worker</t>
  </si>
  <si>
    <t>Benchmark FTEs</t>
  </si>
  <si>
    <t>TOTAL FTES</t>
  </si>
  <si>
    <t>Benchmark Expenses</t>
  </si>
  <si>
    <t>Tax &amp; Fringe</t>
  </si>
  <si>
    <t>Tax &amp; Fringe- Martha's Vineyard</t>
  </si>
  <si>
    <t>Occupancy (per unit)</t>
  </si>
  <si>
    <t>Original Expense with compounded CAFs applied</t>
  </si>
  <si>
    <t>Other Expense (per unit)</t>
  </si>
  <si>
    <t>MV Occupancy (per unit)</t>
  </si>
  <si>
    <t>MV Other Expense (per unit)</t>
  </si>
  <si>
    <t>Administrative Allocation</t>
  </si>
  <si>
    <t>Administrative Allocation ((MV)</t>
  </si>
  <si>
    <t xml:space="preserve">Total </t>
  </si>
  <si>
    <t>PFMLA Trust Contribution</t>
  </si>
  <si>
    <t>Per the Grand Bargain Agreement</t>
  </si>
  <si>
    <t>CAF 1/1/20-12/31/21</t>
  </si>
  <si>
    <t>Base period 2019Q4 - Prospective period 1/1/20 - 12/31/21</t>
  </si>
  <si>
    <t>TOTAL</t>
  </si>
  <si>
    <t>71+ AVERAGE DAILY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</si>
</sst>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  <numFmt numFmtId="167" formatCode="\$#,##0"/>
    <numFmt numFmtId="168" formatCode="_(* #,##0.0_);_(* \(#,##0.0\);_(* &quot;-&quot;??_);_(@_)"/>
    <numFmt numFmtId="169" formatCode="&quot;$&quot;#,##0"/>
    <numFmt numFmtId="170" formatCode="&quot;$&quot;#,##0.00"/>
    <numFmt numFmtId="171" formatCode="_(&quot;$&quot;* #,##0.00_);_(&quot;$&quot;* \(#,##0.00\);_(&quot;$&quot;* &quot;-&quot;_);_(@_)"/>
    <numFmt numFmtId="172" formatCode="0.00_);[Red]\(0.00\)"/>
    <numFmt numFmtId="173" formatCode="\$#,##0.00"/>
    <numFmt numFmtId="174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Tahoma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</font>
    <font>
      <sz val="12"/>
      <name val="Arial"/>
      <family val="2"/>
    </font>
    <font>
      <u/>
      <sz val="12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942EF"/>
      <name val="Calibri"/>
      <family val="2"/>
      <scheme val="minor"/>
    </font>
    <font>
      <sz val="12"/>
      <color rgb="FF3942E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double">
        <color indexed="64"/>
      </bottom>
      <diagonal/>
    </border>
    <border>
      <left/>
      <right/>
      <top style="thin">
        <color theme="0" tint="-0.14999847407452621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1">
    <xf numFmtId="0" fontId="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7" borderId="0" applyNumberFormat="0" applyBorder="0" applyAlignment="0" applyProtection="0"/>
    <xf numFmtId="0" fontId="13" fillId="11" borderId="0" applyNumberFormat="0" applyBorder="0" applyAlignment="0" applyProtection="0"/>
    <xf numFmtId="0" fontId="14" fillId="28" borderId="15" applyNumberFormat="0" applyAlignment="0" applyProtection="0"/>
    <xf numFmtId="0" fontId="15" fillId="29" borderId="16" applyNumberFormat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5" borderId="15" applyNumberFormat="0" applyAlignment="0" applyProtection="0"/>
    <xf numFmtId="0" fontId="27" fillId="0" borderId="20" applyNumberFormat="0" applyFill="0" applyAlignment="0" applyProtection="0"/>
    <xf numFmtId="0" fontId="28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30" fillId="0" borderId="0"/>
    <xf numFmtId="0" fontId="30" fillId="0" borderId="0" applyAlignment="0"/>
    <xf numFmtId="0" fontId="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" fillId="0" borderId="0"/>
    <xf numFmtId="0" fontId="1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33" fillId="28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44" fontId="16" fillId="0" borderId="0" applyFont="0" applyFill="0" applyBorder="0" applyAlignment="0" applyProtection="0"/>
  </cellStyleXfs>
  <cellXfs count="380">
    <xf numFmtId="0" fontId="0" fillId="0" borderId="0" xfId="0"/>
    <xf numFmtId="0" fontId="3" fillId="3" borderId="2" xfId="1" applyFont="1" applyFill="1" applyBorder="1"/>
    <xf numFmtId="0" fontId="4" fillId="3" borderId="3" xfId="1" applyFont="1" applyFill="1" applyBorder="1"/>
    <xf numFmtId="0" fontId="2" fillId="0" borderId="0" xfId="1"/>
    <xf numFmtId="0" fontId="4" fillId="3" borderId="0" xfId="1" applyFont="1" applyFill="1" applyBorder="1"/>
    <xf numFmtId="0" fontId="5" fillId="3" borderId="4" xfId="1" applyFont="1" applyFill="1" applyBorder="1"/>
    <xf numFmtId="0" fontId="6" fillId="3" borderId="5" xfId="1" applyFont="1" applyFill="1" applyBorder="1"/>
    <xf numFmtId="0" fontId="5" fillId="3" borderId="6" xfId="1" applyFont="1" applyFill="1" applyBorder="1"/>
    <xf numFmtId="0" fontId="5" fillId="0" borderId="0" xfId="1" applyFont="1"/>
    <xf numFmtId="0" fontId="7" fillId="0" borderId="0" xfId="2" applyFont="1" applyFill="1"/>
    <xf numFmtId="0" fontId="7" fillId="4" borderId="0" xfId="2" applyFont="1" applyFill="1"/>
    <xf numFmtId="0" fontId="7" fillId="5" borderId="0" xfId="2" applyFont="1" applyFill="1"/>
    <xf numFmtId="0" fontId="7" fillId="6" borderId="0" xfId="2" applyFont="1" applyFill="1"/>
    <xf numFmtId="0" fontId="7" fillId="7" borderId="0" xfId="2" applyFont="1" applyFill="1"/>
    <xf numFmtId="0" fontId="7" fillId="8" borderId="0" xfId="2" applyFont="1" applyFill="1"/>
    <xf numFmtId="14" fontId="5" fillId="0" borderId="0" xfId="1" applyNumberFormat="1" applyFont="1"/>
    <xf numFmtId="164" fontId="2" fillId="0" borderId="0" xfId="1" applyNumberFormat="1"/>
    <xf numFmtId="2" fontId="2" fillId="0" borderId="0" xfId="1" applyNumberFormat="1"/>
    <xf numFmtId="0" fontId="5" fillId="0" borderId="0" xfId="3" applyFont="1"/>
    <xf numFmtId="0" fontId="2" fillId="0" borderId="0" xfId="3"/>
    <xf numFmtId="0" fontId="8" fillId="0" borderId="0" xfId="3" applyFont="1"/>
    <xf numFmtId="0" fontId="9" fillId="0" borderId="0" xfId="3" applyFont="1"/>
    <xf numFmtId="0" fontId="2" fillId="0" borderId="7" xfId="3" applyBorder="1"/>
    <xf numFmtId="0" fontId="2" fillId="0" borderId="8" xfId="3" applyBorder="1"/>
    <xf numFmtId="0" fontId="2" fillId="0" borderId="9" xfId="3" applyBorder="1"/>
    <xf numFmtId="165" fontId="2" fillId="0" borderId="0" xfId="1" applyNumberFormat="1"/>
    <xf numFmtId="0" fontId="2" fillId="0" borderId="10" xfId="3" applyBorder="1"/>
    <xf numFmtId="0" fontId="2" fillId="0" borderId="0" xfId="3" applyBorder="1" applyAlignment="1">
      <alignment horizontal="right"/>
    </xf>
    <xf numFmtId="0" fontId="2" fillId="0" borderId="0" xfId="3" applyBorder="1"/>
    <xf numFmtId="0" fontId="2" fillId="0" borderId="11" xfId="3" applyBorder="1"/>
    <xf numFmtId="0" fontId="10" fillId="0" borderId="11" xfId="3" applyFont="1" applyBorder="1" applyAlignment="1">
      <alignment horizontal="center"/>
    </xf>
    <xf numFmtId="164" fontId="2" fillId="0" borderId="11" xfId="3" applyNumberFormat="1" applyBorder="1" applyAlignment="1">
      <alignment horizontal="center"/>
    </xf>
    <xf numFmtId="0" fontId="2" fillId="0" borderId="11" xfId="3" applyBorder="1" applyAlignment="1">
      <alignment horizontal="center"/>
    </xf>
    <xf numFmtId="0" fontId="5" fillId="9" borderId="0" xfId="3" applyFont="1" applyFill="1" applyBorder="1" applyAlignment="1">
      <alignment horizontal="right"/>
    </xf>
    <xf numFmtId="10" fontId="5" fillId="9" borderId="11" xfId="4" applyNumberFormat="1" applyFont="1" applyFill="1" applyBorder="1" applyAlignment="1">
      <alignment horizontal="center"/>
    </xf>
    <xf numFmtId="0" fontId="2" fillId="0" borderId="12" xfId="3" applyBorder="1"/>
    <xf numFmtId="0" fontId="2" fillId="0" borderId="13" xfId="3" applyBorder="1"/>
    <xf numFmtId="0" fontId="2" fillId="0" borderId="14" xfId="3" applyBorder="1"/>
    <xf numFmtId="0" fontId="4" fillId="0" borderId="0" xfId="169" applyFont="1" applyFill="1"/>
    <xf numFmtId="0" fontId="38" fillId="0" borderId="0" xfId="169" applyFont="1" applyFill="1"/>
    <xf numFmtId="42" fontId="38" fillId="0" borderId="0" xfId="169" applyNumberFormat="1" applyFont="1" applyFill="1"/>
    <xf numFmtId="0" fontId="38" fillId="0" borderId="0" xfId="169" applyFont="1"/>
    <xf numFmtId="0" fontId="39" fillId="0" borderId="0" xfId="169" applyFont="1" applyFill="1" applyAlignment="1">
      <alignment vertical="center"/>
    </xf>
    <xf numFmtId="0" fontId="2" fillId="0" borderId="0" xfId="169" applyFont="1" applyFill="1"/>
    <xf numFmtId="42" fontId="2" fillId="0" borderId="0" xfId="169" applyNumberFormat="1" applyFont="1" applyFill="1"/>
    <xf numFmtId="0" fontId="2" fillId="0" borderId="0" xfId="169" applyFont="1"/>
    <xf numFmtId="0" fontId="41" fillId="0" borderId="0" xfId="169" applyFont="1" applyFill="1"/>
    <xf numFmtId="0" fontId="5" fillId="0" borderId="0" xfId="106" applyFont="1" applyFill="1" applyBorder="1" applyAlignment="1">
      <alignment horizontal="center"/>
    </xf>
    <xf numFmtId="0" fontId="41" fillId="0" borderId="0" xfId="169" applyFont="1"/>
    <xf numFmtId="0" fontId="41" fillId="0" borderId="26" xfId="169" applyFont="1" applyFill="1" applyBorder="1" applyAlignment="1">
      <alignment horizontal="right"/>
    </xf>
    <xf numFmtId="0" fontId="41" fillId="0" borderId="0" xfId="169" applyFont="1" applyFill="1" applyBorder="1"/>
    <xf numFmtId="0" fontId="41" fillId="0" borderId="0" xfId="169" applyFont="1" applyFill="1" applyBorder="1" applyAlignment="1">
      <alignment horizontal="right"/>
    </xf>
    <xf numFmtId="166" fontId="41" fillId="0" borderId="0" xfId="32" applyNumberFormat="1" applyFont="1" applyFill="1" applyBorder="1"/>
    <xf numFmtId="166" fontId="41" fillId="0" borderId="3" xfId="32" applyNumberFormat="1" applyFont="1" applyFill="1" applyBorder="1"/>
    <xf numFmtId="43" fontId="2" fillId="0" borderId="0" xfId="35" applyNumberFormat="1" applyFont="1" applyFill="1" applyBorder="1"/>
    <xf numFmtId="167" fontId="41" fillId="0" borderId="26" xfId="169" applyNumberFormat="1" applyFont="1" applyFill="1" applyBorder="1"/>
    <xf numFmtId="167" fontId="41" fillId="0" borderId="0" xfId="169" applyNumberFormat="1" applyFont="1" applyFill="1" applyBorder="1"/>
    <xf numFmtId="42" fontId="40" fillId="0" borderId="4" xfId="169" applyNumberFormat="1" applyFont="1" applyFill="1" applyBorder="1" applyAlignment="1"/>
    <xf numFmtId="42" fontId="42" fillId="0" borderId="0" xfId="106" applyNumberFormat="1" applyFont="1" applyFill="1" applyBorder="1" applyAlignment="1"/>
    <xf numFmtId="167" fontId="41" fillId="0" borderId="0" xfId="106" applyNumberFormat="1" applyFont="1" applyFill="1" applyBorder="1"/>
    <xf numFmtId="0" fontId="41" fillId="0" borderId="26" xfId="169" applyFont="1" applyBorder="1" applyAlignment="1">
      <alignment horizontal="right"/>
    </xf>
    <xf numFmtId="0" fontId="41" fillId="0" borderId="0" xfId="106" applyFont="1" applyFill="1" applyBorder="1"/>
    <xf numFmtId="0" fontId="41" fillId="0" borderId="0" xfId="106" applyFont="1" applyFill="1" applyBorder="1" applyAlignment="1">
      <alignment horizontal="right"/>
    </xf>
    <xf numFmtId="166" fontId="41" fillId="0" borderId="0" xfId="35" applyNumberFormat="1" applyFont="1" applyFill="1" applyBorder="1"/>
    <xf numFmtId="43" fontId="41" fillId="0" borderId="3" xfId="35" applyNumberFormat="1" applyFont="1" applyFill="1" applyBorder="1"/>
    <xf numFmtId="0" fontId="41" fillId="0" borderId="26" xfId="169" applyFont="1" applyFill="1" applyBorder="1"/>
    <xf numFmtId="0" fontId="40" fillId="0" borderId="0" xfId="169" applyFont="1" applyFill="1" applyBorder="1" applyAlignment="1">
      <alignment horizontal="center"/>
    </xf>
    <xf numFmtId="167" fontId="40" fillId="0" borderId="0" xfId="169" applyNumberFormat="1" applyFont="1" applyFill="1" applyBorder="1" applyAlignment="1">
      <alignment horizontal="center"/>
    </xf>
    <xf numFmtId="42" fontId="40" fillId="0" borderId="4" xfId="169" applyNumberFormat="1" applyFont="1" applyFill="1" applyBorder="1" applyAlignment="1">
      <alignment horizontal="center"/>
    </xf>
    <xf numFmtId="42" fontId="5" fillId="0" borderId="0" xfId="106" applyNumberFormat="1" applyFont="1" applyFill="1" applyBorder="1" applyAlignment="1">
      <alignment horizontal="center"/>
    </xf>
    <xf numFmtId="167" fontId="41" fillId="0" borderId="26" xfId="106" applyNumberFormat="1" applyFont="1" applyBorder="1"/>
    <xf numFmtId="167" fontId="41" fillId="0" borderId="0" xfId="106" applyNumberFormat="1" applyFont="1" applyBorder="1"/>
    <xf numFmtId="42" fontId="40" fillId="0" borderId="4" xfId="106" applyNumberFormat="1" applyFont="1" applyBorder="1" applyAlignment="1"/>
    <xf numFmtId="168" fontId="41" fillId="0" borderId="0" xfId="32" applyNumberFormat="1" applyFont="1" applyFill="1" applyBorder="1" applyAlignment="1">
      <alignment horizontal="right"/>
    </xf>
    <xf numFmtId="165" fontId="41" fillId="0" borderId="0" xfId="169" applyNumberFormat="1" applyFont="1" applyFill="1" applyBorder="1" applyAlignment="1">
      <alignment horizontal="right"/>
    </xf>
    <xf numFmtId="42" fontId="41" fillId="0" borderId="4" xfId="170" applyNumberFormat="1" applyFont="1" applyFill="1" applyBorder="1"/>
    <xf numFmtId="42" fontId="2" fillId="0" borderId="0" xfId="52" applyNumberFormat="1" applyFont="1" applyFill="1" applyBorder="1"/>
    <xf numFmtId="0" fontId="41" fillId="0" borderId="26" xfId="106" applyFont="1" applyBorder="1"/>
    <xf numFmtId="0" fontId="40" fillId="0" borderId="0" xfId="106" applyFont="1" applyFill="1" applyBorder="1" applyAlignment="1">
      <alignment horizontal="center"/>
    </xf>
    <xf numFmtId="167" fontId="40" fillId="0" borderId="0" xfId="106" applyNumberFormat="1" applyFont="1" applyBorder="1" applyAlignment="1">
      <alignment horizontal="center"/>
    </xf>
    <xf numFmtId="42" fontId="40" fillId="0" borderId="4" xfId="106" applyNumberFormat="1" applyFont="1" applyBorder="1" applyAlignment="1">
      <alignment horizontal="center"/>
    </xf>
    <xf numFmtId="165" fontId="41" fillId="0" borderId="26" xfId="169" applyNumberFormat="1" applyFont="1" applyFill="1" applyBorder="1"/>
    <xf numFmtId="42" fontId="41" fillId="0" borderId="4" xfId="170" applyNumberFormat="1" applyFont="1" applyFill="1" applyBorder="1" applyAlignment="1">
      <alignment horizontal="center"/>
    </xf>
    <xf numFmtId="168" fontId="41" fillId="0" borderId="0" xfId="32" applyNumberFormat="1" applyFont="1" applyFill="1" applyAlignment="1">
      <alignment horizontal="right"/>
    </xf>
    <xf numFmtId="42" fontId="2" fillId="0" borderId="0" xfId="52" applyNumberFormat="1" applyFont="1" applyFill="1" applyBorder="1" applyAlignment="1">
      <alignment horizontal="center"/>
    </xf>
    <xf numFmtId="165" fontId="41" fillId="0" borderId="0" xfId="106" applyNumberFormat="1" applyFont="1" applyFill="1" applyBorder="1"/>
    <xf numFmtId="169" fontId="41" fillId="0" borderId="0" xfId="106" applyNumberFormat="1" applyFont="1" applyFill="1" applyAlignment="1">
      <alignment horizontal="center"/>
    </xf>
    <xf numFmtId="165" fontId="41" fillId="0" borderId="0" xfId="106" applyNumberFormat="1" applyFont="1" applyFill="1" applyBorder="1" applyAlignment="1">
      <alignment horizontal="right"/>
    </xf>
    <xf numFmtId="42" fontId="41" fillId="0" borderId="4" xfId="52" applyNumberFormat="1" applyFont="1" applyFill="1" applyBorder="1"/>
    <xf numFmtId="0" fontId="40" fillId="0" borderId="27" xfId="169" applyFont="1" applyFill="1" applyBorder="1" applyAlignment="1"/>
    <xf numFmtId="167" fontId="40" fillId="0" borderId="28" xfId="169" applyNumberFormat="1" applyFont="1" applyFill="1" applyBorder="1"/>
    <xf numFmtId="168" fontId="40" fillId="0" borderId="28" xfId="32" applyNumberFormat="1" applyFont="1" applyFill="1" applyBorder="1"/>
    <xf numFmtId="42" fontId="40" fillId="0" borderId="29" xfId="170" applyNumberFormat="1" applyFont="1" applyFill="1" applyBorder="1" applyAlignment="1">
      <alignment horizontal="center"/>
    </xf>
    <xf numFmtId="42" fontId="5" fillId="0" borderId="0" xfId="52" applyNumberFormat="1" applyFont="1" applyFill="1" applyBorder="1" applyAlignment="1">
      <alignment horizontal="center"/>
    </xf>
    <xf numFmtId="167" fontId="40" fillId="0" borderId="0" xfId="106" applyNumberFormat="1" applyFont="1" applyFill="1" applyBorder="1" applyAlignment="1"/>
    <xf numFmtId="169" fontId="41" fillId="0" borderId="0" xfId="106" applyNumberFormat="1" applyFont="1" applyFill="1" applyBorder="1" applyAlignment="1">
      <alignment horizontal="center"/>
    </xf>
    <xf numFmtId="42" fontId="41" fillId="0" borderId="4" xfId="52" applyNumberFormat="1" applyFont="1" applyFill="1" applyBorder="1" applyAlignment="1">
      <alignment horizontal="center"/>
    </xf>
    <xf numFmtId="0" fontId="40" fillId="0" borderId="26" xfId="169" applyFont="1" applyFill="1" applyBorder="1"/>
    <xf numFmtId="0" fontId="40" fillId="0" borderId="0" xfId="169" applyFont="1" applyFill="1" applyBorder="1"/>
    <xf numFmtId="42" fontId="41" fillId="0" borderId="4" xfId="169" applyNumberFormat="1" applyFont="1" applyFill="1" applyBorder="1"/>
    <xf numFmtId="42" fontId="2" fillId="0" borderId="0" xfId="106" applyNumberFormat="1" applyFont="1" applyFill="1" applyBorder="1"/>
    <xf numFmtId="0" fontId="40" fillId="0" borderId="0" xfId="106" applyFont="1" applyFill="1" applyBorder="1"/>
    <xf numFmtId="167" fontId="40" fillId="0" borderId="27" xfId="106" applyNumberFormat="1" applyFont="1" applyBorder="1" applyAlignment="1"/>
    <xf numFmtId="167" fontId="40" fillId="0" borderId="28" xfId="106" applyNumberFormat="1" applyFont="1" applyBorder="1"/>
    <xf numFmtId="167" fontId="40" fillId="0" borderId="28" xfId="106" applyNumberFormat="1" applyFont="1" applyFill="1" applyBorder="1"/>
    <xf numFmtId="168" fontId="40" fillId="0" borderId="28" xfId="35" applyNumberFormat="1" applyFont="1" applyFill="1" applyBorder="1"/>
    <xf numFmtId="42" fontId="40" fillId="0" borderId="29" xfId="52" applyNumberFormat="1" applyFont="1" applyFill="1" applyBorder="1" applyAlignment="1">
      <alignment horizontal="center"/>
    </xf>
    <xf numFmtId="10" fontId="41" fillId="0" borderId="0" xfId="169" applyNumberFormat="1" applyFont="1" applyFill="1" applyBorder="1" applyAlignment="1">
      <alignment horizontal="center"/>
    </xf>
    <xf numFmtId="9" fontId="41" fillId="0" borderId="0" xfId="169" applyNumberFormat="1" applyFont="1" applyFill="1" applyBorder="1"/>
    <xf numFmtId="9" fontId="41" fillId="0" borderId="0" xfId="169" applyNumberFormat="1" applyFont="1" applyFill="1" applyBorder="1" applyAlignment="1">
      <alignment horizontal="left"/>
    </xf>
    <xf numFmtId="0" fontId="40" fillId="0" borderId="26" xfId="106" applyFont="1" applyBorder="1"/>
    <xf numFmtId="0" fontId="40" fillId="0" borderId="0" xfId="106" applyFont="1" applyBorder="1"/>
    <xf numFmtId="42" fontId="41" fillId="0" borderId="4" xfId="106" applyNumberFormat="1" applyFont="1" applyFill="1" applyBorder="1"/>
    <xf numFmtId="10" fontId="41" fillId="0" borderId="0" xfId="106" applyNumberFormat="1" applyFont="1" applyFill="1" applyBorder="1" applyAlignment="1">
      <alignment horizontal="center"/>
    </xf>
    <xf numFmtId="9" fontId="41" fillId="0" borderId="0" xfId="106" applyNumberFormat="1" applyFont="1" applyFill="1" applyBorder="1"/>
    <xf numFmtId="10" fontId="40" fillId="0" borderId="28" xfId="169" applyNumberFormat="1" applyFont="1" applyFill="1" applyBorder="1" applyAlignment="1">
      <alignment horizontal="center"/>
    </xf>
    <xf numFmtId="0" fontId="41" fillId="0" borderId="0" xfId="106" applyFont="1" applyBorder="1"/>
    <xf numFmtId="0" fontId="40" fillId="0" borderId="30" xfId="106" applyFont="1" applyBorder="1"/>
    <xf numFmtId="10" fontId="40" fillId="0" borderId="28" xfId="106" applyNumberFormat="1" applyFont="1" applyFill="1" applyBorder="1" applyAlignment="1">
      <alignment horizontal="center"/>
    </xf>
    <xf numFmtId="44" fontId="41" fillId="0" borderId="0" xfId="169" applyNumberFormat="1" applyFont="1" applyFill="1" applyBorder="1"/>
    <xf numFmtId="170" fontId="41" fillId="0" borderId="0" xfId="106" applyNumberFormat="1" applyFont="1" applyFill="1" applyBorder="1"/>
    <xf numFmtId="0" fontId="40" fillId="0" borderId="30" xfId="169" applyFont="1" applyFill="1" applyBorder="1"/>
    <xf numFmtId="0" fontId="40" fillId="0" borderId="28" xfId="169" applyFont="1" applyFill="1" applyBorder="1"/>
    <xf numFmtId="10" fontId="41" fillId="0" borderId="28" xfId="169" applyNumberFormat="1" applyFont="1" applyFill="1" applyBorder="1" applyAlignment="1">
      <alignment horizontal="center"/>
    </xf>
    <xf numFmtId="0" fontId="41" fillId="0" borderId="28" xfId="169" applyFont="1" applyFill="1" applyBorder="1"/>
    <xf numFmtId="42" fontId="41" fillId="0" borderId="29" xfId="170" applyNumberFormat="1" applyFont="1" applyFill="1" applyBorder="1"/>
    <xf numFmtId="0" fontId="40" fillId="0" borderId="28" xfId="106" applyFont="1" applyBorder="1"/>
    <xf numFmtId="10" fontId="41" fillId="0" borderId="28" xfId="106" applyNumberFormat="1" applyFont="1" applyFill="1" applyBorder="1" applyAlignment="1">
      <alignment horizontal="center"/>
    </xf>
    <xf numFmtId="0" fontId="41" fillId="0" borderId="28" xfId="106" applyFont="1" applyFill="1" applyBorder="1"/>
    <xf numFmtId="42" fontId="41" fillId="0" borderId="29" xfId="52" applyNumberFormat="1" applyFont="1" applyFill="1" applyBorder="1"/>
    <xf numFmtId="0" fontId="40" fillId="0" borderId="31" xfId="169" applyFont="1" applyFill="1" applyBorder="1"/>
    <xf numFmtId="0" fontId="41" fillId="0" borderId="32" xfId="169" applyFont="1" applyFill="1" applyBorder="1"/>
    <xf numFmtId="0" fontId="41" fillId="0" borderId="32" xfId="169" applyFont="1" applyFill="1" applyBorder="1" applyAlignment="1">
      <alignment horizontal="center"/>
    </xf>
    <xf numFmtId="42" fontId="40" fillId="0" borderId="33" xfId="169" applyNumberFormat="1" applyFont="1" applyFill="1" applyBorder="1"/>
    <xf numFmtId="5" fontId="5" fillId="0" borderId="0" xfId="106" applyNumberFormat="1" applyFont="1" applyFill="1" applyBorder="1"/>
    <xf numFmtId="0" fontId="41" fillId="0" borderId="0" xfId="169" applyFont="1" applyFill="1" applyBorder="1" applyAlignment="1">
      <alignment horizontal="center"/>
    </xf>
    <xf numFmtId="44" fontId="41" fillId="0" borderId="4" xfId="170" applyFont="1" applyFill="1" applyBorder="1"/>
    <xf numFmtId="44" fontId="2" fillId="0" borderId="0" xfId="52" applyFont="1" applyFill="1" applyBorder="1"/>
    <xf numFmtId="0" fontId="40" fillId="0" borderId="31" xfId="106" applyFont="1" applyBorder="1"/>
    <xf numFmtId="0" fontId="41" fillId="0" borderId="32" xfId="106" applyFont="1" applyBorder="1"/>
    <xf numFmtId="0" fontId="41" fillId="0" borderId="32" xfId="106" applyFont="1" applyFill="1" applyBorder="1" applyAlignment="1">
      <alignment horizontal="center"/>
    </xf>
    <xf numFmtId="0" fontId="41" fillId="0" borderId="32" xfId="106" applyFont="1" applyFill="1" applyBorder="1"/>
    <xf numFmtId="5" fontId="40" fillId="0" borderId="33" xfId="106" applyNumberFormat="1" applyFont="1" applyFill="1" applyBorder="1"/>
    <xf numFmtId="0" fontId="5" fillId="0" borderId="0" xfId="169" applyFont="1" applyFill="1"/>
    <xf numFmtId="0" fontId="40" fillId="0" borderId="34" xfId="169" applyFont="1" applyFill="1" applyBorder="1"/>
    <xf numFmtId="0" fontId="40" fillId="0" borderId="5" xfId="169" applyFont="1" applyFill="1" applyBorder="1"/>
    <xf numFmtId="10" fontId="41" fillId="0" borderId="5" xfId="150" applyNumberFormat="1" applyFont="1" applyFill="1" applyBorder="1" applyAlignment="1">
      <alignment horizontal="center"/>
    </xf>
    <xf numFmtId="10" fontId="40" fillId="0" borderId="5" xfId="150" applyNumberFormat="1" applyFont="1" applyFill="1" applyBorder="1"/>
    <xf numFmtId="171" fontId="40" fillId="0" borderId="6" xfId="169" applyNumberFormat="1" applyFont="1" applyFill="1" applyBorder="1"/>
    <xf numFmtId="0" fontId="40" fillId="0" borderId="0" xfId="169" applyFont="1" applyFill="1"/>
    <xf numFmtId="170" fontId="5" fillId="0" borderId="0" xfId="106" applyNumberFormat="1" applyFont="1" applyFill="1" applyBorder="1"/>
    <xf numFmtId="0" fontId="41" fillId="0" borderId="0" xfId="106" applyFont="1" applyFill="1" applyBorder="1" applyAlignment="1">
      <alignment horizontal="center"/>
    </xf>
    <xf numFmtId="44" fontId="41" fillId="0" borderId="4" xfId="52" applyFont="1" applyFill="1" applyBorder="1"/>
    <xf numFmtId="0" fontId="5" fillId="0" borderId="0" xfId="169" applyFont="1"/>
    <xf numFmtId="0" fontId="5" fillId="0" borderId="0" xfId="169" applyFont="1" applyFill="1" applyBorder="1" applyAlignment="1"/>
    <xf numFmtId="0" fontId="40" fillId="0" borderId="34" xfId="106" applyFont="1" applyBorder="1"/>
    <xf numFmtId="0" fontId="40" fillId="0" borderId="5" xfId="106" applyFont="1" applyBorder="1"/>
    <xf numFmtId="10" fontId="41" fillId="0" borderId="5" xfId="149" applyNumberFormat="1" applyFont="1" applyFill="1" applyBorder="1" applyAlignment="1">
      <alignment horizontal="center"/>
    </xf>
    <xf numFmtId="10" fontId="40" fillId="0" borderId="5" xfId="149" applyNumberFormat="1" applyFont="1" applyFill="1" applyBorder="1"/>
    <xf numFmtId="170" fontId="40" fillId="31" borderId="6" xfId="106" applyNumberFormat="1" applyFont="1" applyFill="1" applyBorder="1"/>
    <xf numFmtId="10" fontId="41" fillId="0" borderId="0" xfId="149" applyNumberFormat="1" applyFont="1" applyFill="1" applyBorder="1" applyAlignment="1">
      <alignment horizontal="center"/>
    </xf>
    <xf numFmtId="10" fontId="40" fillId="0" borderId="0" xfId="149" applyNumberFormat="1" applyFont="1" applyFill="1" applyBorder="1"/>
    <xf numFmtId="170" fontId="40" fillId="31" borderId="0" xfId="106" applyNumberFormat="1" applyFont="1" applyFill="1" applyBorder="1"/>
    <xf numFmtId="0" fontId="39" fillId="0" borderId="0" xfId="169" applyFont="1" applyFill="1" applyBorder="1" applyAlignment="1">
      <alignment vertical="center"/>
    </xf>
    <xf numFmtId="167" fontId="5" fillId="0" borderId="0" xfId="169" applyNumberFormat="1" applyFont="1" applyFill="1" applyBorder="1" applyAlignment="1"/>
    <xf numFmtId="42" fontId="5" fillId="0" borderId="0" xfId="170" applyNumberFormat="1" applyFont="1" applyFill="1" applyBorder="1" applyAlignment="1"/>
    <xf numFmtId="0" fontId="2" fillId="0" borderId="26" xfId="169" applyFont="1" applyFill="1" applyBorder="1" applyAlignment="1">
      <alignment horizontal="right"/>
    </xf>
    <xf numFmtId="1" fontId="2" fillId="0" borderId="0" xfId="169" applyNumberFormat="1" applyFont="1" applyFill="1" applyBorder="1"/>
    <xf numFmtId="0" fontId="2" fillId="0" borderId="0" xfId="169" applyFont="1" applyFill="1" applyBorder="1" applyAlignment="1">
      <alignment horizontal="right"/>
    </xf>
    <xf numFmtId="166" fontId="2" fillId="0" borderId="0" xfId="32" applyNumberFormat="1" applyFont="1" applyFill="1" applyBorder="1"/>
    <xf numFmtId="166" fontId="2" fillId="0" borderId="3" xfId="32" applyNumberFormat="1" applyFont="1" applyFill="1" applyBorder="1"/>
    <xf numFmtId="0" fontId="2" fillId="0" borderId="0" xfId="169" applyFont="1" applyFill="1" applyBorder="1"/>
    <xf numFmtId="167" fontId="43" fillId="0" borderId="35" xfId="107" applyNumberFormat="1" applyFont="1" applyFill="1" applyBorder="1" applyAlignment="1">
      <alignment horizontal="center"/>
    </xf>
    <xf numFmtId="167" fontId="2" fillId="0" borderId="26" xfId="169" applyNumberFormat="1" applyFont="1" applyFill="1" applyBorder="1"/>
    <xf numFmtId="167" fontId="2" fillId="0" borderId="0" xfId="169" applyNumberFormat="1" applyFont="1" applyFill="1" applyBorder="1"/>
    <xf numFmtId="42" fontId="5" fillId="0" borderId="4" xfId="169" applyNumberFormat="1" applyFont="1" applyFill="1" applyBorder="1" applyAlignment="1"/>
    <xf numFmtId="42" fontId="5" fillId="0" borderId="0" xfId="106" applyNumberFormat="1" applyFont="1" applyFill="1" applyBorder="1" applyAlignment="1"/>
    <xf numFmtId="6" fontId="44" fillId="0" borderId="36" xfId="107" applyNumberFormat="1" applyFont="1" applyFill="1" applyBorder="1" applyAlignment="1">
      <alignment horizontal="center"/>
    </xf>
    <xf numFmtId="0" fontId="2" fillId="0" borderId="0" xfId="169" applyFont="1" applyBorder="1"/>
    <xf numFmtId="167" fontId="45" fillId="0" borderId="37" xfId="107" applyNumberFormat="1" applyFont="1" applyFill="1" applyBorder="1"/>
    <xf numFmtId="0" fontId="2" fillId="0" borderId="26" xfId="169" applyFont="1" applyFill="1" applyBorder="1"/>
    <xf numFmtId="0" fontId="5" fillId="0" borderId="0" xfId="169" applyFont="1" applyFill="1" applyBorder="1" applyAlignment="1">
      <alignment horizontal="center"/>
    </xf>
    <xf numFmtId="167" fontId="5" fillId="0" borderId="0" xfId="169" applyNumberFormat="1" applyFont="1" applyFill="1" applyBorder="1" applyAlignment="1">
      <alignment horizontal="center"/>
    </xf>
    <xf numFmtId="42" fontId="5" fillId="0" borderId="4" xfId="169" applyNumberFormat="1" applyFont="1" applyFill="1" applyBorder="1" applyAlignment="1">
      <alignment horizontal="center"/>
    </xf>
    <xf numFmtId="6" fontId="44" fillId="0" borderId="38" xfId="107" applyNumberFormat="1" applyFont="1" applyFill="1" applyBorder="1" applyAlignment="1">
      <alignment horizontal="center"/>
    </xf>
    <xf numFmtId="168" fontId="2" fillId="0" borderId="0" xfId="32" applyNumberFormat="1" applyFont="1" applyFill="1" applyBorder="1" applyAlignment="1">
      <alignment horizontal="right"/>
    </xf>
    <xf numFmtId="165" fontId="2" fillId="0" borderId="0" xfId="169" applyNumberFormat="1" applyFont="1" applyFill="1" applyBorder="1" applyAlignment="1">
      <alignment horizontal="right"/>
    </xf>
    <xf numFmtId="42" fontId="2" fillId="0" borderId="4" xfId="170" applyNumberFormat="1" applyFont="1" applyFill="1" applyBorder="1"/>
    <xf numFmtId="167" fontId="45" fillId="0" borderId="39" xfId="107" applyNumberFormat="1" applyFont="1" applyFill="1" applyBorder="1"/>
    <xf numFmtId="165" fontId="2" fillId="0" borderId="26" xfId="169" applyNumberFormat="1" applyFont="1" applyFill="1" applyBorder="1"/>
    <xf numFmtId="42" fontId="2" fillId="0" borderId="4" xfId="170" applyNumberFormat="1" applyFont="1" applyFill="1" applyBorder="1" applyAlignment="1">
      <alignment horizontal="center"/>
    </xf>
    <xf numFmtId="167" fontId="45" fillId="0" borderId="40" xfId="107" applyNumberFormat="1" applyFont="1" applyFill="1" applyBorder="1"/>
    <xf numFmtId="167" fontId="43" fillId="0" borderId="2" xfId="107" applyNumberFormat="1" applyFont="1" applyFill="1" applyBorder="1" applyAlignment="1">
      <alignment horizontal="center"/>
    </xf>
    <xf numFmtId="167" fontId="45" fillId="0" borderId="4" xfId="107" applyNumberFormat="1" applyFont="1" applyFill="1" applyBorder="1"/>
    <xf numFmtId="0" fontId="5" fillId="0" borderId="27" xfId="169" applyFont="1" applyFill="1" applyBorder="1" applyAlignment="1"/>
    <xf numFmtId="167" fontId="5" fillId="0" borderId="28" xfId="169" applyNumberFormat="1" applyFont="1" applyFill="1" applyBorder="1"/>
    <xf numFmtId="168" fontId="5" fillId="0" borderId="28" xfId="32" applyNumberFormat="1" applyFont="1" applyFill="1" applyBorder="1" applyAlignment="1">
      <alignment horizontal="right"/>
    </xf>
    <xf numFmtId="42" fontId="5" fillId="0" borderId="29" xfId="170" applyNumberFormat="1" applyFont="1" applyFill="1" applyBorder="1" applyAlignment="1">
      <alignment horizontal="center"/>
    </xf>
    <xf numFmtId="168" fontId="5" fillId="0" borderId="28" xfId="32" applyNumberFormat="1" applyFont="1" applyFill="1" applyBorder="1"/>
    <xf numFmtId="167" fontId="43" fillId="0" borderId="26" xfId="107" applyNumberFormat="1" applyFont="1" applyFill="1" applyBorder="1" applyAlignment="1">
      <alignment horizontal="right"/>
    </xf>
    <xf numFmtId="172" fontId="46" fillId="0" borderId="0" xfId="107" applyNumberFormat="1" applyFont="1" applyFill="1" applyBorder="1" applyAlignment="1">
      <alignment horizontal="center"/>
    </xf>
    <xf numFmtId="0" fontId="5" fillId="0" borderId="26" xfId="169" applyFont="1" applyFill="1" applyBorder="1"/>
    <xf numFmtId="0" fontId="5" fillId="0" borderId="0" xfId="169" applyFont="1" applyFill="1" applyBorder="1"/>
    <xf numFmtId="42" fontId="2" fillId="0" borderId="4" xfId="169" applyNumberFormat="1" applyFont="1" applyFill="1" applyBorder="1"/>
    <xf numFmtId="167" fontId="45" fillId="0" borderId="41" xfId="107" applyNumberFormat="1" applyFont="1" applyFill="1" applyBorder="1"/>
    <xf numFmtId="10" fontId="2" fillId="0" borderId="0" xfId="169" applyNumberFormat="1" applyFont="1" applyFill="1" applyBorder="1" applyAlignment="1">
      <alignment horizontal="center"/>
    </xf>
    <xf numFmtId="9" fontId="2" fillId="0" borderId="0" xfId="169" applyNumberFormat="1" applyFont="1" applyFill="1" applyBorder="1" applyAlignment="1">
      <alignment horizontal="left"/>
    </xf>
    <xf numFmtId="167" fontId="45" fillId="0" borderId="26" xfId="107" applyNumberFormat="1" applyFont="1" applyFill="1" applyBorder="1"/>
    <xf numFmtId="167" fontId="43" fillId="0" borderId="0" xfId="107" applyNumberFormat="1" applyFont="1" applyFill="1" applyBorder="1" applyAlignment="1">
      <alignment horizontal="center"/>
    </xf>
    <xf numFmtId="10" fontId="47" fillId="0" borderId="0" xfId="149" applyNumberFormat="1" applyFont="1" applyFill="1" applyBorder="1" applyAlignment="1"/>
    <xf numFmtId="10" fontId="5" fillId="0" borderId="28" xfId="169" applyNumberFormat="1" applyFont="1" applyFill="1" applyBorder="1" applyAlignment="1">
      <alignment horizontal="center"/>
    </xf>
    <xf numFmtId="0" fontId="45" fillId="0" borderId="26" xfId="107" applyFont="1" applyFill="1" applyBorder="1"/>
    <xf numFmtId="8" fontId="44" fillId="33" borderId="42" xfId="107" applyNumberFormat="1" applyFont="1" applyFill="1" applyBorder="1" applyAlignment="1">
      <alignment wrapText="1"/>
    </xf>
    <xf numFmtId="8" fontId="2" fillId="0" borderId="0" xfId="169" applyNumberFormat="1" applyFont="1" applyFill="1" applyBorder="1"/>
    <xf numFmtId="42" fontId="2" fillId="0" borderId="0" xfId="170" applyNumberFormat="1" applyFont="1" applyFill="1" applyBorder="1"/>
    <xf numFmtId="44" fontId="2" fillId="0" borderId="0" xfId="169" applyNumberFormat="1" applyFont="1" applyFill="1"/>
    <xf numFmtId="0" fontId="5" fillId="0" borderId="30" xfId="169" applyFont="1" applyFill="1" applyBorder="1"/>
    <xf numFmtId="0" fontId="5" fillId="0" borderId="28" xfId="169" applyFont="1" applyFill="1" applyBorder="1"/>
    <xf numFmtId="10" fontId="2" fillId="0" borderId="28" xfId="169" applyNumberFormat="1" applyFont="1" applyFill="1" applyBorder="1" applyAlignment="1">
      <alignment horizontal="center"/>
    </xf>
    <xf numFmtId="0" fontId="2" fillId="0" borderId="28" xfId="169" applyFont="1" applyFill="1" applyBorder="1"/>
    <xf numFmtId="42" fontId="2" fillId="0" borderId="29" xfId="170" applyNumberFormat="1" applyFont="1" applyFill="1" applyBorder="1"/>
    <xf numFmtId="167" fontId="9" fillId="0" borderId="26" xfId="169" applyNumberFormat="1" applyFont="1" applyFill="1" applyBorder="1"/>
    <xf numFmtId="0" fontId="9" fillId="0" borderId="0" xfId="169" applyFont="1" applyFill="1" applyBorder="1"/>
    <xf numFmtId="10" fontId="9" fillId="9" borderId="0" xfId="169" applyNumberFormat="1" applyFont="1" applyFill="1" applyBorder="1" applyAlignment="1">
      <alignment horizontal="center"/>
    </xf>
    <xf numFmtId="42" fontId="9" fillId="0" borderId="4" xfId="170" applyNumberFormat="1" applyFont="1" applyFill="1" applyBorder="1"/>
    <xf numFmtId="0" fontId="5" fillId="0" borderId="31" xfId="169" applyFont="1" applyFill="1" applyBorder="1"/>
    <xf numFmtId="0" fontId="2" fillId="0" borderId="32" xfId="169" applyFont="1" applyFill="1" applyBorder="1"/>
    <xf numFmtId="0" fontId="2" fillId="0" borderId="32" xfId="169" applyFont="1" applyFill="1" applyBorder="1" applyAlignment="1">
      <alignment horizontal="center"/>
    </xf>
    <xf numFmtId="42" fontId="5" fillId="0" borderId="33" xfId="169" applyNumberFormat="1" applyFont="1" applyFill="1" applyBorder="1"/>
    <xf numFmtId="0" fontId="2" fillId="0" borderId="0" xfId="169" applyFont="1" applyFill="1" applyBorder="1" applyAlignment="1">
      <alignment horizontal="center"/>
    </xf>
    <xf numFmtId="42" fontId="5" fillId="0" borderId="4" xfId="169" applyNumberFormat="1" applyFont="1" applyFill="1" applyBorder="1"/>
    <xf numFmtId="10" fontId="45" fillId="9" borderId="0" xfId="150" applyNumberFormat="1" applyFont="1" applyFill="1" applyBorder="1" applyAlignment="1"/>
    <xf numFmtId="0" fontId="16" fillId="0" borderId="0" xfId="169" applyFont="1" applyBorder="1" applyAlignment="1"/>
    <xf numFmtId="0" fontId="5" fillId="0" borderId="34" xfId="169" applyFont="1" applyFill="1" applyBorder="1"/>
    <xf numFmtId="0" fontId="5" fillId="0" borderId="5" xfId="169" applyFont="1" applyFill="1" applyBorder="1"/>
    <xf numFmtId="10" fontId="2" fillId="9" borderId="5" xfId="150" applyNumberFormat="1" applyFont="1" applyFill="1" applyBorder="1" applyAlignment="1">
      <alignment horizontal="center"/>
    </xf>
    <xf numFmtId="10" fontId="5" fillId="0" borderId="5" xfId="150" applyNumberFormat="1" applyFont="1" applyFill="1" applyBorder="1"/>
    <xf numFmtId="42" fontId="5" fillId="0" borderId="6" xfId="169" applyNumberFormat="1" applyFont="1" applyFill="1" applyBorder="1"/>
    <xf numFmtId="167" fontId="45" fillId="0" borderId="34" xfId="107" applyNumberFormat="1" applyFont="1" applyFill="1" applyBorder="1"/>
    <xf numFmtId="10" fontId="47" fillId="9" borderId="5" xfId="149" applyNumberFormat="1" applyFont="1" applyFill="1" applyBorder="1" applyAlignment="1"/>
    <xf numFmtId="10" fontId="47" fillId="0" borderId="43" xfId="149" applyNumberFormat="1" applyFont="1" applyFill="1" applyBorder="1" applyAlignment="1"/>
    <xf numFmtId="167" fontId="48" fillId="0" borderId="44" xfId="107" applyNumberFormat="1" applyFont="1" applyFill="1" applyBorder="1" applyAlignment="1">
      <alignment wrapText="1"/>
    </xf>
    <xf numFmtId="174" fontId="48" fillId="0" borderId="45" xfId="107" applyNumberFormat="1" applyFont="1" applyFill="1" applyBorder="1"/>
    <xf numFmtId="10" fontId="9" fillId="0" borderId="46" xfId="150" applyNumberFormat="1" applyFont="1" applyFill="1" applyBorder="1" applyAlignment="1">
      <alignment horizontal="center"/>
    </xf>
    <xf numFmtId="8" fontId="48" fillId="0" borderId="46" xfId="107" applyNumberFormat="1" applyFont="1" applyFill="1" applyBorder="1" applyAlignment="1">
      <alignment horizontal="right" wrapText="1"/>
    </xf>
    <xf numFmtId="42" fontId="8" fillId="0" borderId="47" xfId="169" applyNumberFormat="1" applyFont="1" applyFill="1" applyBorder="1"/>
    <xf numFmtId="44" fontId="2" fillId="9" borderId="4" xfId="170" applyFont="1" applyFill="1" applyBorder="1"/>
    <xf numFmtId="0" fontId="2" fillId="0" borderId="34" xfId="169" applyFont="1" applyBorder="1"/>
    <xf numFmtId="0" fontId="2" fillId="0" borderId="5" xfId="169" applyFont="1" applyBorder="1"/>
    <xf numFmtId="42" fontId="2" fillId="0" borderId="6" xfId="169" applyNumberFormat="1" applyFont="1" applyBorder="1"/>
    <xf numFmtId="10" fontId="2" fillId="0" borderId="5" xfId="150" applyNumberFormat="1" applyFont="1" applyFill="1" applyBorder="1" applyAlignment="1">
      <alignment horizontal="center"/>
    </xf>
    <xf numFmtId="171" fontId="5" fillId="0" borderId="6" xfId="169" applyNumberFormat="1" applyFont="1" applyFill="1" applyBorder="1"/>
    <xf numFmtId="42" fontId="2" fillId="0" borderId="0" xfId="169" applyNumberFormat="1" applyFont="1"/>
    <xf numFmtId="0" fontId="2" fillId="0" borderId="10" xfId="169" applyFont="1" applyFill="1" applyBorder="1"/>
    <xf numFmtId="171" fontId="5" fillId="0" borderId="11" xfId="169" applyNumberFormat="1" applyFont="1" applyFill="1" applyBorder="1"/>
    <xf numFmtId="171" fontId="5" fillId="0" borderId="0" xfId="169" applyNumberFormat="1" applyFont="1" applyFill="1" applyBorder="1"/>
    <xf numFmtId="10" fontId="5" fillId="0" borderId="0" xfId="150" applyNumberFormat="1" applyFont="1" applyFill="1" applyBorder="1"/>
    <xf numFmtId="44" fontId="2" fillId="0" borderId="0" xfId="169" applyNumberFormat="1" applyFont="1"/>
    <xf numFmtId="0" fontId="2" fillId="0" borderId="6" xfId="169" applyFont="1" applyBorder="1"/>
    <xf numFmtId="2" fontId="2" fillId="0" borderId="0" xfId="106" applyNumberFormat="1" applyFont="1" applyFill="1" applyBorder="1"/>
    <xf numFmtId="0" fontId="2" fillId="0" borderId="0" xfId="106" applyFont="1" applyFill="1" applyBorder="1" applyAlignment="1">
      <alignment horizontal="right"/>
    </xf>
    <xf numFmtId="166" fontId="2" fillId="0" borderId="0" xfId="35" applyNumberFormat="1" applyFont="1" applyFill="1" applyBorder="1"/>
    <xf numFmtId="166" fontId="2" fillId="0" borderId="3" xfId="35" applyNumberFormat="1" applyFont="1" applyFill="1" applyBorder="1"/>
    <xf numFmtId="167" fontId="2" fillId="0" borderId="26" xfId="106" applyNumberFormat="1" applyFont="1" applyFill="1" applyBorder="1"/>
    <xf numFmtId="167" fontId="2" fillId="0" borderId="0" xfId="106" applyNumberFormat="1" applyFont="1" applyFill="1" applyBorder="1"/>
    <xf numFmtId="42" fontId="5" fillId="0" borderId="4" xfId="106" applyNumberFormat="1" applyFont="1" applyFill="1" applyBorder="1" applyAlignment="1"/>
    <xf numFmtId="0" fontId="2" fillId="0" borderId="26" xfId="106" applyFont="1" applyFill="1" applyBorder="1"/>
    <xf numFmtId="167" fontId="5" fillId="0" borderId="0" xfId="106" applyNumberFormat="1" applyFont="1" applyFill="1" applyBorder="1" applyAlignment="1">
      <alignment horizontal="center"/>
    </xf>
    <xf numFmtId="42" fontId="5" fillId="0" borderId="4" xfId="106" applyNumberFormat="1" applyFont="1" applyFill="1" applyBorder="1" applyAlignment="1">
      <alignment horizontal="center"/>
    </xf>
    <xf numFmtId="165" fontId="2" fillId="0" borderId="0" xfId="106" applyNumberFormat="1" applyFont="1" applyFill="1" applyBorder="1"/>
    <xf numFmtId="169" fontId="2" fillId="0" borderId="0" xfId="106" applyNumberFormat="1" applyFont="1" applyFill="1" applyBorder="1" applyAlignment="1">
      <alignment horizontal="center"/>
    </xf>
    <xf numFmtId="165" fontId="2" fillId="0" borderId="0" xfId="106" applyNumberFormat="1" applyFont="1" applyFill="1" applyBorder="1" applyAlignment="1">
      <alignment horizontal="right"/>
    </xf>
    <xf numFmtId="42" fontId="2" fillId="0" borderId="4" xfId="52" applyNumberFormat="1" applyFont="1" applyFill="1" applyBorder="1"/>
    <xf numFmtId="165" fontId="2" fillId="0" borderId="26" xfId="106" applyNumberFormat="1" applyFont="1" applyFill="1" applyBorder="1"/>
    <xf numFmtId="42" fontId="2" fillId="0" borderId="4" xfId="52" applyNumberFormat="1" applyFont="1" applyFill="1" applyBorder="1" applyAlignment="1">
      <alignment horizontal="center"/>
    </xf>
    <xf numFmtId="44" fontId="5" fillId="0" borderId="0" xfId="52" applyNumberFormat="1" applyFont="1" applyFill="1" applyBorder="1" applyAlignment="1">
      <alignment horizontal="center"/>
    </xf>
    <xf numFmtId="167" fontId="5" fillId="0" borderId="27" xfId="106" applyNumberFormat="1" applyFont="1" applyFill="1" applyBorder="1" applyAlignment="1"/>
    <xf numFmtId="167" fontId="5" fillId="0" borderId="28" xfId="106" applyNumberFormat="1" applyFont="1" applyFill="1" applyBorder="1"/>
    <xf numFmtId="168" fontId="5" fillId="0" borderId="28" xfId="35" applyNumberFormat="1" applyFont="1" applyFill="1" applyBorder="1"/>
    <xf numFmtId="42" fontId="5" fillId="0" borderId="29" xfId="52" applyNumberFormat="1" applyFont="1" applyFill="1" applyBorder="1" applyAlignment="1">
      <alignment horizontal="center"/>
    </xf>
    <xf numFmtId="0" fontId="5" fillId="0" borderId="26" xfId="106" applyFont="1" applyFill="1" applyBorder="1"/>
    <xf numFmtId="0" fontId="5" fillId="0" borderId="0" xfId="106" applyFont="1" applyFill="1" applyBorder="1"/>
    <xf numFmtId="42" fontId="2" fillId="0" borderId="4" xfId="106" applyNumberFormat="1" applyFont="1" applyFill="1" applyBorder="1"/>
    <xf numFmtId="9" fontId="2" fillId="0" borderId="0" xfId="169" applyNumberFormat="1" applyFont="1" applyFill="1" applyBorder="1"/>
    <xf numFmtId="0" fontId="2" fillId="0" borderId="0" xfId="106" applyFont="1" applyFill="1" applyBorder="1"/>
    <xf numFmtId="10" fontId="2" fillId="0" borderId="0" xfId="106" applyNumberFormat="1" applyFont="1" applyFill="1" applyBorder="1" applyAlignment="1">
      <alignment horizontal="center"/>
    </xf>
    <xf numFmtId="9" fontId="2" fillId="0" borderId="0" xfId="106" applyNumberFormat="1" applyFont="1" applyFill="1" applyBorder="1"/>
    <xf numFmtId="0" fontId="8" fillId="0" borderId="0" xfId="106" applyFont="1" applyFill="1" applyBorder="1" applyAlignment="1">
      <alignment horizontal="center"/>
    </xf>
    <xf numFmtId="0" fontId="5" fillId="0" borderId="30" xfId="106" applyFont="1" applyFill="1" applyBorder="1"/>
    <xf numFmtId="10" fontId="5" fillId="0" borderId="28" xfId="106" applyNumberFormat="1" applyFont="1" applyFill="1" applyBorder="1" applyAlignment="1">
      <alignment horizontal="center"/>
    </xf>
    <xf numFmtId="7" fontId="2" fillId="0" borderId="0" xfId="169" applyNumberFormat="1" applyFont="1"/>
    <xf numFmtId="170" fontId="2" fillId="0" borderId="0" xfId="106" applyNumberFormat="1" applyFont="1" applyFill="1" applyBorder="1"/>
    <xf numFmtId="42" fontId="2" fillId="0" borderId="48" xfId="170" applyNumberFormat="1" applyFont="1" applyFill="1" applyBorder="1"/>
    <xf numFmtId="170" fontId="5" fillId="0" borderId="0" xfId="169" applyNumberFormat="1" applyFont="1"/>
    <xf numFmtId="0" fontId="5" fillId="0" borderId="28" xfId="106" applyFont="1" applyFill="1" applyBorder="1"/>
    <xf numFmtId="10" fontId="2" fillId="0" borderId="28" xfId="106" applyNumberFormat="1" applyFont="1" applyFill="1" applyBorder="1" applyAlignment="1">
      <alignment horizontal="center"/>
    </xf>
    <xf numFmtId="0" fontId="2" fillId="0" borderId="28" xfId="106" applyFont="1" applyFill="1" applyBorder="1"/>
    <xf numFmtId="42" fontId="2" fillId="0" borderId="29" xfId="52" applyNumberFormat="1" applyFont="1" applyFill="1" applyBorder="1"/>
    <xf numFmtId="165" fontId="2" fillId="0" borderId="0" xfId="169" applyNumberFormat="1" applyFont="1" applyFill="1" applyBorder="1"/>
    <xf numFmtId="167" fontId="9" fillId="0" borderId="26" xfId="106" applyNumberFormat="1" applyFont="1" applyFill="1" applyBorder="1"/>
    <xf numFmtId="0" fontId="9" fillId="0" borderId="0" xfId="106" applyFont="1" applyFill="1" applyBorder="1"/>
    <xf numFmtId="10" fontId="9" fillId="9" borderId="0" xfId="106" applyNumberFormat="1" applyFont="1" applyFill="1" applyBorder="1" applyAlignment="1">
      <alignment horizontal="center"/>
    </xf>
    <xf numFmtId="42" fontId="9" fillId="0" borderId="4" xfId="52" applyNumberFormat="1" applyFont="1" applyFill="1" applyBorder="1"/>
    <xf numFmtId="0" fontId="5" fillId="0" borderId="31" xfId="106" applyFont="1" applyFill="1" applyBorder="1"/>
    <xf numFmtId="0" fontId="2" fillId="0" borderId="32" xfId="106" applyFont="1" applyFill="1" applyBorder="1"/>
    <xf numFmtId="0" fontId="2" fillId="0" borderId="32" xfId="106" applyFont="1" applyFill="1" applyBorder="1" applyAlignment="1">
      <alignment horizontal="center"/>
    </xf>
    <xf numFmtId="42" fontId="5" fillId="0" borderId="33" xfId="106" applyNumberFormat="1" applyFont="1" applyFill="1" applyBorder="1"/>
    <xf numFmtId="0" fontId="42" fillId="0" borderId="0" xfId="169" applyFont="1" applyFill="1" applyBorder="1"/>
    <xf numFmtId="1" fontId="9" fillId="0" borderId="0" xfId="169" applyNumberFormat="1" applyFont="1" applyFill="1" applyBorder="1"/>
    <xf numFmtId="166" fontId="9" fillId="0" borderId="0" xfId="32" applyNumberFormat="1" applyFont="1" applyFill="1" applyBorder="1"/>
    <xf numFmtId="43" fontId="2" fillId="0" borderId="0" xfId="32" applyNumberFormat="1" applyFont="1" applyFill="1" applyBorder="1"/>
    <xf numFmtId="44" fontId="2" fillId="0" borderId="4" xfId="170" applyFont="1" applyFill="1" applyBorder="1"/>
    <xf numFmtId="0" fontId="2" fillId="0" borderId="0" xfId="106" applyFont="1" applyFill="1" applyBorder="1" applyAlignment="1">
      <alignment horizontal="center"/>
    </xf>
    <xf numFmtId="44" fontId="2" fillId="0" borderId="4" xfId="52" applyNumberFormat="1" applyFont="1" applyFill="1" applyBorder="1"/>
    <xf numFmtId="42" fontId="42" fillId="0" borderId="0" xfId="169" applyNumberFormat="1" applyFont="1" applyFill="1" applyBorder="1" applyAlignment="1"/>
    <xf numFmtId="167" fontId="42" fillId="0" borderId="0" xfId="169" applyNumberFormat="1" applyFont="1" applyFill="1" applyBorder="1" applyAlignment="1">
      <alignment horizontal="center"/>
    </xf>
    <xf numFmtId="42" fontId="5" fillId="0" borderId="0" xfId="169" applyNumberFormat="1" applyFont="1" applyFill="1" applyBorder="1" applyAlignment="1">
      <alignment horizontal="center"/>
    </xf>
    <xf numFmtId="165" fontId="9" fillId="0" borderId="0" xfId="169" applyNumberFormat="1" applyFont="1" applyFill="1" applyBorder="1" applyAlignment="1">
      <alignment horizontal="right"/>
    </xf>
    <xf numFmtId="42" fontId="2" fillId="0" borderId="0" xfId="170" applyNumberFormat="1" applyFont="1" applyFill="1" applyBorder="1" applyAlignment="1">
      <alignment horizontal="center"/>
    </xf>
    <xf numFmtId="0" fontId="2" fillId="0" borderId="5" xfId="169" applyFont="1" applyFill="1" applyBorder="1"/>
    <xf numFmtId="0" fontId="2" fillId="0" borderId="5" xfId="169" applyFont="1" applyFill="1" applyBorder="1" applyAlignment="1">
      <alignment horizontal="center"/>
    </xf>
    <xf numFmtId="167" fontId="5" fillId="0" borderId="0" xfId="169" applyNumberFormat="1" applyFont="1" applyFill="1" applyBorder="1"/>
    <xf numFmtId="168" fontId="8" fillId="0" borderId="0" xfId="32" applyNumberFormat="1" applyFont="1" applyFill="1" applyBorder="1" applyAlignment="1">
      <alignment horizontal="right"/>
    </xf>
    <xf numFmtId="42" fontId="5" fillId="0" borderId="0" xfId="170" applyNumberFormat="1" applyFont="1" applyFill="1" applyBorder="1" applyAlignment="1">
      <alignment horizontal="center"/>
    </xf>
    <xf numFmtId="42" fontId="5" fillId="0" borderId="0" xfId="169" applyNumberFormat="1" applyFont="1" applyFill="1"/>
    <xf numFmtId="0" fontId="2" fillId="0" borderId="0" xfId="169" applyFont="1" applyFill="1" applyBorder="1" applyAlignment="1">
      <alignment horizontal="left"/>
    </xf>
    <xf numFmtId="0" fontId="42" fillId="0" borderId="0" xfId="169" applyFont="1" applyFill="1" applyBorder="1" applyAlignment="1">
      <alignment horizontal="center"/>
    </xf>
    <xf numFmtId="42" fontId="2" fillId="0" borderId="0" xfId="169" applyNumberFormat="1" applyFont="1" applyFill="1" applyBorder="1"/>
    <xf numFmtId="171" fontId="5" fillId="0" borderId="0" xfId="169" applyNumberFormat="1" applyFont="1"/>
    <xf numFmtId="0" fontId="2" fillId="0" borderId="0" xfId="169" applyFont="1" applyAlignment="1">
      <alignment wrapText="1"/>
    </xf>
    <xf numFmtId="0" fontId="5" fillId="0" borderId="0" xfId="169" applyFont="1" applyAlignment="1">
      <alignment wrapText="1"/>
    </xf>
    <xf numFmtId="10" fontId="5" fillId="0" borderId="0" xfId="150" applyNumberFormat="1" applyFont="1"/>
    <xf numFmtId="170" fontId="5" fillId="0" borderId="0" xfId="169" applyNumberFormat="1" applyFont="1" applyAlignment="1">
      <alignment horizontal="right"/>
    </xf>
    <xf numFmtId="171" fontId="2" fillId="0" borderId="0" xfId="169" applyNumberFormat="1" applyFont="1"/>
    <xf numFmtId="0" fontId="51" fillId="0" borderId="0" xfId="169" applyFont="1" applyAlignment="1">
      <alignment horizontal="right"/>
    </xf>
    <xf numFmtId="170" fontId="2" fillId="0" borderId="0" xfId="169" applyNumberFormat="1" applyFont="1" applyFill="1" applyBorder="1" applyAlignment="1">
      <alignment horizontal="right"/>
    </xf>
    <xf numFmtId="10" fontId="5" fillId="0" borderId="0" xfId="169" applyNumberFormat="1" applyFont="1" applyFill="1" applyBorder="1" applyAlignment="1">
      <alignment horizontal="center"/>
    </xf>
    <xf numFmtId="42" fontId="41" fillId="0" borderId="0" xfId="169" applyNumberFormat="1" applyFont="1" applyAlignment="1">
      <alignment vertical="top" wrapText="1"/>
    </xf>
    <xf numFmtId="171" fontId="41" fillId="0" borderId="0" xfId="169" applyNumberFormat="1" applyFont="1" applyAlignment="1">
      <alignment vertical="top" wrapText="1"/>
    </xf>
    <xf numFmtId="171" fontId="41" fillId="0" borderId="0" xfId="169" applyNumberFormat="1" applyFont="1" applyBorder="1" applyAlignment="1">
      <alignment vertical="top" wrapText="1"/>
    </xf>
    <xf numFmtId="171" fontId="2" fillId="0" borderId="0" xfId="169" applyNumberFormat="1" applyFont="1" applyBorder="1"/>
    <xf numFmtId="171" fontId="51" fillId="0" borderId="0" xfId="169" applyNumberFormat="1" applyFont="1" applyAlignment="1">
      <alignment horizontal="right"/>
    </xf>
    <xf numFmtId="171" fontId="2" fillId="0" borderId="0" xfId="169" applyNumberFormat="1" applyFont="1" applyFill="1" applyBorder="1" applyAlignment="1">
      <alignment horizontal="right"/>
    </xf>
    <xf numFmtId="171" fontId="2" fillId="0" borderId="0" xfId="170" applyNumberFormat="1" applyFont="1" applyFill="1" applyBorder="1" applyAlignment="1">
      <alignment horizontal="center"/>
    </xf>
    <xf numFmtId="42" fontId="41" fillId="0" borderId="0" xfId="169" applyNumberFormat="1" applyFont="1" applyBorder="1" applyAlignment="1">
      <alignment vertical="top" wrapText="1"/>
    </xf>
    <xf numFmtId="170" fontId="32" fillId="0" borderId="0" xfId="169" applyNumberFormat="1" applyFont="1" applyFill="1" applyBorder="1" applyAlignment="1">
      <alignment horizontal="right"/>
    </xf>
    <xf numFmtId="44" fontId="2" fillId="0" borderId="0" xfId="169" applyNumberFormat="1" applyFont="1" applyFill="1" applyBorder="1"/>
    <xf numFmtId="0" fontId="51" fillId="0" borderId="0" xfId="169" applyFont="1" applyBorder="1" applyAlignment="1">
      <alignment horizontal="right"/>
    </xf>
    <xf numFmtId="170" fontId="2" fillId="0" borderId="0" xfId="169" applyNumberFormat="1" applyFont="1" applyAlignment="1">
      <alignment horizontal="right"/>
    </xf>
    <xf numFmtId="42" fontId="9" fillId="0" borderId="0" xfId="170" applyNumberFormat="1" applyFont="1" applyFill="1" applyBorder="1"/>
    <xf numFmtId="42" fontId="5" fillId="0" borderId="0" xfId="169" applyNumberFormat="1" applyFont="1" applyFill="1" applyBorder="1"/>
    <xf numFmtId="44" fontId="2" fillId="0" borderId="0" xfId="170" applyFont="1" applyFill="1" applyBorder="1"/>
    <xf numFmtId="42" fontId="2" fillId="0" borderId="0" xfId="169" applyNumberFormat="1" applyFont="1" applyAlignment="1">
      <alignment horizontal="right"/>
    </xf>
    <xf numFmtId="10" fontId="2" fillId="0" borderId="0" xfId="150" applyNumberFormat="1" applyFont="1" applyFill="1" applyBorder="1" applyAlignment="1">
      <alignment horizontal="center"/>
    </xf>
    <xf numFmtId="10" fontId="9" fillId="0" borderId="0" xfId="169" applyNumberFormat="1" applyFont="1" applyFill="1" applyBorder="1" applyAlignment="1">
      <alignment horizontal="center"/>
    </xf>
    <xf numFmtId="170" fontId="40" fillId="0" borderId="0" xfId="106" applyNumberFormat="1" applyFont="1" applyFill="1" applyBorder="1"/>
    <xf numFmtId="0" fontId="49" fillId="0" borderId="0" xfId="169" applyFont="1" applyBorder="1"/>
    <xf numFmtId="0" fontId="50" fillId="0" borderId="0" xfId="169" applyFont="1" applyBorder="1"/>
    <xf numFmtId="0" fontId="40" fillId="0" borderId="23" xfId="169" applyFont="1" applyFill="1" applyBorder="1" applyAlignment="1">
      <alignment horizontal="center"/>
    </xf>
    <xf numFmtId="0" fontId="40" fillId="0" borderId="24" xfId="169" applyFont="1" applyFill="1" applyBorder="1" applyAlignment="1">
      <alignment horizontal="center"/>
    </xf>
    <xf numFmtId="0" fontId="40" fillId="0" borderId="25" xfId="169" applyFont="1" applyFill="1" applyBorder="1" applyAlignment="1">
      <alignment horizontal="center"/>
    </xf>
    <xf numFmtId="0" fontId="40" fillId="0" borderId="0" xfId="106" applyFont="1" applyFill="1" applyBorder="1" applyAlignment="1">
      <alignment horizontal="center"/>
    </xf>
    <xf numFmtId="0" fontId="40" fillId="3" borderId="23" xfId="106" applyFont="1" applyFill="1" applyBorder="1" applyAlignment="1">
      <alignment horizontal="center"/>
    </xf>
    <xf numFmtId="0" fontId="40" fillId="3" borderId="24" xfId="106" applyFont="1" applyFill="1" applyBorder="1" applyAlignment="1">
      <alignment horizontal="center"/>
    </xf>
    <xf numFmtId="0" fontId="40" fillId="3" borderId="25" xfId="106" applyFont="1" applyFill="1" applyBorder="1" applyAlignment="1">
      <alignment horizontal="center"/>
    </xf>
    <xf numFmtId="0" fontId="5" fillId="0" borderId="23" xfId="106" applyFont="1" applyFill="1" applyBorder="1" applyAlignment="1">
      <alignment horizontal="center"/>
    </xf>
    <xf numFmtId="0" fontId="5" fillId="0" borderId="24" xfId="106" applyFont="1" applyFill="1" applyBorder="1" applyAlignment="1">
      <alignment horizontal="center"/>
    </xf>
    <xf numFmtId="0" fontId="5" fillId="0" borderId="25" xfId="106" applyFont="1" applyFill="1" applyBorder="1" applyAlignment="1">
      <alignment horizontal="center"/>
    </xf>
    <xf numFmtId="0" fontId="5" fillId="0" borderId="23" xfId="169" applyFont="1" applyFill="1" applyBorder="1" applyAlignment="1">
      <alignment horizontal="center"/>
    </xf>
    <xf numFmtId="0" fontId="5" fillId="0" borderId="24" xfId="169" applyFont="1" applyFill="1" applyBorder="1" applyAlignment="1">
      <alignment horizontal="center"/>
    </xf>
    <xf numFmtId="0" fontId="5" fillId="0" borderId="25" xfId="169" applyFont="1" applyFill="1" applyBorder="1" applyAlignment="1">
      <alignment horizontal="center"/>
    </xf>
    <xf numFmtId="167" fontId="43" fillId="32" borderId="23" xfId="107" applyNumberFormat="1" applyFont="1" applyFill="1" applyBorder="1" applyAlignment="1">
      <alignment horizontal="center" vertical="center"/>
    </xf>
    <xf numFmtId="167" fontId="43" fillId="32" borderId="24" xfId="107" applyNumberFormat="1" applyFont="1" applyFill="1" applyBorder="1" applyAlignment="1">
      <alignment horizontal="center" vertical="center"/>
    </xf>
    <xf numFmtId="167" fontId="43" fillId="32" borderId="25" xfId="107" applyNumberFormat="1" applyFont="1" applyFill="1" applyBorder="1" applyAlignment="1">
      <alignment horizontal="center" vertical="center"/>
    </xf>
    <xf numFmtId="167" fontId="43" fillId="0" borderId="23" xfId="107" applyNumberFormat="1" applyFont="1" applyFill="1" applyBorder="1" applyAlignment="1">
      <alignment horizontal="center"/>
    </xf>
    <xf numFmtId="167" fontId="43" fillId="0" borderId="24" xfId="107" applyNumberFormat="1" applyFont="1" applyFill="1" applyBorder="1" applyAlignment="1">
      <alignment horizontal="center"/>
    </xf>
    <xf numFmtId="173" fontId="44" fillId="0" borderId="0" xfId="107" applyNumberFormat="1" applyFont="1" applyFill="1" applyBorder="1" applyAlignment="1">
      <alignment horizontal="center"/>
    </xf>
    <xf numFmtId="173" fontId="44" fillId="0" borderId="11" xfId="107" applyNumberFormat="1" applyFont="1" applyFill="1" applyBorder="1" applyAlignment="1">
      <alignment horizontal="center"/>
    </xf>
    <xf numFmtId="0" fontId="2" fillId="0" borderId="10" xfId="3" applyBorder="1" applyAlignment="1">
      <alignment horizontal="right"/>
    </xf>
    <xf numFmtId="0" fontId="2" fillId="0" borderId="0" xfId="3" applyBorder="1" applyAlignment="1">
      <alignment horizontal="right"/>
    </xf>
  </cellXfs>
  <cellStyles count="171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10" xfId="32"/>
    <cellStyle name="Comma 11" xfId="33"/>
    <cellStyle name="Comma 12" xfId="34"/>
    <cellStyle name="Comma 2" xfId="35"/>
    <cellStyle name="Comma 2 2" xfId="36"/>
    <cellStyle name="Comma 3" xfId="37"/>
    <cellStyle name="Comma 3 2" xfId="38"/>
    <cellStyle name="Comma 3 3" xfId="39"/>
    <cellStyle name="Comma 4" xfId="40"/>
    <cellStyle name="Comma 4 2" xfId="41"/>
    <cellStyle name="Comma 5" xfId="42"/>
    <cellStyle name="Comma 5 2" xfId="43"/>
    <cellStyle name="Comma 6" xfId="44"/>
    <cellStyle name="Comma 6 2" xfId="45"/>
    <cellStyle name="Comma 7" xfId="46"/>
    <cellStyle name="Comma 7 2" xfId="47"/>
    <cellStyle name="Comma 8" xfId="48"/>
    <cellStyle name="Comma 9" xfId="49"/>
    <cellStyle name="Currency [0] 2" xfId="50"/>
    <cellStyle name="Currency 10" xfId="51"/>
    <cellStyle name="Currency 11" xfId="170"/>
    <cellStyle name="Currency 2" xfId="52"/>
    <cellStyle name="Currency 2 2" xfId="53"/>
    <cellStyle name="Currency 2 2 2" xfId="54"/>
    <cellStyle name="Currency 2 3" xfId="55"/>
    <cellStyle name="Currency 2 4" xfId="56"/>
    <cellStyle name="Currency 3" xfId="57"/>
    <cellStyle name="Currency 3 2" xfId="58"/>
    <cellStyle name="Currency 3 3" xfId="59"/>
    <cellStyle name="Currency 4" xfId="60"/>
    <cellStyle name="Currency 4 2" xfId="61"/>
    <cellStyle name="Currency 4 2 2" xfId="62"/>
    <cellStyle name="Currency 4 3" xfId="63"/>
    <cellStyle name="Currency 4 4" xfId="64"/>
    <cellStyle name="Currency 5" xfId="65"/>
    <cellStyle name="Currency 5 2" xfId="66"/>
    <cellStyle name="Currency 5 2 2" xfId="67"/>
    <cellStyle name="Currency 5 3" xfId="68"/>
    <cellStyle name="Currency 5 3 2" xfId="69"/>
    <cellStyle name="Currency 5 3 3" xfId="70"/>
    <cellStyle name="Currency 5 4" xfId="71"/>
    <cellStyle name="Currency 5 5" xfId="72"/>
    <cellStyle name="Currency 5 6" xfId="73"/>
    <cellStyle name="Currency 6" xfId="74"/>
    <cellStyle name="Currency 6 2" xfId="75"/>
    <cellStyle name="Currency 7" xfId="76"/>
    <cellStyle name="Currency 8" xfId="77"/>
    <cellStyle name="Currency 9" xfId="78"/>
    <cellStyle name="Explanatory Text 2" xfId="79"/>
    <cellStyle name="Good 2" xfId="80"/>
    <cellStyle name="Heading 1 2" xfId="81"/>
    <cellStyle name="Heading 2 2" xfId="82"/>
    <cellStyle name="Heading 3 2" xfId="83"/>
    <cellStyle name="Heading 4 2" xfId="84"/>
    <cellStyle name="Hyperlink 2" xfId="85"/>
    <cellStyle name="Input 2" xfId="86"/>
    <cellStyle name="Linked Cell 2" xfId="87"/>
    <cellStyle name="Neutral 2" xfId="88"/>
    <cellStyle name="Normal" xfId="0" builtinId="0"/>
    <cellStyle name="Normal 10" xfId="1"/>
    <cellStyle name="Normal 10 2" xfId="89"/>
    <cellStyle name="Normal 10 3" xfId="90"/>
    <cellStyle name="Normal 10 3 2" xfId="91"/>
    <cellStyle name="Normal 11" xfId="92"/>
    <cellStyle name="Normal 11 2" xfId="93"/>
    <cellStyle name="Normal 11 2 2" xfId="94"/>
    <cellStyle name="Normal 12" xfId="95"/>
    <cellStyle name="Normal 13" xfId="96"/>
    <cellStyle name="Normal 13 2" xfId="97"/>
    <cellStyle name="Normal 14" xfId="98"/>
    <cellStyle name="Normal 14 2" xfId="99"/>
    <cellStyle name="Normal 15" xfId="100"/>
    <cellStyle name="Normal 16" xfId="101"/>
    <cellStyle name="Normal 17" xfId="102"/>
    <cellStyle name="Normal 17 2" xfId="103"/>
    <cellStyle name="Normal 18" xfId="104"/>
    <cellStyle name="Normal 19" xfId="105"/>
    <cellStyle name="Normal 2" xfId="106"/>
    <cellStyle name="Normal 2 2" xfId="107"/>
    <cellStyle name="Normal 2 2 2" xfId="108"/>
    <cellStyle name="Normal 2 3" xfId="109"/>
    <cellStyle name="Normal 2 4" xfId="110"/>
    <cellStyle name="Normal 2 5" xfId="111"/>
    <cellStyle name="Normal 2 5 2" xfId="112"/>
    <cellStyle name="Normal 20" xfId="113"/>
    <cellStyle name="Normal 21" xfId="114"/>
    <cellStyle name="Normal 22" xfId="115"/>
    <cellStyle name="Normal 23" xfId="116"/>
    <cellStyle name="Normal 24" xfId="169"/>
    <cellStyle name="Normal 3" xfId="117"/>
    <cellStyle name="Normal 3 2" xfId="118"/>
    <cellStyle name="Normal 3 3" xfId="119"/>
    <cellStyle name="Normal 3 4" xfId="120"/>
    <cellStyle name="Normal 3 5" xfId="121"/>
    <cellStyle name="Normal 4" xfId="3"/>
    <cellStyle name="Normal 4 2" xfId="122"/>
    <cellStyle name="Normal 4 2 2" xfId="123"/>
    <cellStyle name="Normal 4 2 2 2" xfId="124"/>
    <cellStyle name="Normal 4 2 3" xfId="125"/>
    <cellStyle name="Normal 4 3" xfId="126"/>
    <cellStyle name="Normal 5" xfId="127"/>
    <cellStyle name="Normal 5 2" xfId="128"/>
    <cellStyle name="Normal 6" xfId="129"/>
    <cellStyle name="Normal 6 2" xfId="2"/>
    <cellStyle name="Normal 6 2 2" xfId="130"/>
    <cellStyle name="Normal 6 3" xfId="131"/>
    <cellStyle name="Normal 7" xfId="132"/>
    <cellStyle name="Normal 7 2" xfId="133"/>
    <cellStyle name="Normal 8" xfId="134"/>
    <cellStyle name="Normal 8 2" xfId="135"/>
    <cellStyle name="Normal 8 3" xfId="136"/>
    <cellStyle name="Normal 8 4" xfId="137"/>
    <cellStyle name="Normal 8 5" xfId="138"/>
    <cellStyle name="Normal 9" xfId="139"/>
    <cellStyle name="Normal 9 2" xfId="140"/>
    <cellStyle name="Normal 9 2 2" xfId="141"/>
    <cellStyle name="Normal 9 2 3" xfId="142"/>
    <cellStyle name="Normal 9 3" xfId="143"/>
    <cellStyle name="Note 2" xfId="144"/>
    <cellStyle name="Output 2" xfId="145"/>
    <cellStyle name="Percent 10" xfId="146"/>
    <cellStyle name="Percent 11" xfId="147"/>
    <cellStyle name="Percent 12" xfId="148"/>
    <cellStyle name="Percent 2" xfId="149"/>
    <cellStyle name="Percent 2 2" xfId="4"/>
    <cellStyle name="Percent 3" xfId="150"/>
    <cellStyle name="Percent 3 2" xfId="151"/>
    <cellStyle name="Percent 3 3" xfId="152"/>
    <cellStyle name="Percent 4" xfId="153"/>
    <cellStyle name="Percent 4 2" xfId="154"/>
    <cellStyle name="Percent 5" xfId="155"/>
    <cellStyle name="Percent 5 2" xfId="156"/>
    <cellStyle name="Percent 5 2 2" xfId="157"/>
    <cellStyle name="Percent 5 3" xfId="158"/>
    <cellStyle name="Percent 6" xfId="159"/>
    <cellStyle name="Percent 6 2" xfId="160"/>
    <cellStyle name="Percent 6 3" xfId="161"/>
    <cellStyle name="Percent 7" xfId="162"/>
    <cellStyle name="Percent 7 2" xfId="163"/>
    <cellStyle name="Percent 8" xfId="164"/>
    <cellStyle name="Percent 9" xfId="165"/>
    <cellStyle name="Title 2" xfId="166"/>
    <cellStyle name="Total 2" xfId="167"/>
    <cellStyle name="Warning Text 2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Administrative%20Services-POS%20Policy%20Office\Rate%20Setting\Rate%20Projects\DPH%20-%20BSAS%20Residential\5.%20Final%20Rate%20Documents\POST-HEARING%20PROPOSAL%20Adult%20Resi_PP_Jail%20Div_2nd%20Off%20Mode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2%20Projects/Service%20Classes/Clubhouse%20Services/Rate%20calculations/Martha's%20Vineyard%20related/Martha's%20V%20Models%20preview%2012%206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_Pricing/POS/Year%202%20Projects/Service%20Classes/Clubhouse%20Services/Rate%20calculations/Martha's%20Vineyard%20related/Clubhouse%20Model%20Budgets%20Final%20Proposed%20Rat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ley/AppData/Local/Microsoft/Windows/Temporary%20Internet%20Files/Content.Outlook/99OJ7751/1.%202020%20Clubhouse%20Models%20and%20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chmark Table"/>
      <sheetName val="ADULT RESI MODELS"/>
      <sheetName val="JAIL DIVERSION MODELS"/>
      <sheetName val="2nd OFFENDER MODELS"/>
      <sheetName val="updated CAF"/>
      <sheetName val="FTE Chart"/>
      <sheetName val="Salaries Resi"/>
      <sheetName val="Travel noPP"/>
      <sheetName val="Occupancy "/>
      <sheetName val="OthProgExp&amp;Meals "/>
      <sheetName val="RecSp"/>
      <sheetName val="Counselor"/>
      <sheetName val="CleanData3386&amp;3401"/>
      <sheetName val="RawDataCalcs3386&amp;3401"/>
      <sheetName val="Source3386&amp;3401"/>
      <sheetName val="Preg&amp;PostP Source"/>
      <sheetName val="All Others (WomenNoPP+Men)"/>
      <sheetName val="JailD Travel"/>
      <sheetName val="Source4958"/>
      <sheetName val="2ndOffSource"/>
      <sheetName val="AdminAnlys"/>
      <sheetName val="CAF"/>
      <sheetName val="ALLClean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5">
          <cell r="L65">
            <v>0</v>
          </cell>
          <cell r="M65">
            <v>0.60401394157367827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27001.321817500786</v>
          </cell>
          <cell r="AA65">
            <v>17680</v>
          </cell>
          <cell r="AB65">
            <v>17680</v>
          </cell>
          <cell r="AC65">
            <v>18070.851702516127</v>
          </cell>
          <cell r="AD65">
            <v>0</v>
          </cell>
          <cell r="AE65">
            <v>0</v>
          </cell>
          <cell r="AF65">
            <v>17680</v>
          </cell>
          <cell r="AG65">
            <v>17680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17680</v>
          </cell>
          <cell r="AX65">
            <v>17680</v>
          </cell>
          <cell r="AY65">
            <v>0</v>
          </cell>
          <cell r="AZ65">
            <v>17680</v>
          </cell>
          <cell r="BA65">
            <v>17680</v>
          </cell>
          <cell r="BB65">
            <v>38683.69077867044</v>
          </cell>
          <cell r="BC65">
            <v>17680</v>
          </cell>
          <cell r="BD65">
            <v>17680</v>
          </cell>
          <cell r="BE65">
            <v>17680</v>
          </cell>
          <cell r="BF65">
            <v>17680</v>
          </cell>
          <cell r="BG65">
            <v>17680</v>
          </cell>
          <cell r="BH65">
            <v>20933.577544700503</v>
          </cell>
          <cell r="BI65">
            <v>18113.272969175363</v>
          </cell>
          <cell r="BJ65">
            <v>17680</v>
          </cell>
          <cell r="BK65">
            <v>0</v>
          </cell>
          <cell r="BL65">
            <v>20636.434820465383</v>
          </cell>
          <cell r="BM65">
            <v>17680</v>
          </cell>
          <cell r="BN65">
            <v>25004.04305351575</v>
          </cell>
          <cell r="BO65">
            <v>17680</v>
          </cell>
          <cell r="BP65">
            <v>17680</v>
          </cell>
          <cell r="BQ65">
            <v>0</v>
          </cell>
          <cell r="BR65">
            <v>17680</v>
          </cell>
          <cell r="BS65">
            <v>18141.222518283183</v>
          </cell>
          <cell r="BT65">
            <v>-41676.244265701374</v>
          </cell>
          <cell r="BU65">
            <v>8.7288553321896611E-2</v>
          </cell>
          <cell r="BV65">
            <v>-7668.9054664861869</v>
          </cell>
          <cell r="BW65">
            <v>-42994.589046928275</v>
          </cell>
          <cell r="BX65">
            <v>-31114.543559342434</v>
          </cell>
          <cell r="BY65">
            <v>-56549.921023847928</v>
          </cell>
          <cell r="BZ65">
            <v>-97003.786231626596</v>
          </cell>
          <cell r="CA65">
            <v>-313429.46542299842</v>
          </cell>
          <cell r="CB65">
            <v>-8.2635046624321695E-2</v>
          </cell>
          <cell r="CC65">
            <v>-43306.662961698195</v>
          </cell>
          <cell r="CD65">
            <v>-12782.185157235559</v>
          </cell>
          <cell r="CE65">
            <v>-49503.565553759647</v>
          </cell>
          <cell r="CF65">
            <v>0</v>
          </cell>
          <cell r="CG65">
            <v>-163357.23525071022</v>
          </cell>
          <cell r="CH65">
            <v>-92717.288808833691</v>
          </cell>
          <cell r="CI65">
            <v>-174238.57910238783</v>
          </cell>
          <cell r="CJ65">
            <v>-42994.589046928275</v>
          </cell>
          <cell r="CK65">
            <v>-63601.184466556078</v>
          </cell>
          <cell r="CL65">
            <v>-56549.921023847928</v>
          </cell>
          <cell r="CM65">
            <v>-24625.24467496722</v>
          </cell>
          <cell r="CN65">
            <v>-97003.786231626596</v>
          </cell>
          <cell r="CO65">
            <v>-351019.03335486259</v>
          </cell>
          <cell r="CP65">
            <v>0.29484957486879515</v>
          </cell>
          <cell r="CQ65">
            <v>5.4246351913831613E-2</v>
          </cell>
          <cell r="CR65">
            <v>4.5873466392117951E-2</v>
          </cell>
          <cell r="CS65">
            <v>3.5437273933393951E-2</v>
          </cell>
          <cell r="CT65">
            <v>-1.2333323520703935E-2</v>
          </cell>
          <cell r="CU65">
            <v>2.2913027561376476E-3</v>
          </cell>
          <cell r="CV65">
            <v>-2001.7395150477046</v>
          </cell>
          <cell r="CW65">
            <v>-449.92512739559015</v>
          </cell>
          <cell r="CX65">
            <v>-669.49380618456928</v>
          </cell>
          <cell r="CY65">
            <v>-742.75307693203445</v>
          </cell>
          <cell r="CZ65">
            <v>-28.06467652645356</v>
          </cell>
          <cell r="DA65">
            <v>-1831.0673764395974</v>
          </cell>
          <cell r="DB65">
            <v>-5722.7534056118502</v>
          </cell>
        </row>
        <row r="66">
          <cell r="L66">
            <v>68.638763831408127</v>
          </cell>
          <cell r="M66">
            <v>1.1713867216116371</v>
          </cell>
          <cell r="N66">
            <v>3.5436133878559533</v>
          </cell>
          <cell r="O66">
            <v>0.95881574526748314</v>
          </cell>
          <cell r="P66">
            <v>2.9922523651988402</v>
          </cell>
          <cell r="Q66">
            <v>0</v>
          </cell>
          <cell r="R66">
            <v>22.160404778842953</v>
          </cell>
          <cell r="S66">
            <v>7.4242654635805723</v>
          </cell>
          <cell r="T66">
            <v>2.8643600293925418</v>
          </cell>
          <cell r="U66">
            <v>5.1022146796734415E-3</v>
          </cell>
          <cell r="V66">
            <v>12.069142094975193</v>
          </cell>
          <cell r="W66">
            <v>0</v>
          </cell>
          <cell r="X66">
            <v>9.5889565937970307</v>
          </cell>
          <cell r="Y66">
            <v>7.3186088533890681</v>
          </cell>
          <cell r="Z66">
            <v>89011.525515165966</v>
          </cell>
          <cell r="AA66">
            <v>124711.18739604187</v>
          </cell>
          <cell r="AB66">
            <v>61892.043668045008</v>
          </cell>
          <cell r="AC66">
            <v>87195.593448715823</v>
          </cell>
          <cell r="AD66">
            <v>0</v>
          </cell>
          <cell r="AE66">
            <v>0</v>
          </cell>
          <cell r="AF66">
            <v>167549.29408607361</v>
          </cell>
          <cell r="AG66">
            <v>79437.240789242293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115332.99841003475</v>
          </cell>
          <cell r="AX66">
            <v>90839.543238665152</v>
          </cell>
          <cell r="AY66">
            <v>0</v>
          </cell>
          <cell r="AZ66">
            <v>59076.726041829606</v>
          </cell>
          <cell r="BA66">
            <v>55600.502579381842</v>
          </cell>
          <cell r="BB66">
            <v>46993.941797087129</v>
          </cell>
          <cell r="BC66">
            <v>47942.60200592941</v>
          </cell>
          <cell r="BD66">
            <v>85121.186442077829</v>
          </cell>
          <cell r="BE66">
            <v>60150.264866991725</v>
          </cell>
          <cell r="BF66">
            <v>37107.840583638354</v>
          </cell>
          <cell r="BG66">
            <v>34103.875436210852</v>
          </cell>
          <cell r="BH66">
            <v>43390.477411873391</v>
          </cell>
          <cell r="BI66">
            <v>42074.135709455113</v>
          </cell>
          <cell r="BJ66">
            <v>36682.268470282579</v>
          </cell>
          <cell r="BK66">
            <v>0</v>
          </cell>
          <cell r="BL66">
            <v>44994.274591165755</v>
          </cell>
          <cell r="BM66">
            <v>97222.235686431435</v>
          </cell>
          <cell r="BN66">
            <v>90762.603215714815</v>
          </cell>
          <cell r="BO66">
            <v>119552.2873416293</v>
          </cell>
          <cell r="BP66">
            <v>75684.090495463184</v>
          </cell>
          <cell r="BQ66">
            <v>0</v>
          </cell>
          <cell r="BR66">
            <v>46682.215048048798</v>
          </cell>
          <cell r="BS66">
            <v>41691.468549205456</v>
          </cell>
          <cell r="BT66">
            <v>215813.24914156343</v>
          </cell>
          <cell r="BU66">
            <v>0.38712105109997308</v>
          </cell>
          <cell r="BV66">
            <v>12566.14239091755</v>
          </cell>
          <cell r="BW66">
            <v>212234.356998359</v>
          </cell>
          <cell r="BX66">
            <v>46071.344248997601</v>
          </cell>
          <cell r="BY66">
            <v>226902.57309281343</v>
          </cell>
          <cell r="BZ66">
            <v>349599.7084215752</v>
          </cell>
          <cell r="CA66">
            <v>1685831.3957882223</v>
          </cell>
          <cell r="CB66">
            <v>0.48343558589893837</v>
          </cell>
          <cell r="CC66">
            <v>173231.84261687062</v>
          </cell>
          <cell r="CD66">
            <v>15056.319295166595</v>
          </cell>
          <cell r="CE66">
            <v>70578.736588242406</v>
          </cell>
          <cell r="CF66">
            <v>0</v>
          </cell>
          <cell r="CG66">
            <v>643703.17145760683</v>
          </cell>
          <cell r="CH66">
            <v>168723.38432607506</v>
          </cell>
          <cell r="CI66">
            <v>883865.09565411182</v>
          </cell>
          <cell r="CJ66">
            <v>212234.356998359</v>
          </cell>
          <cell r="CK66">
            <v>311211.60929414228</v>
          </cell>
          <cell r="CL66">
            <v>226902.57309281343</v>
          </cell>
          <cell r="CM66">
            <v>64778.990192208599</v>
          </cell>
          <cell r="CN66">
            <v>349599.7084215752</v>
          </cell>
          <cell r="CO66">
            <v>1940598.0624617594</v>
          </cell>
          <cell r="CP66">
            <v>0.59656020338447291</v>
          </cell>
          <cell r="CQ66">
            <v>0.1566637906768488</v>
          </cell>
          <cell r="CR66">
            <v>0.27180008495921093</v>
          </cell>
          <cell r="CS66">
            <v>0.17157983368640611</v>
          </cell>
          <cell r="CT66">
            <v>6.7111788746459594E-2</v>
          </cell>
          <cell r="CU66">
            <v>0.32064193368800842</v>
          </cell>
          <cell r="CV66">
            <v>2362.7914588359358</v>
          </cell>
          <cell r="CW66">
            <v>531.92173452915699</v>
          </cell>
          <cell r="CX66">
            <v>790.78617106937202</v>
          </cell>
          <cell r="CY66">
            <v>866.65490806017237</v>
          </cell>
          <cell r="CZ66">
            <v>36.082840081274462</v>
          </cell>
          <cell r="DA66">
            <v>2121.643831764482</v>
          </cell>
          <cell r="DB66">
            <v>6709.5907714262949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 take on MV options"/>
      <sheetName val="Narrowed, &amp; an MV-specific modl"/>
      <sheetName val="Sheet3"/>
    </sheetNames>
    <sheetDataSet>
      <sheetData sheetId="0" refreshError="1"/>
      <sheetData sheetId="1" refreshError="1">
        <row r="33">
          <cell r="C33" t="str">
            <v>Days: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FI"/>
      <sheetName val="Fiscal Impact"/>
      <sheetName val="Model Budgets"/>
      <sheetName val="FTE Ratios"/>
      <sheetName val="FTE Ratios Sctrplts"/>
      <sheetName val="Revised Contract Budget Data"/>
      <sheetName val="Reg Var"/>
      <sheetName val="FY09 Exp"/>
      <sheetName val="FY09 FTE, Sal"/>
      <sheetName val="FTE, Sal Calcs"/>
      <sheetName val="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P19">
            <v>313</v>
          </cell>
        </row>
      </sheetData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"/>
      <sheetName val="Spring 2019 CAF"/>
      <sheetName val="RAA"/>
      <sheetName val="wip"/>
      <sheetName val="CURRENT 2018 Review Models "/>
      <sheetName val="Current Models"/>
      <sheetName val="FY15 days &amp; attendance"/>
      <sheetName val="CAF Spring 2015"/>
      <sheetName val="2020 Proposed Models "/>
      <sheetName val="PivotData"/>
      <sheetName val="Sheet3"/>
      <sheetName val="Pivot (2)"/>
      <sheetName val="FTE's"/>
      <sheetName val="Sheet2"/>
      <sheetName val="CAF Fall 2018"/>
      <sheetName val="Excerpt for Reg"/>
    </sheetNames>
    <sheetDataSet>
      <sheetData sheetId="0" refreshError="1"/>
      <sheetData sheetId="1">
        <row r="25">
          <cell r="BU25">
            <v>1.8120393120392975E-2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5">
          <cell r="Q5">
            <v>58</v>
          </cell>
        </row>
        <row r="6">
          <cell r="Q6">
            <v>56</v>
          </cell>
        </row>
        <row r="7">
          <cell r="Q7">
            <v>50</v>
          </cell>
        </row>
        <row r="8">
          <cell r="Q8">
            <v>50</v>
          </cell>
        </row>
        <row r="9">
          <cell r="Q9">
            <v>50</v>
          </cell>
        </row>
        <row r="10">
          <cell r="Q10">
            <v>49</v>
          </cell>
        </row>
        <row r="11">
          <cell r="Q11">
            <v>48</v>
          </cell>
        </row>
        <row r="12">
          <cell r="Q12">
            <v>45</v>
          </cell>
        </row>
        <row r="13">
          <cell r="Q13">
            <v>44</v>
          </cell>
        </row>
        <row r="14">
          <cell r="Q14">
            <v>44</v>
          </cell>
        </row>
        <row r="15">
          <cell r="Q15">
            <v>42</v>
          </cell>
        </row>
        <row r="16">
          <cell r="Q16">
            <v>42</v>
          </cell>
        </row>
        <row r="17">
          <cell r="Q17">
            <v>42</v>
          </cell>
        </row>
        <row r="18">
          <cell r="Q18">
            <v>41</v>
          </cell>
        </row>
        <row r="19">
          <cell r="Q19">
            <v>40</v>
          </cell>
        </row>
        <row r="20">
          <cell r="Q20">
            <v>40</v>
          </cell>
        </row>
        <row r="21">
          <cell r="Q21">
            <v>40</v>
          </cell>
        </row>
        <row r="22">
          <cell r="Q22">
            <v>40</v>
          </cell>
        </row>
        <row r="23">
          <cell r="Q23">
            <v>39</v>
          </cell>
        </row>
        <row r="24">
          <cell r="Q24">
            <v>35</v>
          </cell>
        </row>
        <row r="25">
          <cell r="Q25">
            <v>35</v>
          </cell>
        </row>
        <row r="26">
          <cell r="Q26">
            <v>35</v>
          </cell>
        </row>
        <row r="27">
          <cell r="Q27">
            <v>35</v>
          </cell>
        </row>
        <row r="28">
          <cell r="Q28">
            <v>34</v>
          </cell>
        </row>
        <row r="29">
          <cell r="Q29">
            <v>34</v>
          </cell>
        </row>
        <row r="30">
          <cell r="Q30">
            <v>32</v>
          </cell>
        </row>
        <row r="31">
          <cell r="Q31">
            <v>31</v>
          </cell>
        </row>
        <row r="32">
          <cell r="Q32">
            <v>30</v>
          </cell>
        </row>
        <row r="33">
          <cell r="Q33">
            <v>30</v>
          </cell>
        </row>
        <row r="34">
          <cell r="Q34">
            <v>27</v>
          </cell>
        </row>
        <row r="35">
          <cell r="Q35">
            <v>27</v>
          </cell>
        </row>
        <row r="36">
          <cell r="Q36">
            <v>22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"/>
  <sheetViews>
    <sheetView tabSelected="1" topLeftCell="J24" zoomScale="85" zoomScaleNormal="85" zoomScaleSheetLayoutView="55" zoomScalePageLayoutView="70" workbookViewId="0">
      <selection activeCell="T45" sqref="T45"/>
    </sheetView>
  </sheetViews>
  <sheetFormatPr defaultColWidth="9.7109375" defaultRowHeight="12.75" x14ac:dyDescent="0.2"/>
  <cols>
    <col min="1" max="1" width="6.28515625" style="45" customWidth="1"/>
    <col min="2" max="2" width="27.42578125" style="45" customWidth="1"/>
    <col min="3" max="3" width="11.85546875" style="45" customWidth="1"/>
    <col min="4" max="4" width="8.5703125" style="45" customWidth="1"/>
    <col min="5" max="5" width="9.140625" style="45" customWidth="1"/>
    <col min="6" max="6" width="12.7109375" style="252" customWidth="1"/>
    <col min="7" max="7" width="2.42578125" style="45" customWidth="1"/>
    <col min="8" max="8" width="27.42578125" style="45" customWidth="1"/>
    <col min="9" max="9" width="11.85546875" style="45" customWidth="1"/>
    <col min="10" max="10" width="8.5703125" style="45" customWidth="1"/>
    <col min="11" max="11" width="9.140625" style="45" customWidth="1"/>
    <col min="12" max="12" width="10.7109375" style="252" customWidth="1"/>
    <col min="13" max="13" width="4.42578125" style="43" customWidth="1"/>
    <col min="14" max="14" width="4.42578125" style="45" customWidth="1"/>
    <col min="15" max="15" width="34.140625" style="45" customWidth="1"/>
    <col min="16" max="16" width="13.28515625" style="45" customWidth="1"/>
    <col min="17" max="17" width="5.85546875" style="45" customWidth="1"/>
    <col min="18" max="18" width="56.140625" style="45" customWidth="1"/>
    <col min="19" max="19" width="10.28515625" style="45" bestFit="1" customWidth="1"/>
    <col min="20" max="20" width="27.42578125" style="45" customWidth="1"/>
    <col min="21" max="21" width="11.85546875" style="45" customWidth="1"/>
    <col min="22" max="22" width="8.5703125" style="45" customWidth="1"/>
    <col min="23" max="23" width="9.140625" style="45" customWidth="1"/>
    <col min="24" max="24" width="10.7109375" style="45" customWidth="1"/>
    <col min="25" max="25" width="2.42578125" style="43" customWidth="1"/>
    <col min="26" max="16384" width="9.7109375" style="45"/>
  </cols>
  <sheetData>
    <row r="1" spans="1:25" s="41" customFormat="1" ht="15.6" x14ac:dyDescent="0.3">
      <c r="A1" s="38" t="s">
        <v>105</v>
      </c>
      <c r="B1" s="39"/>
      <c r="C1" s="39"/>
      <c r="D1" s="39"/>
      <c r="E1" s="39"/>
      <c r="F1" s="40"/>
      <c r="G1" s="39"/>
      <c r="H1" s="39"/>
      <c r="I1" s="39"/>
      <c r="J1" s="39"/>
      <c r="K1" s="39"/>
      <c r="L1" s="40"/>
      <c r="M1" s="39"/>
      <c r="Y1" s="39"/>
    </row>
    <row r="2" spans="1:25" ht="26.45" customHeight="1" x14ac:dyDescent="0.25">
      <c r="A2" s="42" t="s">
        <v>106</v>
      </c>
      <c r="B2" s="43"/>
      <c r="C2" s="43"/>
      <c r="D2" s="43"/>
      <c r="E2" s="43"/>
      <c r="F2" s="44"/>
      <c r="G2" s="43"/>
      <c r="H2" s="43"/>
      <c r="I2" s="43"/>
      <c r="J2" s="43"/>
      <c r="K2" s="43"/>
      <c r="L2" s="44"/>
    </row>
    <row r="3" spans="1:25" ht="13.9" hidden="1" customHeight="1" thickBot="1" x14ac:dyDescent="0.3">
      <c r="A3" s="43"/>
      <c r="B3" s="358" t="s">
        <v>107</v>
      </c>
      <c r="C3" s="359"/>
      <c r="D3" s="359"/>
      <c r="E3" s="359"/>
      <c r="F3" s="360"/>
      <c r="G3" s="46"/>
      <c r="H3" s="358" t="s">
        <v>108</v>
      </c>
      <c r="I3" s="359"/>
      <c r="J3" s="359"/>
      <c r="K3" s="359"/>
      <c r="L3" s="360"/>
      <c r="M3" s="47"/>
      <c r="N3" s="361"/>
      <c r="O3" s="361"/>
      <c r="P3" s="361"/>
      <c r="Q3" s="361"/>
      <c r="R3" s="361"/>
      <c r="S3" s="48"/>
      <c r="Y3" s="47"/>
    </row>
    <row r="4" spans="1:25" ht="13.9" hidden="1" thickBot="1" x14ac:dyDescent="0.3">
      <c r="A4" s="43"/>
      <c r="B4" s="49" t="s">
        <v>109</v>
      </c>
      <c r="C4" s="50">
        <v>83</v>
      </c>
      <c r="D4" s="51" t="s">
        <v>110</v>
      </c>
      <c r="E4" s="52">
        <v>312</v>
      </c>
      <c r="F4" s="53">
        <f>E4*C4</f>
        <v>25896</v>
      </c>
      <c r="G4" s="50"/>
      <c r="H4" s="49" t="s">
        <v>109</v>
      </c>
      <c r="I4" s="50">
        <v>46</v>
      </c>
      <c r="J4" s="51" t="s">
        <v>110</v>
      </c>
      <c r="K4" s="52">
        <v>312</v>
      </c>
      <c r="L4" s="53">
        <f>K4*I4</f>
        <v>14352</v>
      </c>
      <c r="M4" s="54"/>
      <c r="N4" s="51"/>
      <c r="O4" s="362" t="s">
        <v>111</v>
      </c>
      <c r="P4" s="363"/>
      <c r="Q4" s="363"/>
      <c r="R4" s="363"/>
      <c r="S4" s="364"/>
      <c r="Y4" s="54"/>
    </row>
    <row r="5" spans="1:25" ht="13.15" hidden="1" x14ac:dyDescent="0.25">
      <c r="A5" s="43"/>
      <c r="B5" s="55"/>
      <c r="C5" s="50"/>
      <c r="D5" s="56"/>
      <c r="E5" s="56"/>
      <c r="F5" s="57"/>
      <c r="G5" s="46"/>
      <c r="H5" s="55"/>
      <c r="I5" s="56"/>
      <c r="J5" s="56"/>
      <c r="K5" s="56"/>
      <c r="L5" s="57"/>
      <c r="M5" s="58"/>
      <c r="N5" s="59"/>
      <c r="O5" s="60" t="s">
        <v>109</v>
      </c>
      <c r="P5" s="61">
        <v>9.31</v>
      </c>
      <c r="Q5" s="62" t="str">
        <f>'[6]Narrowed, &amp; an MV-specific modl'!$C$33</f>
        <v>Days:</v>
      </c>
      <c r="R5" s="63">
        <f>'[7]FY09 FTE, Sal'!$P$19</f>
        <v>313</v>
      </c>
      <c r="S5" s="64">
        <f>P5*R5</f>
        <v>2914.03</v>
      </c>
      <c r="Y5" s="58"/>
    </row>
    <row r="6" spans="1:25" ht="13.15" hidden="1" x14ac:dyDescent="0.25">
      <c r="A6" s="43"/>
      <c r="B6" s="65"/>
      <c r="C6" s="66" t="s">
        <v>112</v>
      </c>
      <c r="D6" s="67" t="s">
        <v>113</v>
      </c>
      <c r="E6" s="67" t="s">
        <v>114</v>
      </c>
      <c r="F6" s="68" t="s">
        <v>115</v>
      </c>
      <c r="G6" s="46"/>
      <c r="H6" s="65"/>
      <c r="I6" s="66" t="s">
        <v>112</v>
      </c>
      <c r="J6" s="67" t="s">
        <v>113</v>
      </c>
      <c r="K6" s="67" t="s">
        <v>114</v>
      </c>
      <c r="L6" s="68" t="s">
        <v>115</v>
      </c>
      <c r="M6" s="69"/>
      <c r="N6" s="61"/>
      <c r="O6" s="70"/>
      <c r="P6" s="59"/>
      <c r="Q6" s="71"/>
      <c r="R6" s="71"/>
      <c r="S6" s="72"/>
      <c r="Y6" s="69"/>
    </row>
    <row r="7" spans="1:25" ht="13.15" hidden="1" x14ac:dyDescent="0.25">
      <c r="A7" s="43"/>
      <c r="B7" s="55" t="s">
        <v>116</v>
      </c>
      <c r="C7" s="73">
        <v>64.5</v>
      </c>
      <c r="D7" s="56">
        <v>52598.04</v>
      </c>
      <c r="E7" s="74">
        <f>C4/C7</f>
        <v>1.2868217054263567</v>
      </c>
      <c r="F7" s="75">
        <f>E7*D7</f>
        <v>67684.299534883728</v>
      </c>
      <c r="G7" s="46"/>
      <c r="H7" s="55" t="s">
        <v>116</v>
      </c>
      <c r="I7" s="73">
        <v>36.07971899816738</v>
      </c>
      <c r="J7" s="56">
        <v>52598.04</v>
      </c>
      <c r="K7" s="74">
        <f>I4/I7</f>
        <v>1.2749544973544973</v>
      </c>
      <c r="L7" s="75">
        <f>K7*J7</f>
        <v>67060.107650031743</v>
      </c>
      <c r="M7" s="76"/>
      <c r="N7" s="61"/>
      <c r="O7" s="77"/>
      <c r="P7" s="78" t="s">
        <v>117</v>
      </c>
      <c r="Q7" s="79" t="s">
        <v>113</v>
      </c>
      <c r="R7" s="79" t="s">
        <v>114</v>
      </c>
      <c r="S7" s="80" t="s">
        <v>115</v>
      </c>
      <c r="Y7" s="76"/>
    </row>
    <row r="8" spans="1:25" ht="13.15" hidden="1" x14ac:dyDescent="0.25">
      <c r="A8" s="43"/>
      <c r="B8" s="81" t="s">
        <v>118</v>
      </c>
      <c r="C8" s="73">
        <v>10.37037037037037</v>
      </c>
      <c r="D8" s="56">
        <v>37018.99</v>
      </c>
      <c r="E8" s="74">
        <f>C4/C8</f>
        <v>8.0035714285714281</v>
      </c>
      <c r="F8" s="82">
        <f>E8*D8</f>
        <v>296284.13067857141</v>
      </c>
      <c r="G8" s="46"/>
      <c r="H8" s="81" t="s">
        <v>118</v>
      </c>
      <c r="I8" s="83">
        <v>6.9909208819714665</v>
      </c>
      <c r="J8" s="56">
        <v>37018.99</v>
      </c>
      <c r="K8" s="74">
        <f>I4/I8</f>
        <v>6.5799628942486077</v>
      </c>
      <c r="L8" s="82">
        <f>K8*J8</f>
        <v>243583.58058256024</v>
      </c>
      <c r="M8" s="84"/>
      <c r="N8" s="61"/>
      <c r="O8" s="77" t="s">
        <v>116</v>
      </c>
      <c r="P8" s="85">
        <f>1/0.0071</f>
        <v>140.8450704225352</v>
      </c>
      <c r="Q8" s="86">
        <v>52598.04</v>
      </c>
      <c r="R8" s="87">
        <f>9.31/140.8</f>
        <v>6.6122159090909086E-2</v>
      </c>
      <c r="S8" s="88">
        <f>R8*Q8</f>
        <v>3477.8959687499996</v>
      </c>
      <c r="Y8" s="84"/>
    </row>
    <row r="9" spans="1:25" ht="13.15" hidden="1" x14ac:dyDescent="0.25">
      <c r="A9" s="43"/>
      <c r="B9" s="89" t="s">
        <v>119</v>
      </c>
      <c r="C9" s="90"/>
      <c r="D9" s="90"/>
      <c r="E9" s="91">
        <f>SUM(E7:E8)</f>
        <v>9.2903931339977852</v>
      </c>
      <c r="F9" s="92">
        <f>SUM(F7:F8)</f>
        <v>363968.43021345511</v>
      </c>
      <c r="G9" s="46"/>
      <c r="H9" s="89" t="s">
        <v>119</v>
      </c>
      <c r="I9" s="90"/>
      <c r="J9" s="90"/>
      <c r="K9" s="91">
        <f>SUM(K7:K8)</f>
        <v>7.854917391603105</v>
      </c>
      <c r="L9" s="92">
        <f>SUM(L7:L8)</f>
        <v>310643.68823259196</v>
      </c>
      <c r="M9" s="93"/>
      <c r="N9" s="94"/>
      <c r="O9" s="77" t="s">
        <v>118</v>
      </c>
      <c r="P9" s="85">
        <f>1/0.227</f>
        <v>4.4052863436123344</v>
      </c>
      <c r="Q9" s="95">
        <v>37018.99</v>
      </c>
      <c r="R9" s="87">
        <f>9.31/4.4</f>
        <v>2.1159090909090907</v>
      </c>
      <c r="S9" s="96">
        <f>R9*Q9</f>
        <v>78328.817477272722</v>
      </c>
      <c r="Y9" s="93"/>
    </row>
    <row r="10" spans="1:25" ht="13.15" hidden="1" x14ac:dyDescent="0.25">
      <c r="A10" s="43"/>
      <c r="B10" s="97"/>
      <c r="C10" s="98"/>
      <c r="D10" s="66" t="s">
        <v>120</v>
      </c>
      <c r="E10" s="98"/>
      <c r="F10" s="99"/>
      <c r="G10" s="46"/>
      <c r="H10" s="97"/>
      <c r="I10" s="98"/>
      <c r="J10" s="66" t="s">
        <v>120</v>
      </c>
      <c r="K10" s="98"/>
      <c r="L10" s="99"/>
      <c r="M10" s="100"/>
      <c r="N10" s="101"/>
      <c r="O10" s="102"/>
      <c r="P10" s="103"/>
      <c r="Q10" s="104"/>
      <c r="R10" s="105">
        <f>SUM(R8+R9)</f>
        <v>2.1820312499999996</v>
      </c>
      <c r="S10" s="106">
        <f>SUM(S8+S9)</f>
        <v>81806.713446022724</v>
      </c>
      <c r="Y10" s="100"/>
    </row>
    <row r="11" spans="1:25" ht="13.15" hidden="1" x14ac:dyDescent="0.25">
      <c r="A11" s="43"/>
      <c r="B11" s="65" t="s">
        <v>121</v>
      </c>
      <c r="C11" s="50"/>
      <c r="D11" s="107">
        <v>0.23499999999999999</v>
      </c>
      <c r="E11" s="108"/>
      <c r="F11" s="75">
        <f>F9*D11</f>
        <v>85532.581100161944</v>
      </c>
      <c r="G11" s="46"/>
      <c r="H11" s="65" t="s">
        <v>121</v>
      </c>
      <c r="I11" s="50"/>
      <c r="J11" s="107">
        <v>0.23499999999999999</v>
      </c>
      <c r="K11" s="109" t="s">
        <v>122</v>
      </c>
      <c r="L11" s="75">
        <f>L9*J11</f>
        <v>73001.266734659104</v>
      </c>
      <c r="M11" s="76"/>
      <c r="N11" s="61"/>
      <c r="O11" s="110"/>
      <c r="P11" s="111"/>
      <c r="Q11" s="78"/>
      <c r="R11" s="101"/>
      <c r="S11" s="112"/>
      <c r="Y11" s="76"/>
    </row>
    <row r="12" spans="1:25" ht="13.15" hidden="1" x14ac:dyDescent="0.25">
      <c r="A12" s="43"/>
      <c r="B12" s="65"/>
      <c r="C12" s="50"/>
      <c r="D12" s="107"/>
      <c r="E12" s="50"/>
      <c r="F12" s="99"/>
      <c r="G12" s="46"/>
      <c r="H12" s="65"/>
      <c r="I12" s="50"/>
      <c r="J12" s="107"/>
      <c r="K12" s="50"/>
      <c r="L12" s="99"/>
      <c r="M12" s="100"/>
      <c r="N12" s="61"/>
      <c r="O12" s="77" t="s">
        <v>121</v>
      </c>
      <c r="P12" s="61"/>
      <c r="Q12" s="113">
        <v>0.23599999999999999</v>
      </c>
      <c r="R12" s="114"/>
      <c r="S12" s="88">
        <f>S10*Q12</f>
        <v>19306.38437326136</v>
      </c>
      <c r="Y12" s="100"/>
    </row>
    <row r="13" spans="1:25" ht="13.15" hidden="1" x14ac:dyDescent="0.25">
      <c r="A13" s="43"/>
      <c r="B13" s="89" t="s">
        <v>123</v>
      </c>
      <c r="C13" s="90"/>
      <c r="D13" s="115"/>
      <c r="E13" s="90"/>
      <c r="F13" s="92">
        <f>SUM(F9:F11)</f>
        <v>449501.01131361705</v>
      </c>
      <c r="G13" s="46"/>
      <c r="H13" s="89" t="s">
        <v>123</v>
      </c>
      <c r="I13" s="90"/>
      <c r="J13" s="115"/>
      <c r="K13" s="90"/>
      <c r="L13" s="92">
        <f>SUM(L9:L11)</f>
        <v>383644.95496725105</v>
      </c>
      <c r="M13" s="93"/>
      <c r="N13" s="101"/>
      <c r="O13" s="77"/>
      <c r="P13" s="116"/>
      <c r="Q13" s="113"/>
      <c r="R13" s="61"/>
      <c r="S13" s="112"/>
      <c r="Y13" s="93"/>
    </row>
    <row r="14" spans="1:25" ht="13.15" hidden="1" x14ac:dyDescent="0.25">
      <c r="A14" s="43"/>
      <c r="B14" s="65"/>
      <c r="C14" s="50"/>
      <c r="D14" s="107"/>
      <c r="E14" s="66" t="s">
        <v>124</v>
      </c>
      <c r="F14" s="99"/>
      <c r="G14" s="46"/>
      <c r="H14" s="65"/>
      <c r="I14" s="50"/>
      <c r="J14" s="107"/>
      <c r="K14" s="66" t="s">
        <v>124</v>
      </c>
      <c r="L14" s="99"/>
      <c r="M14" s="100"/>
      <c r="N14" s="61"/>
      <c r="O14" s="117" t="s">
        <v>123</v>
      </c>
      <c r="P14" s="103"/>
      <c r="Q14" s="118"/>
      <c r="R14" s="104"/>
      <c r="S14" s="106">
        <f>SUM(S10+S12)</f>
        <v>101113.09781928408</v>
      </c>
      <c r="Y14" s="100"/>
    </row>
    <row r="15" spans="1:25" ht="13.15" hidden="1" x14ac:dyDescent="0.25">
      <c r="A15" s="43"/>
      <c r="B15" s="65" t="s">
        <v>125</v>
      </c>
      <c r="C15" s="50"/>
      <c r="D15" s="107"/>
      <c r="E15" s="119">
        <v>5.41</v>
      </c>
      <c r="F15" s="75">
        <f>E15*F4</f>
        <v>140097.36000000002</v>
      </c>
      <c r="G15" s="46"/>
      <c r="H15" s="65" t="s">
        <v>125</v>
      </c>
      <c r="I15" s="50"/>
      <c r="J15" s="107"/>
      <c r="K15" s="119">
        <v>5.41</v>
      </c>
      <c r="L15" s="75">
        <f>K15*L4</f>
        <v>77644.320000000007</v>
      </c>
      <c r="M15" s="76"/>
      <c r="N15" s="61"/>
      <c r="O15" s="77"/>
      <c r="P15" s="116"/>
      <c r="Q15" s="113"/>
      <c r="R15" s="78" t="s">
        <v>124</v>
      </c>
      <c r="S15" s="112"/>
      <c r="Y15" s="76"/>
    </row>
    <row r="16" spans="1:25" ht="13.15" hidden="1" x14ac:dyDescent="0.25">
      <c r="A16" s="43"/>
      <c r="B16" s="65" t="s">
        <v>126</v>
      </c>
      <c r="C16" s="50"/>
      <c r="D16" s="107"/>
      <c r="E16" s="119">
        <v>3.894876072670558</v>
      </c>
      <c r="F16" s="75">
        <f>E16*F4</f>
        <v>100861.71077787677</v>
      </c>
      <c r="G16" s="46"/>
      <c r="H16" s="65" t="s">
        <v>126</v>
      </c>
      <c r="I16" s="50"/>
      <c r="J16" s="107"/>
      <c r="K16" s="119">
        <v>3.894876072670558</v>
      </c>
      <c r="L16" s="75">
        <f>K16*L4</f>
        <v>55899.261394967849</v>
      </c>
      <c r="M16" s="76"/>
      <c r="N16" s="61"/>
      <c r="O16" s="77" t="s">
        <v>125</v>
      </c>
      <c r="P16" s="116"/>
      <c r="Q16" s="113"/>
      <c r="R16" s="120">
        <v>13.09</v>
      </c>
      <c r="S16" s="88">
        <f>S5*R16</f>
        <v>38144.652699999999</v>
      </c>
      <c r="Y16" s="76"/>
    </row>
    <row r="17" spans="1:25" ht="13.15" hidden="1" x14ac:dyDescent="0.25">
      <c r="A17" s="43"/>
      <c r="B17" s="121" t="s">
        <v>127</v>
      </c>
      <c r="C17" s="122"/>
      <c r="D17" s="123"/>
      <c r="E17" s="124"/>
      <c r="F17" s="125">
        <f>SUM(F13:F16)</f>
        <v>690460.08209149388</v>
      </c>
      <c r="G17" s="46"/>
      <c r="H17" s="121" t="s">
        <v>127</v>
      </c>
      <c r="I17" s="122"/>
      <c r="J17" s="123"/>
      <c r="K17" s="124"/>
      <c r="L17" s="125">
        <f>SUM(L13:L16)</f>
        <v>517188.5363622189</v>
      </c>
      <c r="M17" s="76"/>
      <c r="N17" s="101"/>
      <c r="O17" s="77" t="s">
        <v>126</v>
      </c>
      <c r="P17" s="116"/>
      <c r="Q17" s="113"/>
      <c r="R17" s="120">
        <v>7.07</v>
      </c>
      <c r="S17" s="88">
        <f>S5*R17</f>
        <v>20602.192100000004</v>
      </c>
      <c r="Y17" s="76"/>
    </row>
    <row r="18" spans="1:25" ht="13.15" hidden="1" x14ac:dyDescent="0.25">
      <c r="A18" s="43"/>
      <c r="B18" s="65" t="s">
        <v>128</v>
      </c>
      <c r="C18" s="50"/>
      <c r="D18" s="107">
        <v>0.13452840572852637</v>
      </c>
      <c r="E18" s="50"/>
      <c r="F18" s="75">
        <f>F17*D18</f>
        <v>92886.494062956117</v>
      </c>
      <c r="G18" s="46"/>
      <c r="H18" s="65" t="s">
        <v>128</v>
      </c>
      <c r="I18" s="50"/>
      <c r="J18" s="107">
        <v>0.13452840572852637</v>
      </c>
      <c r="K18" s="50"/>
      <c r="L18" s="75">
        <f>L17*J18</f>
        <v>69576.549257879291</v>
      </c>
      <c r="M18" s="76"/>
      <c r="N18" s="61"/>
      <c r="O18" s="117" t="s">
        <v>127</v>
      </c>
      <c r="P18" s="126"/>
      <c r="Q18" s="127"/>
      <c r="R18" s="128"/>
      <c r="S18" s="129">
        <f>SUM(S14+S16+S17)</f>
        <v>159859.94261928409</v>
      </c>
      <c r="Y18" s="76"/>
    </row>
    <row r="19" spans="1:25" ht="13.9" hidden="1" thickBot="1" x14ac:dyDescent="0.3">
      <c r="A19" s="43"/>
      <c r="B19" s="130" t="s">
        <v>129</v>
      </c>
      <c r="C19" s="131"/>
      <c r="D19" s="132"/>
      <c r="E19" s="131"/>
      <c r="F19" s="133">
        <f>SUM(F17:F18)</f>
        <v>783346.57615444995</v>
      </c>
      <c r="G19" s="46"/>
      <c r="H19" s="130" t="s">
        <v>129</v>
      </c>
      <c r="I19" s="131"/>
      <c r="J19" s="132"/>
      <c r="K19" s="131"/>
      <c r="L19" s="133">
        <f>SUM(L17:L18)</f>
        <v>586765.08562009817</v>
      </c>
      <c r="M19" s="134"/>
      <c r="N19" s="101"/>
      <c r="O19" s="77" t="s">
        <v>128</v>
      </c>
      <c r="P19" s="116"/>
      <c r="Q19" s="113">
        <v>0.21970000000000001</v>
      </c>
      <c r="R19" s="61"/>
      <c r="S19" s="88">
        <f>S18*Q19</f>
        <v>35121.229393456713</v>
      </c>
      <c r="Y19" s="134"/>
    </row>
    <row r="20" spans="1:25" ht="13.9" hidden="1" thickBot="1" x14ac:dyDescent="0.3">
      <c r="A20" s="43"/>
      <c r="B20" s="97" t="s">
        <v>130</v>
      </c>
      <c r="C20" s="50"/>
      <c r="D20" s="135"/>
      <c r="E20" s="50"/>
      <c r="F20" s="136">
        <f>F19/F4</f>
        <v>30.249713320761892</v>
      </c>
      <c r="G20" s="46"/>
      <c r="H20" s="97" t="s">
        <v>130</v>
      </c>
      <c r="I20" s="50"/>
      <c r="J20" s="135"/>
      <c r="K20" s="50"/>
      <c r="L20" s="136">
        <f>L19/L4</f>
        <v>40.88385490664006</v>
      </c>
      <c r="M20" s="137"/>
      <c r="N20" s="61"/>
      <c r="O20" s="138" t="s">
        <v>129</v>
      </c>
      <c r="P20" s="139"/>
      <c r="Q20" s="140"/>
      <c r="R20" s="141"/>
      <c r="S20" s="142">
        <f>SUM(S18+S19)</f>
        <v>194981.1720127408</v>
      </c>
      <c r="Y20" s="137"/>
    </row>
    <row r="21" spans="1:25" s="153" customFormat="1" ht="13.9" hidden="1" thickBot="1" x14ac:dyDescent="0.3">
      <c r="A21" s="143"/>
      <c r="B21" s="144" t="s">
        <v>131</v>
      </c>
      <c r="C21" s="145"/>
      <c r="D21" s="146">
        <v>4.1099999999999998E-2</v>
      </c>
      <c r="E21" s="147"/>
      <c r="F21" s="148">
        <f>ROUND(((F20*D21)+F20),2)</f>
        <v>31.49</v>
      </c>
      <c r="G21" s="149"/>
      <c r="H21" s="144" t="s">
        <v>131</v>
      </c>
      <c r="I21" s="145"/>
      <c r="J21" s="146">
        <v>4.1099999999999998E-2</v>
      </c>
      <c r="K21" s="147"/>
      <c r="L21" s="148">
        <f>ROUND(((L20*J21)+L20),2)</f>
        <v>42.56</v>
      </c>
      <c r="M21" s="150"/>
      <c r="N21" s="101"/>
      <c r="O21" s="77" t="s">
        <v>130</v>
      </c>
      <c r="P21" s="116"/>
      <c r="Q21" s="151"/>
      <c r="R21" s="61"/>
      <c r="S21" s="152">
        <f>S20/S5</f>
        <v>66.911175249651095</v>
      </c>
      <c r="Y21" s="150"/>
    </row>
    <row r="22" spans="1:25" ht="13.9" hidden="1" thickBot="1" x14ac:dyDescent="0.3">
      <c r="A22" s="43"/>
      <c r="B22" s="43"/>
      <c r="C22" s="43"/>
      <c r="D22" s="43"/>
      <c r="E22" s="43"/>
      <c r="F22" s="44"/>
      <c r="G22" s="43"/>
      <c r="H22" s="154"/>
      <c r="I22" s="154"/>
      <c r="J22" s="154"/>
      <c r="K22" s="154"/>
      <c r="L22" s="154"/>
      <c r="O22" s="155" t="s">
        <v>132</v>
      </c>
      <c r="P22" s="156"/>
      <c r="Q22" s="157">
        <v>4.1099999999999998E-2</v>
      </c>
      <c r="R22" s="158"/>
      <c r="S22" s="159">
        <f>ROUND((S21*Q22)+S21,2)</f>
        <v>69.66</v>
      </c>
    </row>
    <row r="23" spans="1:25" ht="13.15" hidden="1" x14ac:dyDescent="0.25">
      <c r="A23" s="43"/>
      <c r="B23" s="43"/>
      <c r="C23" s="43"/>
      <c r="D23" s="43"/>
      <c r="E23" s="43"/>
      <c r="F23" s="44"/>
      <c r="G23" s="43"/>
      <c r="H23" s="154"/>
      <c r="I23" s="154"/>
      <c r="J23" s="154"/>
      <c r="K23" s="154"/>
      <c r="L23" s="154"/>
      <c r="O23" s="111"/>
      <c r="P23" s="111"/>
      <c r="Q23" s="160"/>
      <c r="R23" s="161"/>
      <c r="S23" s="162"/>
    </row>
    <row r="24" spans="1:25" ht="13.15" x14ac:dyDescent="0.25">
      <c r="A24" s="43"/>
      <c r="B24" s="43"/>
      <c r="C24" s="43"/>
      <c r="D24" s="43"/>
      <c r="E24" s="43"/>
      <c r="F24" s="44"/>
      <c r="G24" s="43"/>
      <c r="H24" s="154"/>
      <c r="I24" s="154"/>
      <c r="J24" s="154"/>
      <c r="K24" s="154"/>
      <c r="L24" s="154"/>
      <c r="O24" s="111"/>
      <c r="P24" s="111"/>
      <c r="Q24" s="160"/>
      <c r="R24" s="161"/>
      <c r="S24" s="355"/>
    </row>
    <row r="25" spans="1:25" ht="13.15" x14ac:dyDescent="0.25">
      <c r="A25" s="43"/>
      <c r="B25" s="43"/>
      <c r="C25" s="43"/>
      <c r="D25" s="43"/>
      <c r="E25" s="43"/>
      <c r="F25" s="44"/>
      <c r="G25" s="43"/>
      <c r="H25" s="154"/>
      <c r="I25" s="154"/>
      <c r="J25" s="154"/>
      <c r="K25" s="154"/>
      <c r="L25" s="154"/>
      <c r="O25" s="111"/>
      <c r="P25" s="111"/>
      <c r="Q25" s="160"/>
      <c r="R25" s="161"/>
      <c r="S25" s="355"/>
    </row>
    <row r="26" spans="1:25" ht="13.15" customHeight="1" thickBot="1" x14ac:dyDescent="0.3">
      <c r="A26" s="163"/>
      <c r="B26" s="43"/>
      <c r="C26" s="43"/>
      <c r="D26" s="43"/>
      <c r="E26" s="43"/>
      <c r="F26" s="44"/>
      <c r="G26" s="43"/>
      <c r="H26" s="43"/>
      <c r="I26" s="154"/>
      <c r="J26" s="154"/>
      <c r="K26" s="164"/>
      <c r="L26" s="165"/>
      <c r="S26" s="164"/>
    </row>
    <row r="27" spans="1:25" ht="13.9" customHeight="1" thickBot="1" x14ac:dyDescent="0.3">
      <c r="A27" s="43"/>
      <c r="B27" s="365" t="s">
        <v>133</v>
      </c>
      <c r="C27" s="366"/>
      <c r="D27" s="366"/>
      <c r="E27" s="366"/>
      <c r="F27" s="367"/>
      <c r="G27" s="43"/>
      <c r="H27" s="368" t="s">
        <v>134</v>
      </c>
      <c r="I27" s="369"/>
      <c r="J27" s="369"/>
      <c r="K27" s="369"/>
      <c r="L27" s="370"/>
      <c r="M27" s="47"/>
      <c r="O27" s="371" t="s">
        <v>135</v>
      </c>
      <c r="P27" s="372"/>
      <c r="Q27" s="372"/>
      <c r="R27" s="373"/>
      <c r="T27" s="47"/>
      <c r="Y27" s="45"/>
    </row>
    <row r="28" spans="1:25" ht="13.9" customHeight="1" thickBot="1" x14ac:dyDescent="0.35">
      <c r="A28" s="43"/>
      <c r="B28" s="166" t="s">
        <v>109</v>
      </c>
      <c r="C28" s="167">
        <f>AVERAGE('[8]FY15 days &amp; attendance'!Q34:Q36)</f>
        <v>25.333333333333332</v>
      </c>
      <c r="D28" s="168" t="s">
        <v>110</v>
      </c>
      <c r="E28" s="169">
        <v>272</v>
      </c>
      <c r="F28" s="170">
        <f>C28*E28</f>
        <v>6890.6666666666661</v>
      </c>
      <c r="G28" s="171"/>
      <c r="H28" s="166" t="s">
        <v>109</v>
      </c>
      <c r="I28" s="167">
        <f>AVERAGE('[8]FY15 days &amp; attendance'!Q5:Q33)</f>
        <v>41.068965517241381</v>
      </c>
      <c r="J28" s="168" t="s">
        <v>110</v>
      </c>
      <c r="K28" s="169">
        <v>272</v>
      </c>
      <c r="L28" s="170">
        <f>K28*I28</f>
        <v>11170.758620689656</v>
      </c>
      <c r="M28" s="54"/>
      <c r="N28" s="171"/>
      <c r="O28" s="374" t="s">
        <v>136</v>
      </c>
      <c r="P28" s="375"/>
      <c r="Q28" s="375"/>
      <c r="R28" s="172" t="s">
        <v>137</v>
      </c>
      <c r="T28" s="54"/>
      <c r="Y28" s="45"/>
    </row>
    <row r="29" spans="1:25" ht="15.6" x14ac:dyDescent="0.3">
      <c r="A29" s="43"/>
      <c r="B29" s="173"/>
      <c r="C29" s="174"/>
      <c r="D29" s="174"/>
      <c r="E29" s="174"/>
      <c r="F29" s="175"/>
      <c r="G29" s="43"/>
      <c r="H29" s="173"/>
      <c r="I29" s="174"/>
      <c r="J29" s="174"/>
      <c r="K29" s="174"/>
      <c r="L29" s="175"/>
      <c r="M29" s="176"/>
      <c r="N29" s="43"/>
      <c r="O29" s="55" t="s">
        <v>138</v>
      </c>
      <c r="P29" s="177">
        <v>57396.214475007757</v>
      </c>
      <c r="Q29" s="178"/>
      <c r="R29" s="179" t="s">
        <v>139</v>
      </c>
      <c r="S29" s="58"/>
      <c r="Y29" s="45"/>
    </row>
    <row r="30" spans="1:25" ht="18" customHeight="1" thickBot="1" x14ac:dyDescent="0.35">
      <c r="A30" s="43"/>
      <c r="B30" s="180"/>
      <c r="C30" s="181" t="s">
        <v>112</v>
      </c>
      <c r="D30" s="182" t="s">
        <v>113</v>
      </c>
      <c r="E30" s="182" t="s">
        <v>114</v>
      </c>
      <c r="F30" s="183" t="s">
        <v>115</v>
      </c>
      <c r="G30" s="43"/>
      <c r="H30" s="180"/>
      <c r="I30" s="181" t="s">
        <v>112</v>
      </c>
      <c r="J30" s="182" t="s">
        <v>113</v>
      </c>
      <c r="K30" s="182" t="s">
        <v>114</v>
      </c>
      <c r="L30" s="183" t="s">
        <v>115</v>
      </c>
      <c r="M30" s="69"/>
      <c r="N30" s="43"/>
      <c r="O30" s="81" t="s">
        <v>140</v>
      </c>
      <c r="P30" s="184">
        <v>40395.98984464378</v>
      </c>
      <c r="Q30" s="178"/>
      <c r="R30" s="179" t="s">
        <v>139</v>
      </c>
      <c r="S30" s="69"/>
      <c r="Y30" s="45"/>
    </row>
    <row r="31" spans="1:25" ht="16.149999999999999" thickBot="1" x14ac:dyDescent="0.35">
      <c r="A31" s="43"/>
      <c r="B31" s="173" t="str">
        <f>O29</f>
        <v>Management</v>
      </c>
      <c r="C31" s="185">
        <f>I7</f>
        <v>36.07971899816738</v>
      </c>
      <c r="D31" s="174">
        <f>P29</f>
        <v>57396.214475007757</v>
      </c>
      <c r="E31" s="186">
        <f>K7</f>
        <v>1.2749544973544973</v>
      </c>
      <c r="F31" s="187">
        <f>E31*D31</f>
        <v>73177.561776034432</v>
      </c>
      <c r="G31" s="43"/>
      <c r="H31" s="173" t="str">
        <f>O29</f>
        <v>Management</v>
      </c>
      <c r="I31" s="185">
        <f t="shared" ref="I31:K32" si="0">I7</f>
        <v>36.07971899816738</v>
      </c>
      <c r="J31" s="174">
        <f>P29</f>
        <v>57396.214475007757</v>
      </c>
      <c r="K31" s="186">
        <f t="shared" si="0"/>
        <v>1.2749544973544973</v>
      </c>
      <c r="L31" s="187">
        <f>K31*J31</f>
        <v>73177.561776034432</v>
      </c>
      <c r="M31" s="76"/>
      <c r="N31" s="43"/>
      <c r="O31" s="374" t="s">
        <v>141</v>
      </c>
      <c r="P31" s="375"/>
      <c r="Q31" s="375"/>
      <c r="R31" s="188"/>
      <c r="T31" s="93"/>
      <c r="Y31" s="45"/>
    </row>
    <row r="32" spans="1:25" ht="12.75" customHeight="1" x14ac:dyDescent="0.3">
      <c r="A32" s="43"/>
      <c r="B32" s="189" t="str">
        <f>O30</f>
        <v>Direct Service Worker</v>
      </c>
      <c r="C32" s="185">
        <f>I8</f>
        <v>6.9909208819714665</v>
      </c>
      <c r="D32" s="174">
        <f>P30</f>
        <v>40395.98984464378</v>
      </c>
      <c r="E32" s="186">
        <f>C28/C32</f>
        <v>3.6237476808905376</v>
      </c>
      <c r="F32" s="190">
        <f>E32*D32</f>
        <v>146384.8745168056</v>
      </c>
      <c r="G32" s="43"/>
      <c r="H32" s="189" t="str">
        <f>O30</f>
        <v>Direct Service Worker</v>
      </c>
      <c r="I32" s="185">
        <f t="shared" si="0"/>
        <v>6.9909208819714665</v>
      </c>
      <c r="J32" s="174">
        <f>P30</f>
        <v>40395.98984464378</v>
      </c>
      <c r="K32" s="186">
        <f t="shared" si="0"/>
        <v>6.5799628942486077</v>
      </c>
      <c r="L32" s="190">
        <f>K32*J32</f>
        <v>265804.11425419967</v>
      </c>
      <c r="M32" s="84"/>
      <c r="N32" s="43"/>
      <c r="O32" s="191"/>
      <c r="P32" s="192"/>
      <c r="Q32" s="192"/>
      <c r="R32" s="193"/>
      <c r="T32" s="100"/>
      <c r="Y32" s="45"/>
    </row>
    <row r="33" spans="1:25" ht="16.149999999999999" thickBot="1" x14ac:dyDescent="0.35">
      <c r="A33" s="43"/>
      <c r="B33" s="194" t="s">
        <v>119</v>
      </c>
      <c r="C33" s="195"/>
      <c r="D33" s="195"/>
      <c r="E33" s="196">
        <f>SUM(E31:E32)</f>
        <v>4.8987021782450348</v>
      </c>
      <c r="F33" s="197">
        <f>SUM(F31:F32)</f>
        <v>219562.43629284005</v>
      </c>
      <c r="G33" s="43"/>
      <c r="H33" s="194" t="s">
        <v>119</v>
      </c>
      <c r="I33" s="195"/>
      <c r="J33" s="195"/>
      <c r="K33" s="198">
        <f>SUM(K31:K32)</f>
        <v>7.854917391603105</v>
      </c>
      <c r="L33" s="197">
        <f>SUM(L31:L32)</f>
        <v>338981.67603023408</v>
      </c>
      <c r="M33" s="93"/>
      <c r="N33" s="43"/>
      <c r="O33" s="199" t="s">
        <v>142</v>
      </c>
      <c r="P33" s="200"/>
      <c r="Q33" s="200"/>
      <c r="R33" s="193"/>
      <c r="T33" s="76"/>
      <c r="Y33" s="45"/>
    </row>
    <row r="34" spans="1:25" ht="13.15" customHeight="1" thickBot="1" x14ac:dyDescent="0.35">
      <c r="A34" s="43"/>
      <c r="B34" s="201"/>
      <c r="C34" s="202"/>
      <c r="D34" s="181" t="s">
        <v>120</v>
      </c>
      <c r="E34" s="202"/>
      <c r="F34" s="203"/>
      <c r="G34" s="43"/>
      <c r="H34" s="201"/>
      <c r="I34" s="202"/>
      <c r="J34" s="181" t="s">
        <v>120</v>
      </c>
      <c r="K34" s="202"/>
      <c r="L34" s="203"/>
      <c r="M34" s="100"/>
      <c r="N34" s="43"/>
      <c r="O34" s="374" t="s">
        <v>143</v>
      </c>
      <c r="P34" s="375"/>
      <c r="Q34" s="375"/>
      <c r="R34" s="204"/>
      <c r="T34" s="76"/>
      <c r="Y34" s="45"/>
    </row>
    <row r="35" spans="1:25" ht="13.15" customHeight="1" x14ac:dyDescent="0.3">
      <c r="A35" s="43"/>
      <c r="B35" s="180" t="s">
        <v>121</v>
      </c>
      <c r="C35" s="171"/>
      <c r="D35" s="205">
        <f>J11</f>
        <v>0.23499999999999999</v>
      </c>
      <c r="E35" s="206"/>
      <c r="F35" s="187">
        <f>F33*D35</f>
        <v>51597.172528817406</v>
      </c>
      <c r="G35" s="43"/>
      <c r="H35" s="180" t="s">
        <v>121</v>
      </c>
      <c r="I35" s="171"/>
      <c r="J35" s="205">
        <f>J11</f>
        <v>0.23499999999999999</v>
      </c>
      <c r="K35" s="206"/>
      <c r="L35" s="187">
        <f>L33*J35</f>
        <v>79660.693867105001</v>
      </c>
      <c r="M35" s="76"/>
      <c r="N35" s="43"/>
      <c r="O35" s="207"/>
      <c r="P35" s="208"/>
      <c r="Q35" s="208"/>
      <c r="R35" s="179"/>
      <c r="T35" s="76"/>
      <c r="Y35" s="45"/>
    </row>
    <row r="36" spans="1:25" ht="13.15" customHeight="1" x14ac:dyDescent="0.3">
      <c r="A36" s="43"/>
      <c r="B36" s="180"/>
      <c r="C36" s="171"/>
      <c r="D36" s="205"/>
      <c r="E36" s="171"/>
      <c r="F36" s="203"/>
      <c r="G36" s="43"/>
      <c r="H36" s="180"/>
      <c r="I36" s="171"/>
      <c r="J36" s="205"/>
      <c r="K36" s="171"/>
      <c r="L36" s="203"/>
      <c r="M36" s="100"/>
      <c r="N36" s="43"/>
      <c r="O36" s="207" t="s">
        <v>144</v>
      </c>
      <c r="P36" s="209">
        <v>0.23499999999999999</v>
      </c>
      <c r="Q36" s="178"/>
      <c r="R36" s="179"/>
      <c r="S36" s="76"/>
      <c r="Y36" s="45"/>
    </row>
    <row r="37" spans="1:25" ht="15.6" x14ac:dyDescent="0.3">
      <c r="A37" s="43"/>
      <c r="B37" s="194" t="s">
        <v>123</v>
      </c>
      <c r="C37" s="195"/>
      <c r="D37" s="210"/>
      <c r="E37" s="195"/>
      <c r="F37" s="197">
        <f>SUM(F33:F35)</f>
        <v>271159.60882165749</v>
      </c>
      <c r="G37" s="43"/>
      <c r="H37" s="194" t="s">
        <v>123</v>
      </c>
      <c r="I37" s="195"/>
      <c r="J37" s="210"/>
      <c r="K37" s="195"/>
      <c r="L37" s="197">
        <f>SUM(L33:L35)</f>
        <v>418642.36989733909</v>
      </c>
      <c r="M37" s="93"/>
      <c r="N37" s="43"/>
      <c r="O37" s="207" t="s">
        <v>145</v>
      </c>
      <c r="P37" s="209">
        <v>0.23599999999999999</v>
      </c>
      <c r="Q37" s="178"/>
      <c r="R37" s="179"/>
      <c r="S37" s="134"/>
      <c r="Y37" s="45"/>
    </row>
    <row r="38" spans="1:25" ht="16.5" customHeight="1" x14ac:dyDescent="0.3">
      <c r="A38" s="43"/>
      <c r="B38" s="180"/>
      <c r="C38" s="171"/>
      <c r="D38" s="205"/>
      <c r="E38" s="181" t="s">
        <v>124</v>
      </c>
      <c r="F38" s="203"/>
      <c r="G38" s="43"/>
      <c r="H38" s="180"/>
      <c r="I38" s="171"/>
      <c r="J38" s="205"/>
      <c r="K38" s="181" t="s">
        <v>124</v>
      </c>
      <c r="L38" s="203"/>
      <c r="M38" s="100"/>
      <c r="N38" s="43"/>
      <c r="O38" s="211" t="s">
        <v>146</v>
      </c>
      <c r="P38" s="212">
        <v>5.9034479843485901</v>
      </c>
      <c r="Q38" s="178"/>
      <c r="R38" s="179" t="s">
        <v>147</v>
      </c>
      <c r="S38" s="137"/>
      <c r="Y38" s="45"/>
    </row>
    <row r="39" spans="1:25" ht="15.6" x14ac:dyDescent="0.3">
      <c r="A39" s="43"/>
      <c r="B39" s="180" t="s">
        <v>125</v>
      </c>
      <c r="C39" s="171"/>
      <c r="D39" s="205"/>
      <c r="E39" s="213">
        <f>P38</f>
        <v>5.9034479843485901</v>
      </c>
      <c r="F39" s="187">
        <f>E39*L28</f>
        <v>65945.992462954979</v>
      </c>
      <c r="G39" s="43"/>
      <c r="H39" s="180" t="s">
        <v>125</v>
      </c>
      <c r="I39" s="171"/>
      <c r="J39" s="205"/>
      <c r="K39" s="213">
        <f>P38</f>
        <v>5.9034479843485901</v>
      </c>
      <c r="L39" s="187">
        <f>K39*L28</f>
        <v>65945.992462954979</v>
      </c>
      <c r="M39" s="214"/>
      <c r="N39" s="215"/>
      <c r="O39" s="211" t="s">
        <v>148</v>
      </c>
      <c r="P39" s="212">
        <v>4.250129075877001</v>
      </c>
      <c r="Q39" s="178"/>
      <c r="R39" s="179" t="s">
        <v>147</v>
      </c>
      <c r="S39" s="150"/>
      <c r="Y39" s="45"/>
    </row>
    <row r="40" spans="1:25" ht="15.6" x14ac:dyDescent="0.3">
      <c r="A40" s="43"/>
      <c r="B40" s="180" t="s">
        <v>126</v>
      </c>
      <c r="C40" s="171"/>
      <c r="D40" s="205"/>
      <c r="E40" s="213">
        <f>P39</f>
        <v>4.250129075877001</v>
      </c>
      <c r="F40" s="187">
        <f>E40*F28</f>
        <v>29286.222752176451</v>
      </c>
      <c r="G40" s="43"/>
      <c r="H40" s="180" t="s">
        <v>126</v>
      </c>
      <c r="I40" s="171"/>
      <c r="J40" s="205"/>
      <c r="K40" s="213">
        <f>P39</f>
        <v>4.250129075877001</v>
      </c>
      <c r="L40" s="187">
        <f>K40*L28</f>
        <v>47477.166013396767</v>
      </c>
      <c r="M40" s="214"/>
      <c r="N40" s="215"/>
      <c r="O40" s="211" t="s">
        <v>149</v>
      </c>
      <c r="P40" s="212">
        <v>14.28394345935731</v>
      </c>
      <c r="Q40" s="178"/>
      <c r="R40" s="179" t="s">
        <v>147</v>
      </c>
      <c r="S40" s="43"/>
      <c r="Y40" s="45"/>
    </row>
    <row r="41" spans="1:25" ht="13.9" customHeight="1" x14ac:dyDescent="0.3">
      <c r="A41" s="43"/>
      <c r="B41" s="216" t="s">
        <v>127</v>
      </c>
      <c r="C41" s="217"/>
      <c r="D41" s="218"/>
      <c r="E41" s="219"/>
      <c r="F41" s="220">
        <f>SUM(F37:F40)</f>
        <v>366391.82403678889</v>
      </c>
      <c r="G41" s="43"/>
      <c r="H41" s="216" t="s">
        <v>127</v>
      </c>
      <c r="I41" s="217"/>
      <c r="J41" s="218"/>
      <c r="K41" s="219"/>
      <c r="L41" s="220">
        <f>SUM(L37:L40)</f>
        <v>532065.5283736909</v>
      </c>
      <c r="M41" s="76"/>
      <c r="N41" s="43"/>
      <c r="O41" s="211" t="s">
        <v>150</v>
      </c>
      <c r="P41" s="212">
        <v>7.7148571625405795</v>
      </c>
      <c r="Q41" s="178"/>
      <c r="R41" s="179" t="s">
        <v>147</v>
      </c>
      <c r="S41" s="43"/>
      <c r="Y41" s="45"/>
    </row>
    <row r="42" spans="1:25" ht="13.9" customHeight="1" x14ac:dyDescent="0.3">
      <c r="A42" s="43"/>
      <c r="B42" s="180" t="s">
        <v>128</v>
      </c>
      <c r="C42" s="171"/>
      <c r="D42" s="205">
        <f>J18</f>
        <v>0.13452840572852637</v>
      </c>
      <c r="E42" s="171"/>
      <c r="F42" s="187">
        <f>F41*D42</f>
        <v>49290.107959635978</v>
      </c>
      <c r="G42" s="43"/>
      <c r="H42" s="180" t="s">
        <v>128</v>
      </c>
      <c r="I42" s="171"/>
      <c r="J42" s="205">
        <f>J18</f>
        <v>0.13452840572852637</v>
      </c>
      <c r="K42" s="171"/>
      <c r="L42" s="187">
        <f>L41*J42</f>
        <v>71577.927275218652</v>
      </c>
      <c r="M42" s="76"/>
      <c r="N42" s="43"/>
      <c r="O42" s="207" t="s">
        <v>151</v>
      </c>
      <c r="P42" s="209">
        <v>0.13450000000000001</v>
      </c>
      <c r="Q42" s="178"/>
      <c r="R42" s="179"/>
      <c r="S42" s="43"/>
      <c r="Y42" s="45"/>
    </row>
    <row r="43" spans="1:25" ht="15.6" x14ac:dyDescent="0.3">
      <c r="A43" s="43"/>
      <c r="B43" s="221" t="str">
        <f>O45</f>
        <v>PFMLA Trust Contribution</v>
      </c>
      <c r="C43" s="222"/>
      <c r="D43" s="223">
        <f>P45</f>
        <v>6.3E-3</v>
      </c>
      <c r="E43" s="222"/>
      <c r="F43" s="224">
        <f>D43*F33</f>
        <v>1383.2433486448924</v>
      </c>
      <c r="G43" s="43"/>
      <c r="H43" s="221" t="str">
        <f>O45</f>
        <v>PFMLA Trust Contribution</v>
      </c>
      <c r="I43" s="222"/>
      <c r="J43" s="223">
        <f>P45</f>
        <v>6.3E-3</v>
      </c>
      <c r="K43" s="222"/>
      <c r="L43" s="224">
        <f>J43*L33</f>
        <v>2135.5845589904748</v>
      </c>
      <c r="M43" s="134"/>
      <c r="N43" s="43"/>
      <c r="O43" s="207" t="s">
        <v>152</v>
      </c>
      <c r="P43" s="209">
        <v>0.21970000000000001</v>
      </c>
      <c r="Q43" s="178"/>
      <c r="R43" s="179"/>
      <c r="Y43" s="45"/>
    </row>
    <row r="44" spans="1:25" ht="19.5" customHeight="1" thickBot="1" x14ac:dyDescent="0.35">
      <c r="A44" s="43"/>
      <c r="B44" s="225" t="s">
        <v>153</v>
      </c>
      <c r="C44" s="226"/>
      <c r="D44" s="227"/>
      <c r="E44" s="226"/>
      <c r="F44" s="228">
        <f>SUM(F41:F43)</f>
        <v>417065.17534506973</v>
      </c>
      <c r="G44" s="43"/>
      <c r="H44" s="225" t="s">
        <v>153</v>
      </c>
      <c r="I44" s="226"/>
      <c r="J44" s="227"/>
      <c r="K44" s="226"/>
      <c r="L44" s="228">
        <f>SUM(L41:L43)</f>
        <v>605779.04020789999</v>
      </c>
      <c r="M44" s="137"/>
      <c r="N44" s="43"/>
      <c r="O44" s="207"/>
      <c r="P44" s="376"/>
      <c r="Q44" s="377"/>
      <c r="R44" s="179" t="s">
        <v>147</v>
      </c>
      <c r="Y44" s="45"/>
    </row>
    <row r="45" spans="1:25" s="153" customFormat="1" ht="17.25" customHeight="1" thickTop="1" x14ac:dyDescent="0.3">
      <c r="A45" s="143"/>
      <c r="B45" s="201"/>
      <c r="C45" s="171"/>
      <c r="D45" s="229"/>
      <c r="E45" s="171"/>
      <c r="F45" s="230"/>
      <c r="G45" s="43"/>
      <c r="H45" s="201"/>
      <c r="I45" s="171"/>
      <c r="J45" s="229"/>
      <c r="K45" s="171"/>
      <c r="L45" s="230"/>
      <c r="M45" s="150"/>
      <c r="N45" s="143"/>
      <c r="O45" s="207" t="s">
        <v>154</v>
      </c>
      <c r="P45" s="231">
        <v>6.3E-3</v>
      </c>
      <c r="Q45" s="232"/>
      <c r="R45" s="193" t="s">
        <v>155</v>
      </c>
      <c r="S45" s="45"/>
      <c r="T45" s="45"/>
    </row>
    <row r="46" spans="1:25" ht="16.149999999999999" thickBot="1" x14ac:dyDescent="0.35">
      <c r="A46" s="43"/>
      <c r="B46" s="233" t="s">
        <v>131</v>
      </c>
      <c r="C46" s="234"/>
      <c r="D46" s="235">
        <f>P46</f>
        <v>1.8120393120392975E-2</v>
      </c>
      <c r="E46" s="236"/>
      <c r="F46" s="237">
        <f>F44*(1+D46)</f>
        <v>424622.56027914805</v>
      </c>
      <c r="G46" s="43"/>
      <c r="H46" s="233" t="s">
        <v>131</v>
      </c>
      <c r="I46" s="234"/>
      <c r="J46" s="235">
        <f>P46</f>
        <v>1.8120393120392975E-2</v>
      </c>
      <c r="K46" s="236"/>
      <c r="L46" s="237">
        <f>L44*(1+J46)</f>
        <v>616755.99456056149</v>
      </c>
      <c r="N46" s="43"/>
      <c r="O46" s="238" t="s">
        <v>156</v>
      </c>
      <c r="P46" s="239">
        <f>'[8]Spring 2019 CAF'!BU25</f>
        <v>1.8120393120392975E-2</v>
      </c>
      <c r="Q46" s="240"/>
      <c r="R46" s="204" t="s">
        <v>157</v>
      </c>
      <c r="Y46" s="45"/>
    </row>
    <row r="47" spans="1:25" ht="19.5" customHeight="1" thickBot="1" x14ac:dyDescent="0.35">
      <c r="A47" s="43"/>
      <c r="B47" s="241"/>
      <c r="C47" s="242"/>
      <c r="D47" s="243"/>
      <c r="E47" s="244"/>
      <c r="F47" s="245"/>
      <c r="G47" s="43"/>
      <c r="H47" s="241"/>
      <c r="I47" s="242"/>
      <c r="J47" s="243"/>
      <c r="K47" s="244"/>
      <c r="L47" s="245"/>
      <c r="N47" s="43"/>
      <c r="Y47" s="45"/>
    </row>
    <row r="48" spans="1:25" ht="13.9" thickTop="1" x14ac:dyDescent="0.25">
      <c r="A48" s="43"/>
      <c r="B48" s="201" t="s">
        <v>158</v>
      </c>
      <c r="C48" s="171"/>
      <c r="D48" s="229"/>
      <c r="E48" s="171"/>
      <c r="F48" s="230">
        <f>SUM(F46:F47)</f>
        <v>424622.56027914805</v>
      </c>
      <c r="G48" s="43"/>
      <c r="H48" s="201" t="s">
        <v>158</v>
      </c>
      <c r="I48" s="171"/>
      <c r="J48" s="229"/>
      <c r="K48" s="171"/>
      <c r="L48" s="230">
        <f>SUM(L46:L47)</f>
        <v>616755.99456056149</v>
      </c>
      <c r="N48" s="43"/>
      <c r="Y48" s="45"/>
    </row>
    <row r="49" spans="1:25" ht="13.15" x14ac:dyDescent="0.25">
      <c r="A49" s="43"/>
      <c r="B49" s="201" t="s">
        <v>130</v>
      </c>
      <c r="C49" s="171"/>
      <c r="D49" s="229"/>
      <c r="E49" s="171"/>
      <c r="F49" s="246">
        <f>F48/F28</f>
        <v>61.622856077662746</v>
      </c>
      <c r="G49" s="43"/>
      <c r="H49" s="201" t="s">
        <v>130</v>
      </c>
      <c r="I49" s="171"/>
      <c r="J49" s="229"/>
      <c r="K49" s="171"/>
      <c r="L49" s="246">
        <f>L48/L28</f>
        <v>55.211648152369122</v>
      </c>
    </row>
    <row r="50" spans="1:25" ht="11.45" customHeight="1" thickBot="1" x14ac:dyDescent="0.3">
      <c r="A50" s="42"/>
      <c r="B50" s="247"/>
      <c r="C50" s="248"/>
      <c r="D50" s="248"/>
      <c r="E50" s="248"/>
      <c r="F50" s="249"/>
      <c r="G50" s="143"/>
      <c r="H50" s="233"/>
      <c r="I50" s="234"/>
      <c r="J50" s="250"/>
      <c r="K50" s="236"/>
      <c r="L50" s="251"/>
    </row>
    <row r="51" spans="1:25" ht="15" customHeight="1" x14ac:dyDescent="0.3">
      <c r="A51" s="43"/>
      <c r="G51" s="43"/>
      <c r="H51" s="253"/>
      <c r="I51" s="171"/>
      <c r="J51" s="205"/>
      <c r="K51" s="171"/>
      <c r="L51" s="254"/>
      <c r="M51" s="47"/>
      <c r="O51" s="356"/>
      <c r="P51" s="178"/>
      <c r="Q51" s="178"/>
      <c r="R51" s="178"/>
      <c r="Y51" s="45"/>
    </row>
    <row r="52" spans="1:25" ht="15" customHeight="1" x14ac:dyDescent="0.3">
      <c r="A52" s="43"/>
      <c r="B52" s="171"/>
      <c r="C52" s="171"/>
      <c r="D52" s="205"/>
      <c r="E52" s="171"/>
      <c r="F52" s="255"/>
      <c r="G52" s="171"/>
      <c r="H52" s="171"/>
      <c r="I52" s="171"/>
      <c r="J52" s="205"/>
      <c r="K52" s="171"/>
      <c r="L52" s="255"/>
      <c r="M52" s="54"/>
      <c r="O52" s="357"/>
      <c r="P52" s="178"/>
      <c r="Q52" s="178"/>
      <c r="R52" s="178"/>
      <c r="Y52" s="45"/>
    </row>
    <row r="53" spans="1:25" ht="15" customHeight="1" x14ac:dyDescent="0.3">
      <c r="A53" s="43"/>
      <c r="B53" s="171"/>
      <c r="C53" s="171"/>
      <c r="D53" s="205"/>
      <c r="E53" s="171"/>
      <c r="F53" s="256"/>
      <c r="G53" s="171"/>
      <c r="H53" s="171"/>
      <c r="I53" s="171"/>
      <c r="J53" s="205"/>
      <c r="K53" s="171"/>
      <c r="L53" s="256"/>
      <c r="M53" s="58"/>
      <c r="O53" s="357"/>
      <c r="P53" s="178"/>
      <c r="Q53" s="178"/>
      <c r="R53" s="178"/>
      <c r="Y53" s="45"/>
    </row>
    <row r="54" spans="1:25" ht="15" customHeight="1" x14ac:dyDescent="0.3">
      <c r="A54" s="43"/>
      <c r="B54" s="43"/>
      <c r="C54" s="43"/>
      <c r="D54" s="43"/>
      <c r="E54" s="43"/>
      <c r="F54" s="44"/>
      <c r="G54" s="43"/>
      <c r="H54" s="43"/>
      <c r="I54" s="43"/>
      <c r="J54" s="43"/>
      <c r="K54" s="43"/>
      <c r="L54" s="44"/>
      <c r="M54" s="69"/>
      <c r="O54" s="357"/>
      <c r="P54" s="178"/>
      <c r="Q54" s="178"/>
      <c r="R54" s="178"/>
      <c r="Y54" s="45"/>
    </row>
    <row r="55" spans="1:25" ht="15" customHeight="1" thickBot="1" x14ac:dyDescent="0.3">
      <c r="A55" s="43"/>
      <c r="B55" s="43"/>
      <c r="C55" s="43"/>
      <c r="D55" s="43"/>
      <c r="E55" s="43"/>
      <c r="F55" s="44"/>
      <c r="G55" s="43"/>
      <c r="H55" s="43"/>
      <c r="I55" s="43"/>
      <c r="J55" s="43"/>
      <c r="K55" s="43"/>
      <c r="L55" s="44"/>
      <c r="M55" s="76"/>
      <c r="N55" s="257"/>
      <c r="O55" s="178"/>
      <c r="P55" s="178"/>
      <c r="Q55" s="178"/>
      <c r="R55" s="178"/>
      <c r="Y55" s="45"/>
    </row>
    <row r="56" spans="1:25" ht="15" thickBot="1" x14ac:dyDescent="0.35">
      <c r="A56" s="43"/>
      <c r="B56" s="368" t="s">
        <v>159</v>
      </c>
      <c r="C56" s="369"/>
      <c r="D56" s="369"/>
      <c r="E56" s="369"/>
      <c r="F56" s="370"/>
      <c r="G56" s="43"/>
      <c r="H56" s="365" t="s">
        <v>111</v>
      </c>
      <c r="I56" s="366"/>
      <c r="J56" s="366"/>
      <c r="K56" s="366"/>
      <c r="L56" s="367"/>
      <c r="M56" s="84"/>
      <c r="O56" s="357"/>
      <c r="P56" s="178"/>
      <c r="Q56" s="178"/>
      <c r="R56" s="178"/>
      <c r="Y56" s="45"/>
    </row>
    <row r="57" spans="1:25" ht="13.15" x14ac:dyDescent="0.25">
      <c r="A57" s="43"/>
      <c r="B57" s="166" t="s">
        <v>109</v>
      </c>
      <c r="C57" s="171">
        <f>C4</f>
        <v>83</v>
      </c>
      <c r="D57" s="168" t="s">
        <v>110</v>
      </c>
      <c r="E57" s="169">
        <v>272</v>
      </c>
      <c r="F57" s="170">
        <f>E57*C57</f>
        <v>22576</v>
      </c>
      <c r="G57" s="171"/>
      <c r="H57" s="166" t="s">
        <v>109</v>
      </c>
      <c r="I57" s="259">
        <v>10</v>
      </c>
      <c r="J57" s="260" t="str">
        <f>'[6]Narrowed, &amp; an MV-specific modl'!$C$33</f>
        <v>Days:</v>
      </c>
      <c r="K57" s="261">
        <v>272</v>
      </c>
      <c r="L57" s="262">
        <f>I57*K57</f>
        <v>2720</v>
      </c>
      <c r="M57" s="93"/>
      <c r="Y57" s="45"/>
    </row>
    <row r="58" spans="1:25" ht="13.15" customHeight="1" x14ac:dyDescent="0.25">
      <c r="A58" s="43"/>
      <c r="B58" s="173"/>
      <c r="C58" s="171"/>
      <c r="D58" s="174"/>
      <c r="E58" s="174"/>
      <c r="F58" s="175"/>
      <c r="G58" s="43"/>
      <c r="H58" s="263"/>
      <c r="I58" s="264"/>
      <c r="J58" s="264"/>
      <c r="K58" s="264"/>
      <c r="L58" s="265"/>
      <c r="M58" s="100"/>
      <c r="O58" s="153"/>
      <c r="P58" s="153"/>
      <c r="Q58" s="153"/>
      <c r="R58" s="153"/>
      <c r="Y58" s="45"/>
    </row>
    <row r="59" spans="1:25" ht="13.15" customHeight="1" x14ac:dyDescent="0.25">
      <c r="A59" s="43"/>
      <c r="B59" s="180"/>
      <c r="C59" s="181" t="s">
        <v>112</v>
      </c>
      <c r="D59" s="182" t="s">
        <v>113</v>
      </c>
      <c r="E59" s="182" t="s">
        <v>114</v>
      </c>
      <c r="F59" s="183" t="s">
        <v>115</v>
      </c>
      <c r="G59" s="43"/>
      <c r="H59" s="266"/>
      <c r="I59" s="47" t="s">
        <v>117</v>
      </c>
      <c r="J59" s="267" t="s">
        <v>113</v>
      </c>
      <c r="K59" s="267" t="s">
        <v>114</v>
      </c>
      <c r="L59" s="268" t="s">
        <v>115</v>
      </c>
      <c r="M59" s="76"/>
      <c r="Y59" s="45"/>
    </row>
    <row r="60" spans="1:25" ht="13.15" customHeight="1" x14ac:dyDescent="0.25">
      <c r="A60" s="43"/>
      <c r="B60" s="173" t="str">
        <f>O29</f>
        <v>Management</v>
      </c>
      <c r="C60" s="185">
        <f t="shared" ref="C60:E60" si="1">C7</f>
        <v>64.5</v>
      </c>
      <c r="D60" s="174">
        <f>P29</f>
        <v>57396.214475007757</v>
      </c>
      <c r="E60" s="186">
        <f t="shared" si="1"/>
        <v>1.2868217054263567</v>
      </c>
      <c r="F60" s="187">
        <f>E60*D60</f>
        <v>73858.69459574642</v>
      </c>
      <c r="G60" s="43"/>
      <c r="H60" s="263" t="str">
        <f>O29</f>
        <v>Management</v>
      </c>
      <c r="I60" s="269">
        <f>P8</f>
        <v>140.8450704225352</v>
      </c>
      <c r="J60" s="270">
        <f>P29</f>
        <v>57396.214475007757</v>
      </c>
      <c r="K60" s="271">
        <f>R8</f>
        <v>6.6122159090909086E-2</v>
      </c>
      <c r="L60" s="272">
        <f>K60*J60</f>
        <v>3795.1616247324018</v>
      </c>
      <c r="M60" s="100"/>
      <c r="Y60" s="45"/>
    </row>
    <row r="61" spans="1:25" ht="13.15" x14ac:dyDescent="0.25">
      <c r="A61" s="43"/>
      <c r="B61" s="189" t="str">
        <f>O30</f>
        <v>Direct Service Worker</v>
      </c>
      <c r="C61" s="185">
        <f>C8-1.7</f>
        <v>8.6703703703703709</v>
      </c>
      <c r="D61" s="174">
        <f>P30</f>
        <v>40395.98984464378</v>
      </c>
      <c r="E61" s="186">
        <f>C57/C61</f>
        <v>9.572832123024348</v>
      </c>
      <c r="F61" s="190">
        <f>E61*D61</f>
        <v>386704.02922617132</v>
      </c>
      <c r="G61" s="43"/>
      <c r="H61" s="273" t="str">
        <f>O30</f>
        <v>Direct Service Worker</v>
      </c>
      <c r="I61" s="269">
        <f>P9</f>
        <v>4.4052863436123344</v>
      </c>
      <c r="J61" s="270">
        <f>P30</f>
        <v>40395.98984464378</v>
      </c>
      <c r="K61" s="271">
        <f>R9</f>
        <v>2.1159090909090907</v>
      </c>
      <c r="L61" s="274">
        <f>K61*J61</f>
        <v>85474.242148553079</v>
      </c>
      <c r="M61" s="275"/>
      <c r="Y61" s="45"/>
    </row>
    <row r="62" spans="1:25" ht="13.15" customHeight="1" x14ac:dyDescent="0.25">
      <c r="A62" s="43"/>
      <c r="B62" s="194" t="s">
        <v>119</v>
      </c>
      <c r="C62" s="195"/>
      <c r="D62" s="195"/>
      <c r="E62" s="198">
        <f>SUM(E60:E61)</f>
        <v>10.859653828450705</v>
      </c>
      <c r="F62" s="197">
        <f>SUM(F60:F61)</f>
        <v>460562.72382191772</v>
      </c>
      <c r="G62" s="43"/>
      <c r="H62" s="276"/>
      <c r="I62" s="277"/>
      <c r="J62" s="277"/>
      <c r="K62" s="278">
        <f>SUM(K60+K61)</f>
        <v>2.1820312499999996</v>
      </c>
      <c r="L62" s="279">
        <f>SUM(L60+L61)</f>
        <v>89269.403773285478</v>
      </c>
      <c r="M62" s="100"/>
      <c r="Y62" s="45"/>
    </row>
    <row r="63" spans="1:25" ht="13.15" x14ac:dyDescent="0.25">
      <c r="A63" s="43"/>
      <c r="B63" s="201"/>
      <c r="C63" s="202"/>
      <c r="D63" s="181" t="s">
        <v>120</v>
      </c>
      <c r="E63" s="202"/>
      <c r="F63" s="203"/>
      <c r="G63" s="43"/>
      <c r="H63" s="280"/>
      <c r="I63" s="281"/>
      <c r="J63" s="47"/>
      <c r="K63" s="281"/>
      <c r="L63" s="282"/>
      <c r="M63" s="76"/>
      <c r="S63" s="153"/>
      <c r="T63" s="153"/>
      <c r="Y63" s="45"/>
    </row>
    <row r="64" spans="1:25" ht="13.15" x14ac:dyDescent="0.25">
      <c r="A64" s="43"/>
      <c r="B64" s="180" t="s">
        <v>121</v>
      </c>
      <c r="C64" s="171"/>
      <c r="D64" s="205">
        <v>0.23499999999999999</v>
      </c>
      <c r="E64" s="283"/>
      <c r="F64" s="187">
        <f>F62*D64</f>
        <v>108232.24009815067</v>
      </c>
      <c r="G64" s="43"/>
      <c r="H64" s="266" t="s">
        <v>121</v>
      </c>
      <c r="I64" s="284"/>
      <c r="J64" s="285">
        <f>Q12</f>
        <v>0.23599999999999999</v>
      </c>
      <c r="K64" s="286"/>
      <c r="L64" s="272">
        <f>L62*J64</f>
        <v>21067.579290495371</v>
      </c>
      <c r="M64" s="76"/>
      <c r="Y64" s="45"/>
    </row>
    <row r="65" spans="1:25" ht="13.9" customHeight="1" x14ac:dyDescent="0.25">
      <c r="A65" s="43"/>
      <c r="B65" s="180"/>
      <c r="C65" s="171"/>
      <c r="D65" s="205"/>
      <c r="E65" s="171"/>
      <c r="F65" s="203"/>
      <c r="G65" s="43"/>
      <c r="H65" s="266"/>
      <c r="I65" s="284"/>
      <c r="J65" s="285"/>
      <c r="K65" s="284"/>
      <c r="L65" s="282"/>
      <c r="M65" s="76"/>
      <c r="T65" s="287"/>
      <c r="Y65" s="45"/>
    </row>
    <row r="66" spans="1:25" ht="13.9" customHeight="1" x14ac:dyDescent="0.25">
      <c r="A66" s="43"/>
      <c r="B66" s="194" t="s">
        <v>123</v>
      </c>
      <c r="C66" s="195"/>
      <c r="D66" s="210"/>
      <c r="E66" s="195"/>
      <c r="F66" s="197">
        <f>SUM(F62:F64)</f>
        <v>568794.96392006835</v>
      </c>
      <c r="G66" s="43"/>
      <c r="H66" s="288" t="s">
        <v>123</v>
      </c>
      <c r="I66" s="277"/>
      <c r="J66" s="289"/>
      <c r="K66" s="277"/>
      <c r="L66" s="279">
        <f>SUM(L62+L64)</f>
        <v>110336.98306378085</v>
      </c>
      <c r="M66" s="76"/>
      <c r="N66" s="257"/>
      <c r="T66" s="168"/>
      <c r="Y66" s="45"/>
    </row>
    <row r="67" spans="1:25" ht="13.15" x14ac:dyDescent="0.25">
      <c r="A67" s="43"/>
      <c r="B67" s="180"/>
      <c r="C67" s="171"/>
      <c r="D67" s="205"/>
      <c r="E67" s="181" t="s">
        <v>124</v>
      </c>
      <c r="F67" s="203"/>
      <c r="G67" s="43"/>
      <c r="H67" s="266"/>
      <c r="I67" s="284"/>
      <c r="J67" s="285"/>
      <c r="K67" s="47" t="s">
        <v>124</v>
      </c>
      <c r="L67" s="282"/>
      <c r="M67" s="134"/>
      <c r="N67" s="290"/>
      <c r="T67" s="174"/>
      <c r="Y67" s="45"/>
    </row>
    <row r="68" spans="1:25" ht="13.9" customHeight="1" x14ac:dyDescent="0.25">
      <c r="A68" s="43"/>
      <c r="B68" s="180" t="s">
        <v>125</v>
      </c>
      <c r="C68" s="171"/>
      <c r="D68" s="205"/>
      <c r="E68" s="213">
        <f>P38</f>
        <v>5.9034479843485901</v>
      </c>
      <c r="F68" s="187">
        <f>E68*C57*312</f>
        <v>152875.6890026911</v>
      </c>
      <c r="G68" s="43"/>
      <c r="H68" s="266" t="s">
        <v>125</v>
      </c>
      <c r="I68" s="284"/>
      <c r="J68" s="285"/>
      <c r="K68" s="291">
        <f>P40</f>
        <v>14.28394345935731</v>
      </c>
      <c r="L68" s="272">
        <f>L57*K68</f>
        <v>38852.326209451887</v>
      </c>
      <c r="M68" s="137"/>
      <c r="T68" s="171"/>
      <c r="Y68" s="45"/>
    </row>
    <row r="69" spans="1:25" s="153" customFormat="1" ht="13.9" customHeight="1" x14ac:dyDescent="0.25">
      <c r="A69" s="143"/>
      <c r="B69" s="180" t="s">
        <v>126</v>
      </c>
      <c r="C69" s="171"/>
      <c r="D69" s="205"/>
      <c r="E69" s="213">
        <f>P39</f>
        <v>4.250129075877001</v>
      </c>
      <c r="F69" s="292">
        <f>E69*C57*312</f>
        <v>110061.34254891082</v>
      </c>
      <c r="G69" s="43"/>
      <c r="H69" s="266" t="s">
        <v>126</v>
      </c>
      <c r="I69" s="284"/>
      <c r="J69" s="285"/>
      <c r="K69" s="291">
        <f>P41</f>
        <v>7.7148571625405795</v>
      </c>
      <c r="L69" s="272">
        <f>L57*K69</f>
        <v>20984.411482110376</v>
      </c>
      <c r="M69" s="150"/>
      <c r="N69" s="293"/>
      <c r="O69" s="45"/>
      <c r="P69" s="45"/>
      <c r="Q69" s="45"/>
      <c r="R69" s="45"/>
      <c r="S69" s="45"/>
      <c r="T69" s="174"/>
    </row>
    <row r="70" spans="1:25" ht="13.15" x14ac:dyDescent="0.25">
      <c r="A70" s="43"/>
      <c r="B70" s="216" t="s">
        <v>127</v>
      </c>
      <c r="C70" s="217"/>
      <c r="D70" s="218"/>
      <c r="E70" s="219"/>
      <c r="F70" s="292">
        <f>SUM(F66:F69)</f>
        <v>831731.99547167029</v>
      </c>
      <c r="G70" s="43"/>
      <c r="H70" s="288" t="s">
        <v>127</v>
      </c>
      <c r="I70" s="294"/>
      <c r="J70" s="295"/>
      <c r="K70" s="296"/>
      <c r="L70" s="297">
        <f>SUM(L66+L68+L69)</f>
        <v>170173.72075534312</v>
      </c>
      <c r="T70" s="298"/>
      <c r="Y70" s="45"/>
    </row>
    <row r="71" spans="1:25" ht="17.25" customHeight="1" x14ac:dyDescent="0.25">
      <c r="A71" s="43"/>
      <c r="B71" s="180" t="s">
        <v>128</v>
      </c>
      <c r="C71" s="171"/>
      <c r="D71" s="205">
        <f>D18</f>
        <v>0.13452840572852637</v>
      </c>
      <c r="E71" s="171"/>
      <c r="F71" s="187">
        <f>F70*D71</f>
        <v>111891.57934420972</v>
      </c>
      <c r="G71" s="43"/>
      <c r="H71" s="266" t="s">
        <v>128</v>
      </c>
      <c r="I71" s="284"/>
      <c r="J71" s="285">
        <f>Q19</f>
        <v>0.21970000000000001</v>
      </c>
      <c r="K71" s="284"/>
      <c r="L71" s="272">
        <f>L70*J71</f>
        <v>37387.166449948883</v>
      </c>
      <c r="N71" s="178"/>
      <c r="T71" s="154"/>
      <c r="U71" s="287"/>
      <c r="V71" s="287"/>
      <c r="W71" s="287"/>
      <c r="X71" s="287"/>
    </row>
    <row r="72" spans="1:25" ht="17.25" customHeight="1" x14ac:dyDescent="0.25">
      <c r="A72" s="43"/>
      <c r="B72" s="221" t="str">
        <f>O45</f>
        <v>PFMLA Trust Contribution</v>
      </c>
      <c r="C72" s="222"/>
      <c r="D72" s="223">
        <f>P45</f>
        <v>6.3E-3</v>
      </c>
      <c r="E72" s="222"/>
      <c r="F72" s="224">
        <f>F62*D72</f>
        <v>2901.5451600780816</v>
      </c>
      <c r="G72" s="43"/>
      <c r="H72" s="299" t="str">
        <f>O45</f>
        <v>PFMLA Trust Contribution</v>
      </c>
      <c r="I72" s="300"/>
      <c r="J72" s="301">
        <f>P45</f>
        <v>6.3E-3</v>
      </c>
      <c r="K72" s="300"/>
      <c r="L72" s="302">
        <f>J72*L62</f>
        <v>562.39724377169853</v>
      </c>
      <c r="N72" s="178"/>
      <c r="T72" s="154"/>
      <c r="U72" s="287"/>
      <c r="V72" s="287"/>
      <c r="W72" s="287"/>
      <c r="X72" s="287"/>
    </row>
    <row r="73" spans="1:25" ht="27" customHeight="1" thickBot="1" x14ac:dyDescent="0.3">
      <c r="A73" s="43"/>
      <c r="B73" s="225" t="s">
        <v>129</v>
      </c>
      <c r="C73" s="226"/>
      <c r="D73" s="227"/>
      <c r="E73" s="226"/>
      <c r="F73" s="228">
        <f>SUM(F70:F72)</f>
        <v>946525.11997595814</v>
      </c>
      <c r="G73" s="43"/>
      <c r="H73" s="303" t="s">
        <v>129</v>
      </c>
      <c r="I73" s="304"/>
      <c r="J73" s="305"/>
      <c r="K73" s="304"/>
      <c r="L73" s="306">
        <f>SUM(L70:L72)</f>
        <v>208123.28444906371</v>
      </c>
      <c r="N73" s="178"/>
      <c r="T73" s="307"/>
      <c r="U73" s="308"/>
      <c r="V73" s="168"/>
      <c r="W73" s="309"/>
      <c r="X73" s="310"/>
    </row>
    <row r="74" spans="1:25" ht="21.75" customHeight="1" thickTop="1" x14ac:dyDescent="0.25">
      <c r="B74" s="201"/>
      <c r="C74" s="171"/>
      <c r="D74" s="229"/>
      <c r="E74" s="171"/>
      <c r="F74" s="311"/>
      <c r="G74" s="43"/>
      <c r="H74" s="266"/>
      <c r="I74" s="284"/>
      <c r="J74" s="312"/>
      <c r="K74" s="284"/>
      <c r="L74" s="313"/>
      <c r="N74" s="178"/>
      <c r="T74" s="171"/>
      <c r="U74" s="174"/>
      <c r="V74" s="174"/>
      <c r="W74" s="174"/>
      <c r="X74" s="314"/>
    </row>
    <row r="75" spans="1:25" ht="18" customHeight="1" thickBot="1" x14ac:dyDescent="0.3">
      <c r="B75" s="233" t="s">
        <v>131</v>
      </c>
      <c r="C75" s="234"/>
      <c r="D75" s="235">
        <f>P46</f>
        <v>1.8120393120392975E-2</v>
      </c>
      <c r="E75" s="236"/>
      <c r="F75" s="237">
        <f>F73*(1+D75)</f>
        <v>963676.52724824974</v>
      </c>
      <c r="G75" s="43"/>
      <c r="H75" s="233" t="s">
        <v>131</v>
      </c>
      <c r="I75" s="234"/>
      <c r="J75" s="235">
        <f>P46</f>
        <v>1.8120393120392975E-2</v>
      </c>
      <c r="K75" s="236"/>
      <c r="L75" s="237">
        <f>L73*(1+J75)</f>
        <v>211894.56018078813</v>
      </c>
      <c r="N75" s="178"/>
      <c r="T75" s="171"/>
      <c r="U75" s="174"/>
      <c r="V75" s="174"/>
      <c r="W75" s="174"/>
      <c r="X75" s="314"/>
    </row>
    <row r="76" spans="1:25" ht="16.149999999999999" thickBot="1" x14ac:dyDescent="0.35">
      <c r="B76" s="241"/>
      <c r="C76" s="242"/>
      <c r="D76" s="243"/>
      <c r="E76" s="244"/>
      <c r="F76" s="245"/>
      <c r="G76" s="43"/>
      <c r="H76" s="241"/>
      <c r="I76" s="242"/>
      <c r="J76" s="243"/>
      <c r="K76" s="244"/>
      <c r="L76" s="245"/>
      <c r="N76" s="178"/>
      <c r="T76" s="171"/>
      <c r="U76" s="181"/>
      <c r="V76" s="315"/>
      <c r="W76" s="182"/>
      <c r="X76" s="316"/>
    </row>
    <row r="77" spans="1:25" ht="13.9" thickTop="1" x14ac:dyDescent="0.25">
      <c r="B77" s="201" t="s">
        <v>158</v>
      </c>
      <c r="C77" s="171"/>
      <c r="D77" s="229"/>
      <c r="E77" s="171"/>
      <c r="F77" s="230">
        <f>SUM(F75:F76)</f>
        <v>963676.52724824974</v>
      </c>
      <c r="G77" s="43"/>
      <c r="H77" s="201" t="s">
        <v>158</v>
      </c>
      <c r="I77" s="171"/>
      <c r="J77" s="229"/>
      <c r="K77" s="171"/>
      <c r="L77" s="230">
        <f>SUM(L75:L76)</f>
        <v>211894.56018078813</v>
      </c>
      <c r="N77" s="178"/>
      <c r="O77" s="43"/>
      <c r="P77" s="43"/>
      <c r="Q77" s="43"/>
      <c r="R77" s="43"/>
      <c r="T77" s="154"/>
      <c r="U77" s="185"/>
      <c r="V77" s="174"/>
      <c r="W77" s="186"/>
      <c r="X77" s="214"/>
    </row>
    <row r="78" spans="1:25" ht="14.45" customHeight="1" x14ac:dyDescent="0.25">
      <c r="B78" s="201" t="s">
        <v>130</v>
      </c>
      <c r="C78" s="171"/>
      <c r="D78" s="229"/>
      <c r="E78" s="171"/>
      <c r="F78" s="246">
        <f>F77/F57</f>
        <v>42.685884445794194</v>
      </c>
      <c r="G78" s="43"/>
      <c r="H78" s="201" t="s">
        <v>130</v>
      </c>
      <c r="I78" s="171"/>
      <c r="J78" s="229"/>
      <c r="K78" s="171"/>
      <c r="L78" s="246">
        <f>L77/L57</f>
        <v>77.902411831172103</v>
      </c>
      <c r="N78" s="178"/>
      <c r="O78" s="43"/>
      <c r="P78" s="43"/>
      <c r="Q78" s="43"/>
      <c r="R78" s="43"/>
      <c r="T78" s="171"/>
      <c r="U78" s="185"/>
      <c r="V78" s="174"/>
      <c r="W78" s="317"/>
      <c r="X78" s="318"/>
    </row>
    <row r="79" spans="1:25" ht="13.9" thickBot="1" x14ac:dyDescent="0.3">
      <c r="B79" s="247"/>
      <c r="C79" s="319"/>
      <c r="D79" s="320"/>
      <c r="E79" s="319"/>
      <c r="F79" s="258"/>
      <c r="G79" s="43"/>
      <c r="H79" s="247"/>
      <c r="I79" s="319"/>
      <c r="J79" s="320"/>
      <c r="K79" s="319"/>
      <c r="L79" s="258"/>
      <c r="N79" s="178"/>
      <c r="O79" s="43"/>
      <c r="P79" s="43"/>
      <c r="Q79" s="43"/>
      <c r="R79" s="43"/>
      <c r="T79" s="171"/>
      <c r="U79" s="321"/>
      <c r="V79" s="321"/>
      <c r="W79" s="322"/>
      <c r="X79" s="323"/>
    </row>
    <row r="80" spans="1:25" ht="13.15" x14ac:dyDescent="0.25">
      <c r="B80" s="43"/>
      <c r="C80" s="43"/>
      <c r="D80" s="43"/>
      <c r="E80" s="143"/>
      <c r="F80" s="324"/>
      <c r="G80" s="43"/>
      <c r="H80" s="43"/>
      <c r="I80" s="325"/>
      <c r="J80" s="168"/>
      <c r="K80" s="309"/>
      <c r="L80" s="169"/>
      <c r="N80" s="178"/>
      <c r="O80" s="43"/>
      <c r="P80" s="43"/>
      <c r="Q80" s="43"/>
      <c r="R80" s="43"/>
      <c r="T80" s="171"/>
      <c r="U80" s="307"/>
      <c r="V80" s="326"/>
      <c r="W80" s="307"/>
      <c r="X80" s="327"/>
    </row>
    <row r="81" spans="1:35" x14ac:dyDescent="0.2">
      <c r="E81" s="153"/>
      <c r="F81" s="328"/>
      <c r="I81" s="329"/>
      <c r="J81" s="330"/>
      <c r="K81" s="330"/>
      <c r="L81" s="330"/>
      <c r="N81" s="178"/>
      <c r="O81" s="43"/>
      <c r="P81" s="43"/>
      <c r="Q81" s="43"/>
      <c r="R81" s="43"/>
      <c r="T81" s="202"/>
      <c r="U81" s="171"/>
      <c r="V81" s="205"/>
      <c r="W81" s="206"/>
      <c r="X81" s="214"/>
    </row>
    <row r="82" spans="1:35" x14ac:dyDescent="0.2">
      <c r="E82" s="153"/>
      <c r="F82" s="331"/>
      <c r="J82" s="332"/>
      <c r="K82" s="332"/>
      <c r="L82" s="331"/>
      <c r="N82" s="178"/>
      <c r="T82" s="171"/>
      <c r="U82" s="171"/>
      <c r="V82" s="205"/>
      <c r="W82" s="171"/>
      <c r="X82" s="327"/>
    </row>
    <row r="83" spans="1:35" x14ac:dyDescent="0.2">
      <c r="F83" s="333"/>
      <c r="I83" s="334"/>
      <c r="J83" s="335"/>
      <c r="K83" s="335"/>
      <c r="L83" s="214"/>
      <c r="N83" s="178"/>
      <c r="T83" s="202"/>
      <c r="U83" s="321"/>
      <c r="V83" s="336"/>
      <c r="W83" s="321"/>
      <c r="X83" s="323"/>
    </row>
    <row r="84" spans="1:35" x14ac:dyDescent="0.2">
      <c r="D84" s="337"/>
      <c r="E84" s="337"/>
      <c r="F84" s="338"/>
      <c r="G84" s="339"/>
      <c r="H84" s="340"/>
      <c r="I84" s="341"/>
      <c r="J84" s="342"/>
      <c r="K84" s="342"/>
      <c r="L84" s="343"/>
      <c r="N84" s="178"/>
      <c r="T84" s="202"/>
      <c r="U84" s="171"/>
      <c r="V84" s="205"/>
      <c r="W84" s="181"/>
      <c r="X84" s="327"/>
    </row>
    <row r="85" spans="1:35" x14ac:dyDescent="0.2">
      <c r="D85" s="337"/>
      <c r="E85" s="337"/>
      <c r="F85" s="337"/>
      <c r="G85" s="344"/>
      <c r="H85" s="178"/>
      <c r="I85" s="334"/>
      <c r="J85" s="345"/>
      <c r="K85" s="345"/>
      <c r="L85" s="323"/>
      <c r="N85" s="178"/>
      <c r="T85" s="202"/>
      <c r="U85" s="171"/>
      <c r="V85" s="205"/>
      <c r="W85" s="346"/>
      <c r="X85" s="214"/>
    </row>
    <row r="86" spans="1:35" x14ac:dyDescent="0.2">
      <c r="D86" s="337"/>
      <c r="E86" s="337"/>
      <c r="F86" s="337"/>
      <c r="G86" s="344"/>
      <c r="H86" s="178"/>
      <c r="I86" s="347"/>
      <c r="J86" s="348"/>
      <c r="K86" s="348"/>
      <c r="L86" s="327"/>
      <c r="N86" s="178"/>
      <c r="T86" s="171"/>
      <c r="U86" s="171"/>
      <c r="V86" s="205"/>
      <c r="W86" s="346"/>
      <c r="X86" s="349"/>
    </row>
    <row r="87" spans="1:35" x14ac:dyDescent="0.2">
      <c r="D87" s="337"/>
      <c r="E87" s="337"/>
      <c r="F87" s="337"/>
      <c r="G87" s="344"/>
      <c r="H87" s="171"/>
      <c r="I87" s="171"/>
      <c r="J87" s="205"/>
      <c r="K87" s="206"/>
      <c r="L87" s="214"/>
      <c r="N87" s="178"/>
      <c r="T87" s="43"/>
      <c r="U87" s="202"/>
      <c r="V87" s="205"/>
      <c r="W87" s="171"/>
      <c r="X87" s="214"/>
    </row>
    <row r="88" spans="1:35" s="43" customFormat="1" x14ac:dyDescent="0.2">
      <c r="A88" s="45"/>
      <c r="B88" s="45"/>
      <c r="C88" s="45"/>
      <c r="D88" s="45"/>
      <c r="E88" s="45"/>
      <c r="F88" s="252"/>
      <c r="G88" s="45"/>
      <c r="H88" s="171"/>
      <c r="I88" s="171"/>
      <c r="J88" s="205"/>
      <c r="K88" s="171"/>
      <c r="L88" s="327"/>
      <c r="N88" s="178"/>
      <c r="O88" s="45"/>
      <c r="P88" s="45"/>
      <c r="Q88" s="45"/>
      <c r="R88" s="45"/>
      <c r="S88" s="45"/>
      <c r="T88" s="45"/>
      <c r="U88" s="171"/>
      <c r="V88" s="205"/>
      <c r="W88" s="171"/>
      <c r="X88" s="214"/>
      <c r="Z88" s="45"/>
      <c r="AA88" s="45"/>
      <c r="AB88" s="45"/>
      <c r="AC88" s="45"/>
      <c r="AD88" s="45"/>
      <c r="AE88" s="45"/>
      <c r="AF88" s="45"/>
      <c r="AG88" s="45"/>
      <c r="AH88" s="45"/>
      <c r="AI88" s="45"/>
    </row>
    <row r="89" spans="1:35" s="43" customFormat="1" x14ac:dyDescent="0.2">
      <c r="A89" s="45"/>
      <c r="B89" s="45"/>
      <c r="C89" s="45"/>
      <c r="D89" s="45"/>
      <c r="E89" s="45"/>
      <c r="F89" s="252"/>
      <c r="G89" s="45"/>
      <c r="H89" s="154"/>
      <c r="I89" s="321"/>
      <c r="J89" s="336"/>
      <c r="K89" s="321"/>
      <c r="L89" s="323"/>
      <c r="N89" s="171"/>
      <c r="O89" s="45"/>
      <c r="P89" s="45"/>
      <c r="Q89" s="45"/>
      <c r="R89" s="45"/>
      <c r="S89" s="45"/>
      <c r="T89" s="45"/>
      <c r="U89" s="171"/>
      <c r="V89" s="229"/>
      <c r="W89" s="171"/>
      <c r="X89" s="350"/>
      <c r="Z89" s="45"/>
      <c r="AA89" s="45"/>
      <c r="AB89" s="45"/>
      <c r="AC89" s="45"/>
      <c r="AD89" s="45"/>
      <c r="AE89" s="45"/>
      <c r="AF89" s="45"/>
      <c r="AG89" s="45"/>
      <c r="AH89" s="45"/>
      <c r="AI89" s="45"/>
    </row>
    <row r="90" spans="1:35" s="43" customFormat="1" x14ac:dyDescent="0.2">
      <c r="B90" s="45"/>
      <c r="C90" s="45"/>
      <c r="D90" s="45"/>
      <c r="E90" s="45"/>
      <c r="F90" s="252"/>
      <c r="G90" s="45"/>
      <c r="H90" s="171"/>
      <c r="I90" s="171"/>
      <c r="J90" s="205"/>
      <c r="K90" s="181"/>
      <c r="L90" s="327"/>
      <c r="N90" s="171"/>
      <c r="O90" s="45"/>
      <c r="P90" s="45"/>
      <c r="Q90" s="45"/>
      <c r="R90" s="45"/>
      <c r="S90" s="45"/>
      <c r="T90" s="45"/>
      <c r="U90" s="171"/>
      <c r="V90" s="229"/>
      <c r="W90" s="171"/>
      <c r="X90" s="351"/>
    </row>
    <row r="91" spans="1:35" s="43" customFormat="1" x14ac:dyDescent="0.2">
      <c r="B91" s="45"/>
      <c r="C91" s="45"/>
      <c r="D91" s="45"/>
      <c r="E91" s="45"/>
      <c r="F91" s="352"/>
      <c r="G91" s="45"/>
      <c r="H91" s="171"/>
      <c r="I91" s="171"/>
      <c r="J91" s="205"/>
      <c r="K91" s="346"/>
      <c r="L91" s="214"/>
      <c r="N91" s="171"/>
      <c r="O91" s="45"/>
      <c r="P91" s="45"/>
      <c r="Q91" s="45"/>
      <c r="R91" s="45"/>
      <c r="S91" s="45"/>
      <c r="T91" s="45"/>
      <c r="U91" s="202"/>
      <c r="V91" s="353"/>
      <c r="W91" s="256"/>
      <c r="X91" s="255"/>
    </row>
    <row r="92" spans="1:35" s="43" customFormat="1" x14ac:dyDescent="0.2">
      <c r="B92" s="45"/>
      <c r="C92" s="45"/>
      <c r="D92" s="45"/>
      <c r="E92" s="45"/>
      <c r="F92" s="252"/>
      <c r="G92" s="45"/>
      <c r="H92" s="174"/>
      <c r="I92" s="171"/>
      <c r="J92" s="205"/>
      <c r="K92" s="346"/>
      <c r="L92" s="214"/>
      <c r="N92" s="171"/>
      <c r="O92" s="45"/>
      <c r="P92" s="45"/>
      <c r="Q92" s="45"/>
      <c r="R92" s="45"/>
      <c r="S92" s="45"/>
      <c r="T92" s="45"/>
      <c r="U92" s="171"/>
      <c r="V92" s="354"/>
      <c r="W92" s="171"/>
      <c r="X92" s="255"/>
    </row>
    <row r="93" spans="1:35" s="43" customFormat="1" x14ac:dyDescent="0.2">
      <c r="B93" s="45"/>
      <c r="C93" s="45"/>
      <c r="D93" s="45"/>
      <c r="E93" s="45"/>
      <c r="F93" s="252"/>
      <c r="G93" s="45"/>
      <c r="H93" s="202"/>
      <c r="I93" s="202"/>
      <c r="J93" s="205"/>
      <c r="K93" s="171"/>
      <c r="L93" s="214"/>
      <c r="N93" s="178"/>
      <c r="O93" s="45"/>
      <c r="P93" s="45"/>
      <c r="Q93" s="45"/>
      <c r="R93" s="45"/>
      <c r="S93" s="45"/>
      <c r="T93" s="45"/>
    </row>
    <row r="94" spans="1:35" s="43" customFormat="1" x14ac:dyDescent="0.2">
      <c r="A94" s="45"/>
      <c r="B94" s="45"/>
      <c r="C94" s="45"/>
      <c r="D94" s="45"/>
      <c r="E94" s="45"/>
      <c r="F94" s="252"/>
      <c r="G94" s="45"/>
      <c r="H94" s="171"/>
      <c r="I94" s="171"/>
      <c r="J94" s="205"/>
      <c r="K94" s="171"/>
      <c r="L94" s="214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</row>
    <row r="95" spans="1:35" x14ac:dyDescent="0.2">
      <c r="H95" s="202"/>
      <c r="I95" s="171"/>
      <c r="J95" s="229"/>
      <c r="K95" s="171"/>
      <c r="L95" s="350"/>
    </row>
    <row r="96" spans="1:35" x14ac:dyDescent="0.2">
      <c r="H96" s="202"/>
      <c r="I96" s="171"/>
      <c r="J96" s="229"/>
      <c r="K96" s="171"/>
      <c r="L96" s="351"/>
    </row>
    <row r="97" spans="8:12" x14ac:dyDescent="0.2">
      <c r="H97" s="202"/>
      <c r="I97" s="202"/>
      <c r="J97" s="353"/>
      <c r="K97" s="256"/>
      <c r="L97" s="255"/>
    </row>
    <row r="98" spans="8:12" x14ac:dyDescent="0.2">
      <c r="H98" s="171"/>
      <c r="I98" s="171"/>
      <c r="J98" s="354"/>
      <c r="K98" s="171"/>
      <c r="L98" s="255"/>
    </row>
    <row r="99" spans="8:12" x14ac:dyDescent="0.2">
      <c r="H99" s="171"/>
      <c r="I99" s="171"/>
      <c r="J99" s="354"/>
      <c r="K99" s="171"/>
      <c r="L99" s="255"/>
    </row>
    <row r="100" spans="8:12" x14ac:dyDescent="0.2">
      <c r="H100" s="171"/>
      <c r="I100" s="171"/>
      <c r="J100" s="171"/>
      <c r="K100" s="171"/>
      <c r="L100" s="327"/>
    </row>
  </sheetData>
  <mergeCells count="13">
    <mergeCell ref="O28:Q28"/>
    <mergeCell ref="O31:Q31"/>
    <mergeCell ref="O34:Q34"/>
    <mergeCell ref="P44:Q44"/>
    <mergeCell ref="B56:F56"/>
    <mergeCell ref="H56:L56"/>
    <mergeCell ref="B3:F3"/>
    <mergeCell ref="H3:L3"/>
    <mergeCell ref="N3:R3"/>
    <mergeCell ref="O4:S4"/>
    <mergeCell ref="B27:F27"/>
    <mergeCell ref="H27:L27"/>
    <mergeCell ref="O27:R27"/>
  </mergeCells>
  <pageMargins left="0.25" right="0.25" top="0.25" bottom="0.25" header="0.3" footer="0.3"/>
  <pageSetup scale="48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6"/>
  <sheetViews>
    <sheetView topLeftCell="BH1" workbookViewId="0">
      <selection activeCell="CB19" sqref="CB19"/>
    </sheetView>
  </sheetViews>
  <sheetFormatPr defaultRowHeight="12.75" x14ac:dyDescent="0.2"/>
  <cols>
    <col min="1" max="1" width="37.28515625" style="3" customWidth="1"/>
    <col min="2" max="2" width="12.42578125" style="8" customWidth="1"/>
    <col min="3" max="61" width="7.42578125" style="3" customWidth="1"/>
    <col min="62" max="73" width="8.7109375" style="3" customWidth="1"/>
    <col min="74" max="82" width="7.42578125" style="3" customWidth="1"/>
    <col min="83" max="256" width="8.85546875" style="3"/>
    <col min="257" max="257" width="37.28515625" style="3" customWidth="1"/>
    <col min="258" max="258" width="12.42578125" style="3" customWidth="1"/>
    <col min="259" max="317" width="7.42578125" style="3" customWidth="1"/>
    <col min="318" max="329" width="8.7109375" style="3" customWidth="1"/>
    <col min="330" max="338" width="7.42578125" style="3" customWidth="1"/>
    <col min="339" max="512" width="8.85546875" style="3"/>
    <col min="513" max="513" width="37.28515625" style="3" customWidth="1"/>
    <col min="514" max="514" width="12.42578125" style="3" customWidth="1"/>
    <col min="515" max="573" width="7.42578125" style="3" customWidth="1"/>
    <col min="574" max="585" width="8.7109375" style="3" customWidth="1"/>
    <col min="586" max="594" width="7.42578125" style="3" customWidth="1"/>
    <col min="595" max="768" width="8.85546875" style="3"/>
    <col min="769" max="769" width="37.28515625" style="3" customWidth="1"/>
    <col min="770" max="770" width="12.42578125" style="3" customWidth="1"/>
    <col min="771" max="829" width="7.42578125" style="3" customWidth="1"/>
    <col min="830" max="841" width="8.7109375" style="3" customWidth="1"/>
    <col min="842" max="850" width="7.42578125" style="3" customWidth="1"/>
    <col min="851" max="1024" width="8.85546875" style="3"/>
    <col min="1025" max="1025" width="37.28515625" style="3" customWidth="1"/>
    <col min="1026" max="1026" width="12.42578125" style="3" customWidth="1"/>
    <col min="1027" max="1085" width="7.42578125" style="3" customWidth="1"/>
    <col min="1086" max="1097" width="8.7109375" style="3" customWidth="1"/>
    <col min="1098" max="1106" width="7.42578125" style="3" customWidth="1"/>
    <col min="1107" max="1280" width="8.85546875" style="3"/>
    <col min="1281" max="1281" width="37.28515625" style="3" customWidth="1"/>
    <col min="1282" max="1282" width="12.42578125" style="3" customWidth="1"/>
    <col min="1283" max="1341" width="7.42578125" style="3" customWidth="1"/>
    <col min="1342" max="1353" width="8.7109375" style="3" customWidth="1"/>
    <col min="1354" max="1362" width="7.42578125" style="3" customWidth="1"/>
    <col min="1363" max="1536" width="8.85546875" style="3"/>
    <col min="1537" max="1537" width="37.28515625" style="3" customWidth="1"/>
    <col min="1538" max="1538" width="12.42578125" style="3" customWidth="1"/>
    <col min="1539" max="1597" width="7.42578125" style="3" customWidth="1"/>
    <col min="1598" max="1609" width="8.7109375" style="3" customWidth="1"/>
    <col min="1610" max="1618" width="7.42578125" style="3" customWidth="1"/>
    <col min="1619" max="1792" width="8.85546875" style="3"/>
    <col min="1793" max="1793" width="37.28515625" style="3" customWidth="1"/>
    <col min="1794" max="1794" width="12.42578125" style="3" customWidth="1"/>
    <col min="1795" max="1853" width="7.42578125" style="3" customWidth="1"/>
    <col min="1854" max="1865" width="8.7109375" style="3" customWidth="1"/>
    <col min="1866" max="1874" width="7.42578125" style="3" customWidth="1"/>
    <col min="1875" max="2048" width="8.85546875" style="3"/>
    <col min="2049" max="2049" width="37.28515625" style="3" customWidth="1"/>
    <col min="2050" max="2050" width="12.42578125" style="3" customWidth="1"/>
    <col min="2051" max="2109" width="7.42578125" style="3" customWidth="1"/>
    <col min="2110" max="2121" width="8.7109375" style="3" customWidth="1"/>
    <col min="2122" max="2130" width="7.42578125" style="3" customWidth="1"/>
    <col min="2131" max="2304" width="8.85546875" style="3"/>
    <col min="2305" max="2305" width="37.28515625" style="3" customWidth="1"/>
    <col min="2306" max="2306" width="12.42578125" style="3" customWidth="1"/>
    <col min="2307" max="2365" width="7.42578125" style="3" customWidth="1"/>
    <col min="2366" max="2377" width="8.7109375" style="3" customWidth="1"/>
    <col min="2378" max="2386" width="7.42578125" style="3" customWidth="1"/>
    <col min="2387" max="2560" width="8.85546875" style="3"/>
    <col min="2561" max="2561" width="37.28515625" style="3" customWidth="1"/>
    <col min="2562" max="2562" width="12.42578125" style="3" customWidth="1"/>
    <col min="2563" max="2621" width="7.42578125" style="3" customWidth="1"/>
    <col min="2622" max="2633" width="8.7109375" style="3" customWidth="1"/>
    <col min="2634" max="2642" width="7.42578125" style="3" customWidth="1"/>
    <col min="2643" max="2816" width="8.85546875" style="3"/>
    <col min="2817" max="2817" width="37.28515625" style="3" customWidth="1"/>
    <col min="2818" max="2818" width="12.42578125" style="3" customWidth="1"/>
    <col min="2819" max="2877" width="7.42578125" style="3" customWidth="1"/>
    <col min="2878" max="2889" width="8.7109375" style="3" customWidth="1"/>
    <col min="2890" max="2898" width="7.42578125" style="3" customWidth="1"/>
    <col min="2899" max="3072" width="8.85546875" style="3"/>
    <col min="3073" max="3073" width="37.28515625" style="3" customWidth="1"/>
    <col min="3074" max="3074" width="12.42578125" style="3" customWidth="1"/>
    <col min="3075" max="3133" width="7.42578125" style="3" customWidth="1"/>
    <col min="3134" max="3145" width="8.7109375" style="3" customWidth="1"/>
    <col min="3146" max="3154" width="7.42578125" style="3" customWidth="1"/>
    <col min="3155" max="3328" width="8.85546875" style="3"/>
    <col min="3329" max="3329" width="37.28515625" style="3" customWidth="1"/>
    <col min="3330" max="3330" width="12.42578125" style="3" customWidth="1"/>
    <col min="3331" max="3389" width="7.42578125" style="3" customWidth="1"/>
    <col min="3390" max="3401" width="8.7109375" style="3" customWidth="1"/>
    <col min="3402" max="3410" width="7.42578125" style="3" customWidth="1"/>
    <col min="3411" max="3584" width="8.85546875" style="3"/>
    <col min="3585" max="3585" width="37.28515625" style="3" customWidth="1"/>
    <col min="3586" max="3586" width="12.42578125" style="3" customWidth="1"/>
    <col min="3587" max="3645" width="7.42578125" style="3" customWidth="1"/>
    <col min="3646" max="3657" width="8.7109375" style="3" customWidth="1"/>
    <col min="3658" max="3666" width="7.42578125" style="3" customWidth="1"/>
    <col min="3667" max="3840" width="8.85546875" style="3"/>
    <col min="3841" max="3841" width="37.28515625" style="3" customWidth="1"/>
    <col min="3842" max="3842" width="12.42578125" style="3" customWidth="1"/>
    <col min="3843" max="3901" width="7.42578125" style="3" customWidth="1"/>
    <col min="3902" max="3913" width="8.7109375" style="3" customWidth="1"/>
    <col min="3914" max="3922" width="7.42578125" style="3" customWidth="1"/>
    <col min="3923" max="4096" width="8.85546875" style="3"/>
    <col min="4097" max="4097" width="37.28515625" style="3" customWidth="1"/>
    <col min="4098" max="4098" width="12.42578125" style="3" customWidth="1"/>
    <col min="4099" max="4157" width="7.42578125" style="3" customWidth="1"/>
    <col min="4158" max="4169" width="8.7109375" style="3" customWidth="1"/>
    <col min="4170" max="4178" width="7.42578125" style="3" customWidth="1"/>
    <col min="4179" max="4352" width="8.85546875" style="3"/>
    <col min="4353" max="4353" width="37.28515625" style="3" customWidth="1"/>
    <col min="4354" max="4354" width="12.42578125" style="3" customWidth="1"/>
    <col min="4355" max="4413" width="7.42578125" style="3" customWidth="1"/>
    <col min="4414" max="4425" width="8.7109375" style="3" customWidth="1"/>
    <col min="4426" max="4434" width="7.42578125" style="3" customWidth="1"/>
    <col min="4435" max="4608" width="8.85546875" style="3"/>
    <col min="4609" max="4609" width="37.28515625" style="3" customWidth="1"/>
    <col min="4610" max="4610" width="12.42578125" style="3" customWidth="1"/>
    <col min="4611" max="4669" width="7.42578125" style="3" customWidth="1"/>
    <col min="4670" max="4681" width="8.7109375" style="3" customWidth="1"/>
    <col min="4682" max="4690" width="7.42578125" style="3" customWidth="1"/>
    <col min="4691" max="4864" width="8.85546875" style="3"/>
    <col min="4865" max="4865" width="37.28515625" style="3" customWidth="1"/>
    <col min="4866" max="4866" width="12.42578125" style="3" customWidth="1"/>
    <col min="4867" max="4925" width="7.42578125" style="3" customWidth="1"/>
    <col min="4926" max="4937" width="8.7109375" style="3" customWidth="1"/>
    <col min="4938" max="4946" width="7.42578125" style="3" customWidth="1"/>
    <col min="4947" max="5120" width="8.85546875" style="3"/>
    <col min="5121" max="5121" width="37.28515625" style="3" customWidth="1"/>
    <col min="5122" max="5122" width="12.42578125" style="3" customWidth="1"/>
    <col min="5123" max="5181" width="7.42578125" style="3" customWidth="1"/>
    <col min="5182" max="5193" width="8.7109375" style="3" customWidth="1"/>
    <col min="5194" max="5202" width="7.42578125" style="3" customWidth="1"/>
    <col min="5203" max="5376" width="8.85546875" style="3"/>
    <col min="5377" max="5377" width="37.28515625" style="3" customWidth="1"/>
    <col min="5378" max="5378" width="12.42578125" style="3" customWidth="1"/>
    <col min="5379" max="5437" width="7.42578125" style="3" customWidth="1"/>
    <col min="5438" max="5449" width="8.7109375" style="3" customWidth="1"/>
    <col min="5450" max="5458" width="7.42578125" style="3" customWidth="1"/>
    <col min="5459" max="5632" width="8.85546875" style="3"/>
    <col min="5633" max="5633" width="37.28515625" style="3" customWidth="1"/>
    <col min="5634" max="5634" width="12.42578125" style="3" customWidth="1"/>
    <col min="5635" max="5693" width="7.42578125" style="3" customWidth="1"/>
    <col min="5694" max="5705" width="8.7109375" style="3" customWidth="1"/>
    <col min="5706" max="5714" width="7.42578125" style="3" customWidth="1"/>
    <col min="5715" max="5888" width="8.85546875" style="3"/>
    <col min="5889" max="5889" width="37.28515625" style="3" customWidth="1"/>
    <col min="5890" max="5890" width="12.42578125" style="3" customWidth="1"/>
    <col min="5891" max="5949" width="7.42578125" style="3" customWidth="1"/>
    <col min="5950" max="5961" width="8.7109375" style="3" customWidth="1"/>
    <col min="5962" max="5970" width="7.42578125" style="3" customWidth="1"/>
    <col min="5971" max="6144" width="8.85546875" style="3"/>
    <col min="6145" max="6145" width="37.28515625" style="3" customWidth="1"/>
    <col min="6146" max="6146" width="12.42578125" style="3" customWidth="1"/>
    <col min="6147" max="6205" width="7.42578125" style="3" customWidth="1"/>
    <col min="6206" max="6217" width="8.7109375" style="3" customWidth="1"/>
    <col min="6218" max="6226" width="7.42578125" style="3" customWidth="1"/>
    <col min="6227" max="6400" width="8.85546875" style="3"/>
    <col min="6401" max="6401" width="37.28515625" style="3" customWidth="1"/>
    <col min="6402" max="6402" width="12.42578125" style="3" customWidth="1"/>
    <col min="6403" max="6461" width="7.42578125" style="3" customWidth="1"/>
    <col min="6462" max="6473" width="8.7109375" style="3" customWidth="1"/>
    <col min="6474" max="6482" width="7.42578125" style="3" customWidth="1"/>
    <col min="6483" max="6656" width="8.85546875" style="3"/>
    <col min="6657" max="6657" width="37.28515625" style="3" customWidth="1"/>
    <col min="6658" max="6658" width="12.42578125" style="3" customWidth="1"/>
    <col min="6659" max="6717" width="7.42578125" style="3" customWidth="1"/>
    <col min="6718" max="6729" width="8.7109375" style="3" customWidth="1"/>
    <col min="6730" max="6738" width="7.42578125" style="3" customWidth="1"/>
    <col min="6739" max="6912" width="8.85546875" style="3"/>
    <col min="6913" max="6913" width="37.28515625" style="3" customWidth="1"/>
    <col min="6914" max="6914" width="12.42578125" style="3" customWidth="1"/>
    <col min="6915" max="6973" width="7.42578125" style="3" customWidth="1"/>
    <col min="6974" max="6985" width="8.7109375" style="3" customWidth="1"/>
    <col min="6986" max="6994" width="7.42578125" style="3" customWidth="1"/>
    <col min="6995" max="7168" width="8.85546875" style="3"/>
    <col min="7169" max="7169" width="37.28515625" style="3" customWidth="1"/>
    <col min="7170" max="7170" width="12.42578125" style="3" customWidth="1"/>
    <col min="7171" max="7229" width="7.42578125" style="3" customWidth="1"/>
    <col min="7230" max="7241" width="8.7109375" style="3" customWidth="1"/>
    <col min="7242" max="7250" width="7.42578125" style="3" customWidth="1"/>
    <col min="7251" max="7424" width="8.85546875" style="3"/>
    <col min="7425" max="7425" width="37.28515625" style="3" customWidth="1"/>
    <col min="7426" max="7426" width="12.42578125" style="3" customWidth="1"/>
    <col min="7427" max="7485" width="7.42578125" style="3" customWidth="1"/>
    <col min="7486" max="7497" width="8.7109375" style="3" customWidth="1"/>
    <col min="7498" max="7506" width="7.42578125" style="3" customWidth="1"/>
    <col min="7507" max="7680" width="8.85546875" style="3"/>
    <col min="7681" max="7681" width="37.28515625" style="3" customWidth="1"/>
    <col min="7682" max="7682" width="12.42578125" style="3" customWidth="1"/>
    <col min="7683" max="7741" width="7.42578125" style="3" customWidth="1"/>
    <col min="7742" max="7753" width="8.7109375" style="3" customWidth="1"/>
    <col min="7754" max="7762" width="7.42578125" style="3" customWidth="1"/>
    <col min="7763" max="7936" width="8.85546875" style="3"/>
    <col min="7937" max="7937" width="37.28515625" style="3" customWidth="1"/>
    <col min="7938" max="7938" width="12.42578125" style="3" customWidth="1"/>
    <col min="7939" max="7997" width="7.42578125" style="3" customWidth="1"/>
    <col min="7998" max="8009" width="8.7109375" style="3" customWidth="1"/>
    <col min="8010" max="8018" width="7.42578125" style="3" customWidth="1"/>
    <col min="8019" max="8192" width="8.85546875" style="3"/>
    <col min="8193" max="8193" width="37.28515625" style="3" customWidth="1"/>
    <col min="8194" max="8194" width="12.42578125" style="3" customWidth="1"/>
    <col min="8195" max="8253" width="7.42578125" style="3" customWidth="1"/>
    <col min="8254" max="8265" width="8.7109375" style="3" customWidth="1"/>
    <col min="8266" max="8274" width="7.42578125" style="3" customWidth="1"/>
    <col min="8275" max="8448" width="8.85546875" style="3"/>
    <col min="8449" max="8449" width="37.28515625" style="3" customWidth="1"/>
    <col min="8450" max="8450" width="12.42578125" style="3" customWidth="1"/>
    <col min="8451" max="8509" width="7.42578125" style="3" customWidth="1"/>
    <col min="8510" max="8521" width="8.7109375" style="3" customWidth="1"/>
    <col min="8522" max="8530" width="7.42578125" style="3" customWidth="1"/>
    <col min="8531" max="8704" width="8.85546875" style="3"/>
    <col min="8705" max="8705" width="37.28515625" style="3" customWidth="1"/>
    <col min="8706" max="8706" width="12.42578125" style="3" customWidth="1"/>
    <col min="8707" max="8765" width="7.42578125" style="3" customWidth="1"/>
    <col min="8766" max="8777" width="8.7109375" style="3" customWidth="1"/>
    <col min="8778" max="8786" width="7.42578125" style="3" customWidth="1"/>
    <col min="8787" max="8960" width="8.85546875" style="3"/>
    <col min="8961" max="8961" width="37.28515625" style="3" customWidth="1"/>
    <col min="8962" max="8962" width="12.42578125" style="3" customWidth="1"/>
    <col min="8963" max="9021" width="7.42578125" style="3" customWidth="1"/>
    <col min="9022" max="9033" width="8.7109375" style="3" customWidth="1"/>
    <col min="9034" max="9042" width="7.42578125" style="3" customWidth="1"/>
    <col min="9043" max="9216" width="8.85546875" style="3"/>
    <col min="9217" max="9217" width="37.28515625" style="3" customWidth="1"/>
    <col min="9218" max="9218" width="12.42578125" style="3" customWidth="1"/>
    <col min="9219" max="9277" width="7.42578125" style="3" customWidth="1"/>
    <col min="9278" max="9289" width="8.7109375" style="3" customWidth="1"/>
    <col min="9290" max="9298" width="7.42578125" style="3" customWidth="1"/>
    <col min="9299" max="9472" width="8.85546875" style="3"/>
    <col min="9473" max="9473" width="37.28515625" style="3" customWidth="1"/>
    <col min="9474" max="9474" width="12.42578125" style="3" customWidth="1"/>
    <col min="9475" max="9533" width="7.42578125" style="3" customWidth="1"/>
    <col min="9534" max="9545" width="8.7109375" style="3" customWidth="1"/>
    <col min="9546" max="9554" width="7.42578125" style="3" customWidth="1"/>
    <col min="9555" max="9728" width="8.85546875" style="3"/>
    <col min="9729" max="9729" width="37.28515625" style="3" customWidth="1"/>
    <col min="9730" max="9730" width="12.42578125" style="3" customWidth="1"/>
    <col min="9731" max="9789" width="7.42578125" style="3" customWidth="1"/>
    <col min="9790" max="9801" width="8.7109375" style="3" customWidth="1"/>
    <col min="9802" max="9810" width="7.42578125" style="3" customWidth="1"/>
    <col min="9811" max="9984" width="8.85546875" style="3"/>
    <col min="9985" max="9985" width="37.28515625" style="3" customWidth="1"/>
    <col min="9986" max="9986" width="12.42578125" style="3" customWidth="1"/>
    <col min="9987" max="10045" width="7.42578125" style="3" customWidth="1"/>
    <col min="10046" max="10057" width="8.7109375" style="3" customWidth="1"/>
    <col min="10058" max="10066" width="7.42578125" style="3" customWidth="1"/>
    <col min="10067" max="10240" width="8.85546875" style="3"/>
    <col min="10241" max="10241" width="37.28515625" style="3" customWidth="1"/>
    <col min="10242" max="10242" width="12.42578125" style="3" customWidth="1"/>
    <col min="10243" max="10301" width="7.42578125" style="3" customWidth="1"/>
    <col min="10302" max="10313" width="8.7109375" style="3" customWidth="1"/>
    <col min="10314" max="10322" width="7.42578125" style="3" customWidth="1"/>
    <col min="10323" max="10496" width="8.85546875" style="3"/>
    <col min="10497" max="10497" width="37.28515625" style="3" customWidth="1"/>
    <col min="10498" max="10498" width="12.42578125" style="3" customWidth="1"/>
    <col min="10499" max="10557" width="7.42578125" style="3" customWidth="1"/>
    <col min="10558" max="10569" width="8.7109375" style="3" customWidth="1"/>
    <col min="10570" max="10578" width="7.42578125" style="3" customWidth="1"/>
    <col min="10579" max="10752" width="8.85546875" style="3"/>
    <col min="10753" max="10753" width="37.28515625" style="3" customWidth="1"/>
    <col min="10754" max="10754" width="12.42578125" style="3" customWidth="1"/>
    <col min="10755" max="10813" width="7.42578125" style="3" customWidth="1"/>
    <col min="10814" max="10825" width="8.7109375" style="3" customWidth="1"/>
    <col min="10826" max="10834" width="7.42578125" style="3" customWidth="1"/>
    <col min="10835" max="11008" width="8.85546875" style="3"/>
    <col min="11009" max="11009" width="37.28515625" style="3" customWidth="1"/>
    <col min="11010" max="11010" width="12.42578125" style="3" customWidth="1"/>
    <col min="11011" max="11069" width="7.42578125" style="3" customWidth="1"/>
    <col min="11070" max="11081" width="8.7109375" style="3" customWidth="1"/>
    <col min="11082" max="11090" width="7.42578125" style="3" customWidth="1"/>
    <col min="11091" max="11264" width="8.85546875" style="3"/>
    <col min="11265" max="11265" width="37.28515625" style="3" customWidth="1"/>
    <col min="11266" max="11266" width="12.42578125" style="3" customWidth="1"/>
    <col min="11267" max="11325" width="7.42578125" style="3" customWidth="1"/>
    <col min="11326" max="11337" width="8.7109375" style="3" customWidth="1"/>
    <col min="11338" max="11346" width="7.42578125" style="3" customWidth="1"/>
    <col min="11347" max="11520" width="8.85546875" style="3"/>
    <col min="11521" max="11521" width="37.28515625" style="3" customWidth="1"/>
    <col min="11522" max="11522" width="12.42578125" style="3" customWidth="1"/>
    <col min="11523" max="11581" width="7.42578125" style="3" customWidth="1"/>
    <col min="11582" max="11593" width="8.7109375" style="3" customWidth="1"/>
    <col min="11594" max="11602" width="7.42578125" style="3" customWidth="1"/>
    <col min="11603" max="11776" width="8.85546875" style="3"/>
    <col min="11777" max="11777" width="37.28515625" style="3" customWidth="1"/>
    <col min="11778" max="11778" width="12.42578125" style="3" customWidth="1"/>
    <col min="11779" max="11837" width="7.42578125" style="3" customWidth="1"/>
    <col min="11838" max="11849" width="8.7109375" style="3" customWidth="1"/>
    <col min="11850" max="11858" width="7.42578125" style="3" customWidth="1"/>
    <col min="11859" max="12032" width="8.85546875" style="3"/>
    <col min="12033" max="12033" width="37.28515625" style="3" customWidth="1"/>
    <col min="12034" max="12034" width="12.42578125" style="3" customWidth="1"/>
    <col min="12035" max="12093" width="7.42578125" style="3" customWidth="1"/>
    <col min="12094" max="12105" width="8.7109375" style="3" customWidth="1"/>
    <col min="12106" max="12114" width="7.42578125" style="3" customWidth="1"/>
    <col min="12115" max="12288" width="8.85546875" style="3"/>
    <col min="12289" max="12289" width="37.28515625" style="3" customWidth="1"/>
    <col min="12290" max="12290" width="12.42578125" style="3" customWidth="1"/>
    <col min="12291" max="12349" width="7.42578125" style="3" customWidth="1"/>
    <col min="12350" max="12361" width="8.7109375" style="3" customWidth="1"/>
    <col min="12362" max="12370" width="7.42578125" style="3" customWidth="1"/>
    <col min="12371" max="12544" width="8.85546875" style="3"/>
    <col min="12545" max="12545" width="37.28515625" style="3" customWidth="1"/>
    <col min="12546" max="12546" width="12.42578125" style="3" customWidth="1"/>
    <col min="12547" max="12605" width="7.42578125" style="3" customWidth="1"/>
    <col min="12606" max="12617" width="8.7109375" style="3" customWidth="1"/>
    <col min="12618" max="12626" width="7.42578125" style="3" customWidth="1"/>
    <col min="12627" max="12800" width="8.85546875" style="3"/>
    <col min="12801" max="12801" width="37.28515625" style="3" customWidth="1"/>
    <col min="12802" max="12802" width="12.42578125" style="3" customWidth="1"/>
    <col min="12803" max="12861" width="7.42578125" style="3" customWidth="1"/>
    <col min="12862" max="12873" width="8.7109375" style="3" customWidth="1"/>
    <col min="12874" max="12882" width="7.42578125" style="3" customWidth="1"/>
    <col min="12883" max="13056" width="8.85546875" style="3"/>
    <col min="13057" max="13057" width="37.28515625" style="3" customWidth="1"/>
    <col min="13058" max="13058" width="12.42578125" style="3" customWidth="1"/>
    <col min="13059" max="13117" width="7.42578125" style="3" customWidth="1"/>
    <col min="13118" max="13129" width="8.7109375" style="3" customWidth="1"/>
    <col min="13130" max="13138" width="7.42578125" style="3" customWidth="1"/>
    <col min="13139" max="13312" width="8.85546875" style="3"/>
    <col min="13313" max="13313" width="37.28515625" style="3" customWidth="1"/>
    <col min="13314" max="13314" width="12.42578125" style="3" customWidth="1"/>
    <col min="13315" max="13373" width="7.42578125" style="3" customWidth="1"/>
    <col min="13374" max="13385" width="8.7109375" style="3" customWidth="1"/>
    <col min="13386" max="13394" width="7.42578125" style="3" customWidth="1"/>
    <col min="13395" max="13568" width="8.85546875" style="3"/>
    <col min="13569" max="13569" width="37.28515625" style="3" customWidth="1"/>
    <col min="13570" max="13570" width="12.42578125" style="3" customWidth="1"/>
    <col min="13571" max="13629" width="7.42578125" style="3" customWidth="1"/>
    <col min="13630" max="13641" width="8.7109375" style="3" customWidth="1"/>
    <col min="13642" max="13650" width="7.42578125" style="3" customWidth="1"/>
    <col min="13651" max="13824" width="8.85546875" style="3"/>
    <col min="13825" max="13825" width="37.28515625" style="3" customWidth="1"/>
    <col min="13826" max="13826" width="12.42578125" style="3" customWidth="1"/>
    <col min="13827" max="13885" width="7.42578125" style="3" customWidth="1"/>
    <col min="13886" max="13897" width="8.7109375" style="3" customWidth="1"/>
    <col min="13898" max="13906" width="7.42578125" style="3" customWidth="1"/>
    <col min="13907" max="14080" width="8.85546875" style="3"/>
    <col min="14081" max="14081" width="37.28515625" style="3" customWidth="1"/>
    <col min="14082" max="14082" width="12.42578125" style="3" customWidth="1"/>
    <col min="14083" max="14141" width="7.42578125" style="3" customWidth="1"/>
    <col min="14142" max="14153" width="8.7109375" style="3" customWidth="1"/>
    <col min="14154" max="14162" width="7.42578125" style="3" customWidth="1"/>
    <col min="14163" max="14336" width="8.85546875" style="3"/>
    <col min="14337" max="14337" width="37.28515625" style="3" customWidth="1"/>
    <col min="14338" max="14338" width="12.42578125" style="3" customWidth="1"/>
    <col min="14339" max="14397" width="7.42578125" style="3" customWidth="1"/>
    <col min="14398" max="14409" width="8.7109375" style="3" customWidth="1"/>
    <col min="14410" max="14418" width="7.42578125" style="3" customWidth="1"/>
    <col min="14419" max="14592" width="8.85546875" style="3"/>
    <col min="14593" max="14593" width="37.28515625" style="3" customWidth="1"/>
    <col min="14594" max="14594" width="12.42578125" style="3" customWidth="1"/>
    <col min="14595" max="14653" width="7.42578125" style="3" customWidth="1"/>
    <col min="14654" max="14665" width="8.7109375" style="3" customWidth="1"/>
    <col min="14666" max="14674" width="7.42578125" style="3" customWidth="1"/>
    <col min="14675" max="14848" width="8.85546875" style="3"/>
    <col min="14849" max="14849" width="37.28515625" style="3" customWidth="1"/>
    <col min="14850" max="14850" width="12.42578125" style="3" customWidth="1"/>
    <col min="14851" max="14909" width="7.42578125" style="3" customWidth="1"/>
    <col min="14910" max="14921" width="8.7109375" style="3" customWidth="1"/>
    <col min="14922" max="14930" width="7.42578125" style="3" customWidth="1"/>
    <col min="14931" max="15104" width="8.85546875" style="3"/>
    <col min="15105" max="15105" width="37.28515625" style="3" customWidth="1"/>
    <col min="15106" max="15106" width="12.42578125" style="3" customWidth="1"/>
    <col min="15107" max="15165" width="7.42578125" style="3" customWidth="1"/>
    <col min="15166" max="15177" width="8.7109375" style="3" customWidth="1"/>
    <col min="15178" max="15186" width="7.42578125" style="3" customWidth="1"/>
    <col min="15187" max="15360" width="8.85546875" style="3"/>
    <col min="15361" max="15361" width="37.28515625" style="3" customWidth="1"/>
    <col min="15362" max="15362" width="12.42578125" style="3" customWidth="1"/>
    <col min="15363" max="15421" width="7.42578125" style="3" customWidth="1"/>
    <col min="15422" max="15433" width="8.7109375" style="3" customWidth="1"/>
    <col min="15434" max="15442" width="7.42578125" style="3" customWidth="1"/>
    <col min="15443" max="15616" width="8.85546875" style="3"/>
    <col min="15617" max="15617" width="37.28515625" style="3" customWidth="1"/>
    <col min="15618" max="15618" width="12.42578125" style="3" customWidth="1"/>
    <col min="15619" max="15677" width="7.42578125" style="3" customWidth="1"/>
    <col min="15678" max="15689" width="8.7109375" style="3" customWidth="1"/>
    <col min="15690" max="15698" width="7.42578125" style="3" customWidth="1"/>
    <col min="15699" max="15872" width="8.85546875" style="3"/>
    <col min="15873" max="15873" width="37.28515625" style="3" customWidth="1"/>
    <col min="15874" max="15874" width="12.42578125" style="3" customWidth="1"/>
    <col min="15875" max="15933" width="7.42578125" style="3" customWidth="1"/>
    <col min="15934" max="15945" width="8.7109375" style="3" customWidth="1"/>
    <col min="15946" max="15954" width="7.42578125" style="3" customWidth="1"/>
    <col min="15955" max="16128" width="8.85546875" style="3"/>
    <col min="16129" max="16129" width="37.28515625" style="3" customWidth="1"/>
    <col min="16130" max="16130" width="12.42578125" style="3" customWidth="1"/>
    <col min="16131" max="16189" width="7.42578125" style="3" customWidth="1"/>
    <col min="16190" max="16201" width="8.7109375" style="3" customWidth="1"/>
    <col min="16202" max="16210" width="7.42578125" style="3" customWidth="1"/>
    <col min="16211" max="16384" width="8.85546875" style="3"/>
  </cols>
  <sheetData>
    <row r="1" spans="1:83" ht="17.45" x14ac:dyDescent="0.3">
      <c r="A1" s="1" t="s">
        <v>0</v>
      </c>
      <c r="B1" s="2"/>
    </row>
    <row r="2" spans="1:83" ht="15.6" x14ac:dyDescent="0.3">
      <c r="A2" s="4" t="s">
        <v>1</v>
      </c>
      <c r="B2" s="5"/>
    </row>
    <row r="3" spans="1:83" ht="14.45" thickBot="1" x14ac:dyDescent="0.3">
      <c r="A3" s="6" t="s">
        <v>2</v>
      </c>
      <c r="B3" s="7"/>
    </row>
    <row r="6" spans="1:83" ht="13.15" x14ac:dyDescent="0.25">
      <c r="BA6" s="9" t="s">
        <v>3</v>
      </c>
      <c r="BB6" s="9" t="s">
        <v>3</v>
      </c>
      <c r="BC6" s="9" t="s">
        <v>3</v>
      </c>
      <c r="BD6" s="9" t="s">
        <v>3</v>
      </c>
      <c r="BE6" s="9" t="s">
        <v>4</v>
      </c>
      <c r="BF6" s="9" t="s">
        <v>4</v>
      </c>
      <c r="BG6" s="9" t="s">
        <v>4</v>
      </c>
      <c r="BH6" s="9" t="s">
        <v>4</v>
      </c>
      <c r="BI6" s="10" t="s">
        <v>5</v>
      </c>
      <c r="BJ6" s="10" t="s">
        <v>5</v>
      </c>
      <c r="BK6" s="10" t="s">
        <v>5</v>
      </c>
      <c r="BL6" s="10" t="s">
        <v>5</v>
      </c>
      <c r="BM6" s="11" t="s">
        <v>6</v>
      </c>
      <c r="BN6" s="11" t="s">
        <v>6</v>
      </c>
      <c r="BO6" s="11" t="s">
        <v>6</v>
      </c>
      <c r="BP6" s="11" t="s">
        <v>6</v>
      </c>
      <c r="BQ6" s="12" t="s">
        <v>7</v>
      </c>
      <c r="BR6" s="12" t="s">
        <v>7</v>
      </c>
      <c r="BS6" s="12" t="s">
        <v>7</v>
      </c>
      <c r="BT6" s="12" t="s">
        <v>7</v>
      </c>
      <c r="BU6" s="13" t="s">
        <v>8</v>
      </c>
      <c r="BV6" s="13" t="s">
        <v>8</v>
      </c>
      <c r="BW6" s="13" t="s">
        <v>8</v>
      </c>
      <c r="BX6" s="13" t="s">
        <v>8</v>
      </c>
      <c r="BY6" s="14" t="s">
        <v>9</v>
      </c>
      <c r="BZ6" s="14" t="s">
        <v>9</v>
      </c>
      <c r="CA6" s="14" t="s">
        <v>9</v>
      </c>
      <c r="CB6" s="14" t="s">
        <v>9</v>
      </c>
    </row>
    <row r="7" spans="1:83" s="8" customFormat="1" ht="13.15" x14ac:dyDescent="0.25">
      <c r="B7" s="8" t="s">
        <v>10</v>
      </c>
      <c r="C7" s="15" t="s">
        <v>11</v>
      </c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5" t="s">
        <v>19</v>
      </c>
      <c r="L7" s="15" t="s">
        <v>20</v>
      </c>
      <c r="M7" s="15" t="s">
        <v>21</v>
      </c>
      <c r="N7" s="15" t="s">
        <v>22</v>
      </c>
      <c r="O7" s="15" t="s">
        <v>23</v>
      </c>
      <c r="P7" s="15" t="s">
        <v>24</v>
      </c>
      <c r="Q7" s="15" t="s">
        <v>25</v>
      </c>
      <c r="R7" s="15" t="s">
        <v>26</v>
      </c>
      <c r="S7" s="15" t="s">
        <v>27</v>
      </c>
      <c r="T7" s="15" t="s">
        <v>28</v>
      </c>
      <c r="U7" s="15" t="s">
        <v>29</v>
      </c>
      <c r="V7" s="15" t="s">
        <v>30</v>
      </c>
      <c r="W7" s="15" t="s">
        <v>31</v>
      </c>
      <c r="X7" s="15" t="s">
        <v>32</v>
      </c>
      <c r="Y7" s="15" t="s">
        <v>33</v>
      </c>
      <c r="Z7" s="15" t="s">
        <v>34</v>
      </c>
      <c r="AA7" s="15" t="s">
        <v>35</v>
      </c>
      <c r="AB7" s="15" t="s">
        <v>36</v>
      </c>
      <c r="AC7" s="15" t="s">
        <v>37</v>
      </c>
      <c r="AD7" s="15" t="s">
        <v>38</v>
      </c>
      <c r="AE7" s="15" t="s">
        <v>39</v>
      </c>
      <c r="AF7" s="15" t="s">
        <v>40</v>
      </c>
      <c r="AG7" s="15" t="s">
        <v>41</v>
      </c>
      <c r="AH7" s="15" t="s">
        <v>42</v>
      </c>
      <c r="AI7" s="15" t="s">
        <v>43</v>
      </c>
      <c r="AJ7" s="15" t="s">
        <v>44</v>
      </c>
      <c r="AK7" s="15" t="s">
        <v>45</v>
      </c>
      <c r="AL7" s="15" t="s">
        <v>46</v>
      </c>
      <c r="AM7" s="15" t="s">
        <v>47</v>
      </c>
      <c r="AN7" s="15" t="s">
        <v>48</v>
      </c>
      <c r="AO7" s="15" t="s">
        <v>49</v>
      </c>
      <c r="AP7" s="15" t="s">
        <v>50</v>
      </c>
      <c r="AQ7" s="15" t="s">
        <v>51</v>
      </c>
      <c r="AR7" s="15" t="s">
        <v>52</v>
      </c>
      <c r="AS7" s="15" t="s">
        <v>53</v>
      </c>
      <c r="AT7" s="15" t="s">
        <v>54</v>
      </c>
      <c r="AU7" s="8" t="s">
        <v>55</v>
      </c>
      <c r="AV7" s="8" t="s">
        <v>56</v>
      </c>
      <c r="AW7" s="8" t="s">
        <v>57</v>
      </c>
      <c r="AX7" s="8" t="s">
        <v>58</v>
      </c>
      <c r="AY7" s="8" t="s">
        <v>59</v>
      </c>
      <c r="AZ7" s="8" t="s">
        <v>60</v>
      </c>
      <c r="BA7" s="8" t="s">
        <v>61</v>
      </c>
      <c r="BB7" s="8" t="s">
        <v>62</v>
      </c>
      <c r="BC7" s="8" t="s">
        <v>63</v>
      </c>
      <c r="BD7" s="8" t="s">
        <v>64</v>
      </c>
      <c r="BE7" s="8" t="s">
        <v>65</v>
      </c>
      <c r="BF7" s="8" t="s">
        <v>66</v>
      </c>
      <c r="BG7" s="8" t="s">
        <v>67</v>
      </c>
      <c r="BH7" s="8" t="s">
        <v>68</v>
      </c>
      <c r="BI7" s="8" t="s">
        <v>69</v>
      </c>
      <c r="BJ7" s="8" t="s">
        <v>70</v>
      </c>
      <c r="BK7" s="8" t="s">
        <v>71</v>
      </c>
      <c r="BL7" s="8" t="s">
        <v>72</v>
      </c>
      <c r="BM7" s="8" t="s">
        <v>73</v>
      </c>
      <c r="BN7" s="8" t="s">
        <v>74</v>
      </c>
      <c r="BO7" s="8" t="s">
        <v>75</v>
      </c>
      <c r="BP7" s="8" t="s">
        <v>76</v>
      </c>
      <c r="BQ7" s="8" t="s">
        <v>77</v>
      </c>
      <c r="BR7" s="8" t="s">
        <v>78</v>
      </c>
      <c r="BS7" s="8" t="s">
        <v>79</v>
      </c>
      <c r="BT7" s="8" t="s">
        <v>80</v>
      </c>
      <c r="BU7" s="8" t="s">
        <v>81</v>
      </c>
      <c r="BV7" s="8" t="s">
        <v>82</v>
      </c>
      <c r="BW7" s="8" t="s">
        <v>83</v>
      </c>
      <c r="BX7" s="8" t="s">
        <v>84</v>
      </c>
      <c r="BY7" s="8" t="s">
        <v>85</v>
      </c>
      <c r="BZ7" s="8" t="s">
        <v>86</v>
      </c>
      <c r="CA7" s="8" t="s">
        <v>87</v>
      </c>
      <c r="CB7" s="8" t="s">
        <v>88</v>
      </c>
      <c r="CC7" s="8" t="s">
        <v>89</v>
      </c>
      <c r="CD7" s="8" t="s">
        <v>90</v>
      </c>
      <c r="CE7" s="8" t="s">
        <v>91</v>
      </c>
    </row>
    <row r="8" spans="1:83" ht="13.15" x14ac:dyDescent="0.25">
      <c r="A8" s="8" t="s">
        <v>92</v>
      </c>
      <c r="B8" s="8" t="s">
        <v>93</v>
      </c>
      <c r="C8" s="16">
        <v>2.0350000000000001</v>
      </c>
      <c r="D8" s="16">
        <v>2.06</v>
      </c>
      <c r="E8" s="16">
        <v>2.0649999999999999</v>
      </c>
      <c r="F8" s="16">
        <v>2.0870000000000002</v>
      </c>
      <c r="G8" s="16">
        <v>2.1040000000000001</v>
      </c>
      <c r="H8" s="16">
        <v>2.1150000000000002</v>
      </c>
      <c r="I8" s="16">
        <v>2.1509999999999998</v>
      </c>
      <c r="J8" s="16">
        <v>2.17</v>
      </c>
      <c r="K8" s="16">
        <v>2.1869999999999998</v>
      </c>
      <c r="L8" s="16">
        <v>2.2120000000000002</v>
      </c>
      <c r="M8" s="16">
        <v>2.2349999999999999</v>
      </c>
      <c r="N8" s="16">
        <v>2.2210000000000001</v>
      </c>
      <c r="O8" s="16">
        <v>2.2320000000000002</v>
      </c>
      <c r="P8" s="16">
        <v>2.258</v>
      </c>
      <c r="Q8" s="16">
        <v>2.2759999999999998</v>
      </c>
      <c r="R8" s="16">
        <v>2.302</v>
      </c>
      <c r="S8" s="16">
        <v>2.3199999999999998</v>
      </c>
      <c r="T8" s="16">
        <v>2.3639999999999999</v>
      </c>
      <c r="U8" s="16">
        <v>2.4049999999999998</v>
      </c>
      <c r="V8" s="16">
        <v>2.351</v>
      </c>
      <c r="W8" s="16">
        <v>2.34</v>
      </c>
      <c r="X8" s="16">
        <v>2.347</v>
      </c>
      <c r="Y8" s="16">
        <v>2.367</v>
      </c>
      <c r="Z8" s="16">
        <v>2.3809999999999998</v>
      </c>
      <c r="AA8" s="16">
        <v>2.379</v>
      </c>
      <c r="AB8" s="16">
        <v>2.383</v>
      </c>
      <c r="AC8" s="16">
        <v>2.3980000000000001</v>
      </c>
      <c r="AD8" s="16">
        <v>2.4220000000000002</v>
      </c>
      <c r="AE8" s="16">
        <v>2.4319999999999999</v>
      </c>
      <c r="AF8" s="16">
        <v>2.4769999999999999</v>
      </c>
      <c r="AG8" s="16">
        <v>2.4889999999999999</v>
      </c>
      <c r="AH8" s="16">
        <v>2.4969999999999999</v>
      </c>
      <c r="AI8" s="16">
        <v>2.5129999999999999</v>
      </c>
      <c r="AJ8" s="16">
        <v>2.5190000000000001</v>
      </c>
      <c r="AK8" s="16">
        <v>2.5299999999999998</v>
      </c>
      <c r="AL8" s="16">
        <v>2.5499999999999998</v>
      </c>
      <c r="AM8" s="16">
        <v>2.5569999999999999</v>
      </c>
      <c r="AN8" s="16">
        <v>2.5550000000000002</v>
      </c>
      <c r="AO8" s="16">
        <v>2.5739999999999998</v>
      </c>
      <c r="AP8" s="16">
        <v>2.589</v>
      </c>
      <c r="AQ8" s="16">
        <v>2.597</v>
      </c>
      <c r="AR8" s="16">
        <v>2.6080000000000001</v>
      </c>
      <c r="AS8" s="16">
        <v>2.6139999999999999</v>
      </c>
      <c r="AT8" s="16">
        <v>2.617</v>
      </c>
      <c r="AU8" s="3">
        <v>2.6120000000000001</v>
      </c>
      <c r="AV8" s="3">
        <v>2.6230000000000002</v>
      </c>
      <c r="AW8" s="3">
        <v>2.6190000000000002</v>
      </c>
      <c r="AX8" s="3">
        <v>2.6269999999999998</v>
      </c>
      <c r="AY8" s="3">
        <v>2.621</v>
      </c>
      <c r="AZ8" s="3">
        <v>2.6419999999999999</v>
      </c>
      <c r="BA8" s="3">
        <v>2.6629999999999998</v>
      </c>
      <c r="BB8" s="3">
        <v>2.6779999999999999</v>
      </c>
      <c r="BC8" s="3">
        <v>2.694</v>
      </c>
      <c r="BD8" s="3">
        <v>2.6960000000000002</v>
      </c>
      <c r="BE8" s="3">
        <v>2.7080000000000002</v>
      </c>
      <c r="BF8" s="3">
        <v>2.72</v>
      </c>
      <c r="BG8" s="3">
        <v>2.7589999999999999</v>
      </c>
      <c r="BH8" s="3">
        <v>2.7719999999999998</v>
      </c>
      <c r="BI8" s="3">
        <v>2.7810000000000001</v>
      </c>
      <c r="BJ8" s="3">
        <v>2.7879999999999998</v>
      </c>
      <c r="BK8" s="3">
        <v>2.794</v>
      </c>
      <c r="BL8" s="3">
        <v>2.8210000000000002</v>
      </c>
      <c r="BM8" s="3">
        <v>2.843</v>
      </c>
      <c r="BN8" s="3">
        <v>2.8580000000000001</v>
      </c>
      <c r="BO8" s="3">
        <v>2.87</v>
      </c>
      <c r="BP8" s="3">
        <v>2.879</v>
      </c>
      <c r="BQ8" s="3">
        <v>2.8940000000000001</v>
      </c>
      <c r="BR8" s="3">
        <v>2.9039999999999999</v>
      </c>
      <c r="BS8" s="3">
        <v>2.927</v>
      </c>
      <c r="BT8" s="3">
        <v>2.9470000000000001</v>
      </c>
      <c r="BU8" s="3">
        <v>2.9670000000000001</v>
      </c>
      <c r="BV8" s="3">
        <v>2.9849999999999999</v>
      </c>
      <c r="BW8" s="3">
        <v>3.004</v>
      </c>
      <c r="BX8" s="3">
        <v>3.0209999999999999</v>
      </c>
      <c r="BY8" s="3">
        <v>3.0390000000000001</v>
      </c>
      <c r="BZ8" s="3">
        <v>3.0590000000000002</v>
      </c>
      <c r="CA8" s="3">
        <v>3.0779999999999998</v>
      </c>
      <c r="CB8" s="3">
        <v>3.0939999999999999</v>
      </c>
      <c r="CC8" s="3">
        <v>3.1139999999999999</v>
      </c>
      <c r="CD8" s="3">
        <v>3.1339999999999999</v>
      </c>
    </row>
    <row r="9" spans="1:83" ht="13.15" x14ac:dyDescent="0.25">
      <c r="A9" s="8" t="s">
        <v>94</v>
      </c>
      <c r="B9" s="8" t="s">
        <v>95</v>
      </c>
      <c r="C9" s="16">
        <v>2.0350000000000001</v>
      </c>
      <c r="D9" s="16">
        <v>2.06</v>
      </c>
      <c r="E9" s="16">
        <v>2.0649999999999999</v>
      </c>
      <c r="F9" s="16">
        <v>2.0870000000000002</v>
      </c>
      <c r="G9" s="16">
        <v>2.1040000000000001</v>
      </c>
      <c r="H9" s="16">
        <v>2.1150000000000002</v>
      </c>
      <c r="I9" s="16">
        <v>2.1509999999999998</v>
      </c>
      <c r="J9" s="16">
        <v>2.17</v>
      </c>
      <c r="K9" s="16">
        <v>2.1869999999999998</v>
      </c>
      <c r="L9" s="16">
        <v>2.2120000000000002</v>
      </c>
      <c r="M9" s="16">
        <v>2.2349999999999999</v>
      </c>
      <c r="N9" s="16">
        <v>2.2210000000000001</v>
      </c>
      <c r="O9" s="16">
        <v>2.2320000000000002</v>
      </c>
      <c r="P9" s="16">
        <v>2.258</v>
      </c>
      <c r="Q9" s="16">
        <v>2.2759999999999998</v>
      </c>
      <c r="R9" s="16">
        <v>2.302</v>
      </c>
      <c r="S9" s="16">
        <v>2.3199999999999998</v>
      </c>
      <c r="T9" s="16">
        <v>2.3639999999999999</v>
      </c>
      <c r="U9" s="16">
        <v>2.4049999999999998</v>
      </c>
      <c r="V9" s="16">
        <v>2.351</v>
      </c>
      <c r="W9" s="16">
        <v>2.34</v>
      </c>
      <c r="X9" s="16">
        <v>2.347</v>
      </c>
      <c r="Y9" s="16">
        <v>2.367</v>
      </c>
      <c r="Z9" s="16">
        <v>2.3809999999999998</v>
      </c>
      <c r="AA9" s="16">
        <v>2.379</v>
      </c>
      <c r="AB9" s="16">
        <v>2.383</v>
      </c>
      <c r="AC9" s="16">
        <v>2.3980000000000001</v>
      </c>
      <c r="AD9" s="16">
        <v>2.4220000000000002</v>
      </c>
      <c r="AE9" s="16">
        <v>2.4319999999999999</v>
      </c>
      <c r="AF9" s="16">
        <v>2.4769999999999999</v>
      </c>
      <c r="AG9" s="16">
        <v>2.4889999999999999</v>
      </c>
      <c r="AH9" s="16">
        <v>2.4969999999999999</v>
      </c>
      <c r="AI9" s="16">
        <v>2.5129999999999999</v>
      </c>
      <c r="AJ9" s="16">
        <v>2.5190000000000001</v>
      </c>
      <c r="AK9" s="16">
        <v>2.5299999999999998</v>
      </c>
      <c r="AL9" s="16">
        <v>2.5499999999999998</v>
      </c>
      <c r="AM9" s="16">
        <v>2.5569999999999999</v>
      </c>
      <c r="AN9" s="16">
        <v>2.5550000000000002</v>
      </c>
      <c r="AO9" s="16">
        <v>2.5739999999999998</v>
      </c>
      <c r="AP9" s="16">
        <v>2.589</v>
      </c>
      <c r="AQ9" s="16">
        <v>2.597</v>
      </c>
      <c r="AR9" s="16">
        <v>2.6080000000000001</v>
      </c>
      <c r="AS9" s="16">
        <v>2.6139999999999999</v>
      </c>
      <c r="AT9" s="16">
        <v>2.617</v>
      </c>
      <c r="AU9" s="3">
        <v>2.6120000000000001</v>
      </c>
      <c r="AV9" s="3">
        <v>2.6230000000000002</v>
      </c>
      <c r="AW9" s="3">
        <v>2.6190000000000002</v>
      </c>
      <c r="AX9" s="3">
        <v>2.6269999999999998</v>
      </c>
      <c r="AY9" s="3">
        <v>2.621</v>
      </c>
      <c r="AZ9" s="3">
        <v>2.6419999999999999</v>
      </c>
      <c r="BA9" s="3">
        <v>2.6629999999999998</v>
      </c>
      <c r="BB9" s="3">
        <v>2.6779999999999999</v>
      </c>
      <c r="BC9" s="3">
        <v>2.694</v>
      </c>
      <c r="BD9" s="3">
        <v>2.6960000000000002</v>
      </c>
      <c r="BE9" s="3">
        <v>2.7080000000000002</v>
      </c>
      <c r="BF9" s="3">
        <v>2.72</v>
      </c>
      <c r="BG9" s="3">
        <v>2.7589999999999999</v>
      </c>
      <c r="BH9" s="3">
        <v>2.7719999999999998</v>
      </c>
      <c r="BI9" s="3">
        <v>2.7810000000000001</v>
      </c>
      <c r="BJ9" s="3">
        <v>2.7879999999999998</v>
      </c>
      <c r="BK9" s="3">
        <v>2.794</v>
      </c>
      <c r="BL9" s="3">
        <v>2.8180000000000001</v>
      </c>
      <c r="BM9" s="3">
        <v>2.8359999999999999</v>
      </c>
      <c r="BN9" s="3">
        <v>2.8490000000000002</v>
      </c>
      <c r="BO9" s="3">
        <v>2.86</v>
      </c>
      <c r="BP9" s="3">
        <v>2.8660000000000001</v>
      </c>
      <c r="BQ9" s="3">
        <v>2.8780000000000001</v>
      </c>
      <c r="BR9" s="3">
        <v>2.8860000000000001</v>
      </c>
      <c r="BS9" s="3">
        <v>2.9049999999999998</v>
      </c>
      <c r="BT9" s="3">
        <v>2.9220000000000002</v>
      </c>
      <c r="BU9" s="3">
        <v>2.9369999999999998</v>
      </c>
      <c r="BV9" s="3">
        <v>2.9510000000000001</v>
      </c>
      <c r="BW9" s="3">
        <v>2.964</v>
      </c>
      <c r="BX9" s="3">
        <v>2.976</v>
      </c>
      <c r="BY9" s="3">
        <v>2.99</v>
      </c>
      <c r="BZ9" s="3">
        <v>3.0030000000000001</v>
      </c>
      <c r="CA9" s="3">
        <v>3.0179999999999998</v>
      </c>
      <c r="CB9" s="3">
        <v>3.0289999999999999</v>
      </c>
      <c r="CC9" s="3">
        <v>3.0449999999999999</v>
      </c>
      <c r="CD9" s="3">
        <v>3.0609999999999999</v>
      </c>
    </row>
    <row r="10" spans="1:83" ht="13.15" x14ac:dyDescent="0.25">
      <c r="A10" s="8" t="s">
        <v>96</v>
      </c>
      <c r="B10" s="8" t="s">
        <v>97</v>
      </c>
      <c r="C10" s="16">
        <v>2.0350000000000001</v>
      </c>
      <c r="D10" s="16">
        <v>2.06</v>
      </c>
      <c r="E10" s="16">
        <v>2.0649999999999999</v>
      </c>
      <c r="F10" s="16">
        <v>2.0870000000000002</v>
      </c>
      <c r="G10" s="16">
        <v>2.1040000000000001</v>
      </c>
      <c r="H10" s="16">
        <v>2.1150000000000002</v>
      </c>
      <c r="I10" s="16">
        <v>2.1509999999999998</v>
      </c>
      <c r="J10" s="16">
        <v>2.17</v>
      </c>
      <c r="K10" s="16">
        <v>2.1869999999999998</v>
      </c>
      <c r="L10" s="16">
        <v>2.2120000000000002</v>
      </c>
      <c r="M10" s="16">
        <v>2.2349999999999999</v>
      </c>
      <c r="N10" s="16">
        <v>2.2210000000000001</v>
      </c>
      <c r="O10" s="16">
        <v>2.2320000000000002</v>
      </c>
      <c r="P10" s="16">
        <v>2.258</v>
      </c>
      <c r="Q10" s="16">
        <v>2.2759999999999998</v>
      </c>
      <c r="R10" s="16">
        <v>2.302</v>
      </c>
      <c r="S10" s="16">
        <v>2.3199999999999998</v>
      </c>
      <c r="T10" s="16">
        <v>2.3639999999999999</v>
      </c>
      <c r="U10" s="16">
        <v>2.4049999999999998</v>
      </c>
      <c r="V10" s="16">
        <v>2.351</v>
      </c>
      <c r="W10" s="16">
        <v>2.34</v>
      </c>
      <c r="X10" s="16">
        <v>2.347</v>
      </c>
      <c r="Y10" s="16">
        <v>2.367</v>
      </c>
      <c r="Z10" s="16">
        <v>2.3809999999999998</v>
      </c>
      <c r="AA10" s="16">
        <v>2.379</v>
      </c>
      <c r="AB10" s="16">
        <v>2.383</v>
      </c>
      <c r="AC10" s="16">
        <v>2.3980000000000001</v>
      </c>
      <c r="AD10" s="16">
        <v>2.4220000000000002</v>
      </c>
      <c r="AE10" s="16">
        <v>2.4319999999999999</v>
      </c>
      <c r="AF10" s="16">
        <v>2.4769999999999999</v>
      </c>
      <c r="AG10" s="16">
        <v>2.4889999999999999</v>
      </c>
      <c r="AH10" s="16">
        <v>2.4969999999999999</v>
      </c>
      <c r="AI10" s="16">
        <v>2.5129999999999999</v>
      </c>
      <c r="AJ10" s="16">
        <v>2.5190000000000001</v>
      </c>
      <c r="AK10" s="16">
        <v>2.5299999999999998</v>
      </c>
      <c r="AL10" s="16">
        <v>2.5499999999999998</v>
      </c>
      <c r="AM10" s="16">
        <v>2.5569999999999999</v>
      </c>
      <c r="AN10" s="16">
        <v>2.5550000000000002</v>
      </c>
      <c r="AO10" s="16">
        <v>2.5739999999999998</v>
      </c>
      <c r="AP10" s="16">
        <v>2.589</v>
      </c>
      <c r="AQ10" s="16">
        <v>2.597</v>
      </c>
      <c r="AR10" s="16">
        <v>2.6080000000000001</v>
      </c>
      <c r="AS10" s="16">
        <v>2.6139999999999999</v>
      </c>
      <c r="AT10" s="16">
        <v>2.617</v>
      </c>
      <c r="AU10" s="3">
        <v>2.6120000000000001</v>
      </c>
      <c r="AV10" s="3">
        <v>2.6230000000000002</v>
      </c>
      <c r="AW10" s="3">
        <v>2.6190000000000002</v>
      </c>
      <c r="AX10" s="3">
        <v>2.6269999999999998</v>
      </c>
      <c r="AY10" s="3">
        <v>2.621</v>
      </c>
      <c r="AZ10" s="3">
        <v>2.6419999999999999</v>
      </c>
      <c r="BA10" s="3">
        <v>2.6629999999999998</v>
      </c>
      <c r="BB10" s="3">
        <v>2.6779999999999999</v>
      </c>
      <c r="BC10" s="3">
        <v>2.694</v>
      </c>
      <c r="BD10" s="3">
        <v>2.6960000000000002</v>
      </c>
      <c r="BE10" s="3">
        <v>2.7080000000000002</v>
      </c>
      <c r="BF10" s="3">
        <v>2.72</v>
      </c>
      <c r="BG10" s="3">
        <v>2.7589999999999999</v>
      </c>
      <c r="BH10" s="3">
        <v>2.7719999999999998</v>
      </c>
      <c r="BI10" s="3">
        <v>2.7810000000000001</v>
      </c>
      <c r="BJ10" s="3">
        <v>2.7879999999999998</v>
      </c>
      <c r="BK10" s="3">
        <v>2.794</v>
      </c>
      <c r="BL10" s="3">
        <v>2.8239999999999998</v>
      </c>
      <c r="BM10" s="3">
        <v>2.8479999999999999</v>
      </c>
      <c r="BN10" s="3">
        <v>2.867</v>
      </c>
      <c r="BO10" s="3">
        <v>2.8839999999999999</v>
      </c>
      <c r="BP10" s="3">
        <v>2.8959999999999999</v>
      </c>
      <c r="BQ10" s="3">
        <v>2.9169999999999998</v>
      </c>
      <c r="BR10" s="3">
        <v>2.9319999999999999</v>
      </c>
      <c r="BS10" s="3">
        <v>2.96</v>
      </c>
      <c r="BT10" s="3">
        <v>2.9870000000000001</v>
      </c>
      <c r="BU10" s="3">
        <v>3.0129999999999999</v>
      </c>
      <c r="BV10" s="3">
        <v>3.0369999999999999</v>
      </c>
      <c r="BW10" s="3">
        <v>3.0619999999999998</v>
      </c>
      <c r="BX10" s="3">
        <v>3.0859999999999999</v>
      </c>
      <c r="BY10" s="3">
        <v>3.1120000000000001</v>
      </c>
      <c r="BZ10" s="3">
        <v>3.1389999999999998</v>
      </c>
      <c r="CA10" s="3">
        <v>3.1669999999999998</v>
      </c>
      <c r="CB10" s="3">
        <v>3.19</v>
      </c>
      <c r="CC10" s="3">
        <v>3.218</v>
      </c>
      <c r="CD10" s="3">
        <v>3.246</v>
      </c>
    </row>
    <row r="12" spans="1:83" ht="13.15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83" ht="13.15" x14ac:dyDescent="0.2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83" ht="13.15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83" ht="13.15" x14ac:dyDescent="0.25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BJ15" s="18" t="s">
        <v>98</v>
      </c>
      <c r="BK15" s="19"/>
      <c r="BL15" s="19"/>
      <c r="BM15" s="20" t="s">
        <v>99</v>
      </c>
      <c r="BN15" s="21"/>
      <c r="BO15" s="21"/>
      <c r="BP15" s="21"/>
      <c r="BQ15" s="21"/>
      <c r="BR15" s="21"/>
      <c r="BS15" s="19"/>
      <c r="BT15" s="19"/>
      <c r="BU15" s="19"/>
    </row>
    <row r="16" spans="1:83" ht="13.15" x14ac:dyDescent="0.25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BJ16" s="22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4"/>
    </row>
    <row r="17" spans="3:73" ht="13.15" x14ac:dyDescent="0.25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BJ17" s="26"/>
      <c r="BK17" s="27" t="s">
        <v>100</v>
      </c>
      <c r="BL17" s="28" t="s">
        <v>101</v>
      </c>
      <c r="BM17" s="28"/>
      <c r="BN17" s="28"/>
      <c r="BO17" s="28"/>
      <c r="BP17" s="28"/>
      <c r="BQ17" s="28"/>
      <c r="BR17" s="28"/>
      <c r="BS17" s="28"/>
      <c r="BT17" s="28"/>
      <c r="BU17" s="29"/>
    </row>
    <row r="18" spans="3:73" ht="13.15" x14ac:dyDescent="0.25">
      <c r="BJ18" s="26"/>
      <c r="BK18" s="28"/>
      <c r="BL18" s="15" t="s">
        <v>74</v>
      </c>
      <c r="BM18" s="28"/>
      <c r="BN18" s="28"/>
      <c r="BO18" s="28"/>
      <c r="BP18" s="28"/>
      <c r="BQ18" s="28"/>
      <c r="BR18" s="28"/>
      <c r="BS18" s="28"/>
      <c r="BT18" s="28"/>
      <c r="BU18" s="30" t="s">
        <v>102</v>
      </c>
    </row>
    <row r="19" spans="3:73" ht="13.15" x14ac:dyDescent="0.25">
      <c r="BJ19" s="26"/>
      <c r="BK19" s="28"/>
      <c r="BL19" s="16">
        <f>BN9</f>
        <v>2.8490000000000002</v>
      </c>
      <c r="BM19" s="28"/>
      <c r="BN19" s="28"/>
      <c r="BO19" s="28"/>
      <c r="BP19" s="28"/>
      <c r="BQ19" s="28"/>
      <c r="BR19" s="28"/>
      <c r="BS19" s="28"/>
      <c r="BT19" s="28"/>
      <c r="BU19" s="31">
        <f>BL19</f>
        <v>2.8490000000000002</v>
      </c>
    </row>
    <row r="20" spans="3:73" ht="13.15" x14ac:dyDescent="0.25">
      <c r="BJ20" s="26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32"/>
    </row>
    <row r="21" spans="3:73" ht="13.15" x14ac:dyDescent="0.25">
      <c r="BJ21" s="378" t="s">
        <v>103</v>
      </c>
      <c r="BK21" s="379"/>
      <c r="BL21" s="379"/>
      <c r="BM21" s="28"/>
      <c r="BN21" s="28"/>
      <c r="BO21" s="28"/>
      <c r="BP21" s="28"/>
      <c r="BQ21" s="28"/>
      <c r="BR21" s="28"/>
      <c r="BS21" s="28"/>
      <c r="BT21" s="28"/>
      <c r="BU21" s="32"/>
    </row>
    <row r="22" spans="3:73" ht="13.15" x14ac:dyDescent="0.25">
      <c r="BJ22" s="26"/>
      <c r="BK22" s="28"/>
      <c r="BL22" s="8" t="str">
        <f>BO7</f>
        <v>2020Q1</v>
      </c>
      <c r="BM22" s="8" t="str">
        <f t="shared" ref="BM22:BS22" si="0">BP7</f>
        <v>2020Q2</v>
      </c>
      <c r="BN22" s="8" t="str">
        <f t="shared" si="0"/>
        <v>2020Q3</v>
      </c>
      <c r="BO22" s="8" t="str">
        <f t="shared" si="0"/>
        <v>2020Q4</v>
      </c>
      <c r="BP22" s="8" t="str">
        <f t="shared" si="0"/>
        <v>2021Q1</v>
      </c>
      <c r="BQ22" s="8" t="str">
        <f t="shared" si="0"/>
        <v>2021Q2</v>
      </c>
      <c r="BR22" s="8" t="str">
        <f t="shared" si="0"/>
        <v>2021Q3</v>
      </c>
      <c r="BS22" s="8" t="str">
        <f t="shared" si="0"/>
        <v>2021Q4</v>
      </c>
      <c r="BT22" s="28"/>
      <c r="BU22" s="32"/>
    </row>
    <row r="23" spans="3:73" ht="13.15" x14ac:dyDescent="0.25">
      <c r="BJ23" s="26"/>
      <c r="BK23" s="28"/>
      <c r="BL23" s="16">
        <f>BO9</f>
        <v>2.86</v>
      </c>
      <c r="BM23" s="16">
        <f t="shared" ref="BM23:BS23" si="1">BP9</f>
        <v>2.8660000000000001</v>
      </c>
      <c r="BN23" s="16">
        <f t="shared" si="1"/>
        <v>2.8780000000000001</v>
      </c>
      <c r="BO23" s="16">
        <f t="shared" si="1"/>
        <v>2.8860000000000001</v>
      </c>
      <c r="BP23" s="16">
        <f t="shared" si="1"/>
        <v>2.9049999999999998</v>
      </c>
      <c r="BQ23" s="16">
        <f t="shared" si="1"/>
        <v>2.9220000000000002</v>
      </c>
      <c r="BR23" s="16">
        <f t="shared" si="1"/>
        <v>2.9369999999999998</v>
      </c>
      <c r="BS23" s="16">
        <f t="shared" si="1"/>
        <v>2.9510000000000001</v>
      </c>
      <c r="BT23" s="28"/>
      <c r="BU23" s="31">
        <f>AVERAGE(BL23:BS23)</f>
        <v>2.9006249999999998</v>
      </c>
    </row>
    <row r="24" spans="3:73" ht="13.15" x14ac:dyDescent="0.25">
      <c r="BJ24" s="26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32"/>
    </row>
    <row r="25" spans="3:73" ht="13.15" x14ac:dyDescent="0.25">
      <c r="BJ25" s="26"/>
      <c r="BK25" s="28"/>
      <c r="BL25" s="28"/>
      <c r="BM25" s="28"/>
      <c r="BN25" s="28"/>
      <c r="BO25" s="28"/>
      <c r="BP25" s="28"/>
      <c r="BQ25" s="28"/>
      <c r="BR25" s="28"/>
      <c r="BS25" s="28"/>
      <c r="BT25" s="33" t="s">
        <v>104</v>
      </c>
      <c r="BU25" s="34">
        <f>(BU23-BU19)/BU19</f>
        <v>1.8120393120392975E-2</v>
      </c>
    </row>
    <row r="26" spans="3:73" ht="13.15" x14ac:dyDescent="0.25">
      <c r="BJ26" s="35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7"/>
    </row>
  </sheetData>
  <mergeCells count="1">
    <mergeCell ref="BJ21:BL21"/>
  </mergeCells>
  <pageMargins left="0.25" right="0.25" top="1" bottom="1" header="0.5" footer="0.5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2020 Proposed Models </vt:lpstr>
      <vt:lpstr>Spring 2019 CAF</vt:lpstr>
      <vt:lpstr>'2020 Proposed Models '!Print_Area</vt:lpstr>
      <vt:lpstr>'Spring 2019 CAF'!Print_Area</vt:lpstr>
      <vt:lpstr>'Spring 2019 CAF'!Print_Titles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2019-09-04T14:15:56Z</cp:lastPrinted>
  <dcterms:created xsi:type="dcterms:W3CDTF">2019-08-05T11:20:35Z</dcterms:created>
  <dcterms:modified xsi:type="dcterms:W3CDTF">2019-09-05T14:10:54Z</dcterms:modified>
</cp:coreProperties>
</file>