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23250" windowHeight="12105"/>
  </bookViews>
  <sheets>
    <sheet name="ATS - 3395" sheetId="2" r:id="rId1"/>
    <sheet name="CSS - 4931" sheetId="1" r:id="rId2"/>
    <sheet name="TSS - 3434" sheetId="3" r:id="rId3"/>
    <sheet name="Section 35" sheetId="15" r:id="rId4"/>
    <sheet name="CAF" sheetId="1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Average">#REF!</definedName>
    <definedName name="CAF_NEW">[1]RawDataCalcs!$L$70:$DB$70</definedName>
    <definedName name="Cap">'[2]RawDataCalcs3386&amp;3401'!$L$66:$DB$66</definedName>
    <definedName name="Data">#REF!</definedName>
    <definedName name="Floor">'[2]RawDataCalcs3386&amp;3401'!$L$65:$DB$65</definedName>
    <definedName name="Funds">'[3]RawDataCalcs3386&amp;3401'!$L$68:$DB$68</definedName>
    <definedName name="gk">#REF!</definedName>
    <definedName name="JailDAverage">#REF!</definedName>
    <definedName name="JailDCap">[4]ALLRawDataCalcs!$L$80:$DB$80</definedName>
    <definedName name="JailDFloor">[4]ALLRawDataCalcs!$L$79:$DB$79</definedName>
    <definedName name="JailDgk">#REF!</definedName>
    <definedName name="JailDMax">#REF!</definedName>
    <definedName name="JailDMedian">#REF!</definedName>
    <definedName name="Max">#REF!</definedName>
    <definedName name="Median">#REF!</definedName>
    <definedName name="Min">#REF!</definedName>
    <definedName name="new">#REF!</definedName>
    <definedName name="_xlnm.Print_Area" localSheetId="0">'ATS - 3395'!$B$1:$O$36</definedName>
    <definedName name="_xlnm.Print_Area" localSheetId="4">CAF!$BH$6:$BT$26</definedName>
    <definedName name="_xlnm.Print_Area" localSheetId="1">'CSS - 4931'!$B$1:$Q$45</definedName>
    <definedName name="_xlnm.Print_Area" localSheetId="3">'Section 35'!$B$1:$I$29</definedName>
    <definedName name="_xlnm.Print_Area" localSheetId="2">'TSS - 3434'!$B$1:$I$29</definedName>
    <definedName name="Program_File">#REF!</definedName>
    <definedName name="ProvFTE">'[5]FTE Data'!$A$3:$AW$56</definedName>
    <definedName name="PurchasedBy">'[5]FTE Data'!$C$263:$AZ$657</definedName>
    <definedName name="resmay2007">#REF!</definedName>
    <definedName name="Site_list">[5]Lists!$A$2:$A$53</definedName>
    <definedName name="Source">#REF!</definedName>
    <definedName name="Source_2">#REF!</definedName>
    <definedName name="SourcePathAndFileName">#REF!</definedName>
    <definedName name="Total_UFR">#REF!</definedName>
  </definedNames>
  <calcPr calcId="145621"/>
</workbook>
</file>

<file path=xl/calcChain.xml><?xml version="1.0" encoding="utf-8"?>
<calcChain xmlns="http://schemas.openxmlformats.org/spreadsheetml/2006/main">
  <c r="C21" i="15" l="1"/>
  <c r="C23" i="15"/>
  <c r="G26" i="15" s="1"/>
  <c r="C22" i="15"/>
  <c r="C9" i="3" l="1"/>
  <c r="C20" i="3" l="1"/>
  <c r="C19" i="3"/>
  <c r="C8" i="3"/>
  <c r="C7" i="3"/>
  <c r="C6" i="3"/>
  <c r="C5" i="3"/>
  <c r="C4" i="3"/>
  <c r="C4" i="1"/>
  <c r="C31" i="1"/>
  <c r="C30" i="1"/>
  <c r="C29" i="1"/>
  <c r="C27" i="2"/>
  <c r="C28" i="1" l="1"/>
  <c r="C27" i="1"/>
  <c r="C19" i="15" s="1"/>
  <c r="C10" i="1"/>
  <c r="C12" i="1"/>
  <c r="C13" i="1"/>
  <c r="C11" i="1"/>
  <c r="C9" i="1"/>
  <c r="C8" i="1"/>
  <c r="C7" i="1"/>
  <c r="C6" i="1"/>
  <c r="C5" i="1"/>
  <c r="C32" i="2"/>
  <c r="C26" i="2"/>
  <c r="I18" i="2" s="1"/>
  <c r="D30" i="2"/>
  <c r="C30" i="2"/>
  <c r="D29" i="2"/>
  <c r="C29" i="2"/>
  <c r="D28" i="2"/>
  <c r="C20" i="15" s="1"/>
  <c r="C28" i="2"/>
  <c r="D27" i="2"/>
  <c r="D26" i="2"/>
  <c r="C11" i="2"/>
  <c r="C10" i="2"/>
  <c r="C9" i="2"/>
  <c r="C8" i="2"/>
  <c r="C7" i="2"/>
  <c r="C6" i="2"/>
  <c r="C5" i="2"/>
  <c r="C4" i="2"/>
  <c r="F23" i="15" l="1"/>
  <c r="C5" i="15" l="1"/>
  <c r="C18" i="15"/>
  <c r="C6" i="15"/>
  <c r="C7" i="15"/>
  <c r="C8" i="15"/>
  <c r="C9" i="15" l="1"/>
  <c r="C4" i="15"/>
  <c r="G23" i="15"/>
  <c r="F22" i="15"/>
  <c r="J27" i="1"/>
  <c r="I28" i="2"/>
  <c r="BT22" i="16" l="1"/>
  <c r="BT18" i="16"/>
  <c r="BT24" i="16" l="1"/>
  <c r="C24" i="15" s="1"/>
  <c r="G22" i="15" s="1"/>
  <c r="G20" i="15"/>
  <c r="H16" i="15"/>
  <c r="H17" i="15"/>
  <c r="I17" i="15" s="1"/>
  <c r="G13" i="15"/>
  <c r="H10" i="15"/>
  <c r="H9" i="15"/>
  <c r="G10" i="15"/>
  <c r="I10" i="15" s="1"/>
  <c r="H8" i="15"/>
  <c r="G9" i="15"/>
  <c r="H7" i="15"/>
  <c r="G8" i="15"/>
  <c r="H6" i="15"/>
  <c r="G7" i="15"/>
  <c r="H5" i="15"/>
  <c r="G6" i="15"/>
  <c r="G5" i="15"/>
  <c r="I5" i="15" s="1"/>
  <c r="H11" i="15" l="1"/>
  <c r="C35" i="2"/>
  <c r="I27" i="2" s="1"/>
  <c r="C24" i="3"/>
  <c r="G21" i="3" s="1"/>
  <c r="C35" i="1"/>
  <c r="J26" i="1" s="1"/>
  <c r="I6" i="15"/>
  <c r="I7" i="15"/>
  <c r="I8" i="15"/>
  <c r="I9" i="15"/>
  <c r="H18" i="15"/>
  <c r="I16" i="15"/>
  <c r="I18" i="15" s="1"/>
  <c r="I11" i="15" l="1"/>
  <c r="I23" i="15" s="1"/>
  <c r="I13" i="15" l="1"/>
  <c r="I14" i="15" s="1"/>
  <c r="I19" i="15" s="1"/>
  <c r="I20" i="15" s="1"/>
  <c r="I21" i="15" s="1"/>
  <c r="I22" i="15" l="1"/>
  <c r="G25" i="3"/>
  <c r="G22" i="3"/>
  <c r="F22" i="3"/>
  <c r="F21" i="3"/>
  <c r="I24" i="15" l="1"/>
  <c r="I25" i="15" s="1"/>
  <c r="I26" i="15" s="1"/>
  <c r="I30" i="1"/>
  <c r="N17" i="1"/>
  <c r="O14" i="1"/>
  <c r="N14" i="1"/>
  <c r="I27" i="1"/>
  <c r="I26" i="1"/>
  <c r="N13" i="1" s="1"/>
  <c r="I31" i="2" l="1"/>
  <c r="G28" i="2"/>
  <c r="G27" i="2"/>
  <c r="O13" i="1" l="1"/>
  <c r="K22" i="1" l="1"/>
  <c r="K21" i="1"/>
  <c r="K20" i="1"/>
  <c r="K19" i="1"/>
  <c r="K18" i="1"/>
  <c r="H25" i="2"/>
  <c r="G6" i="2" l="1"/>
  <c r="G7" i="2"/>
  <c r="C22" i="1" l="1"/>
  <c r="D19" i="2"/>
  <c r="C19" i="2"/>
  <c r="D17" i="2"/>
  <c r="C17" i="2"/>
  <c r="C16" i="3" l="1"/>
  <c r="H9" i="3" s="1"/>
  <c r="F9" i="3"/>
  <c r="F8" i="3"/>
  <c r="G9" i="3"/>
  <c r="I9" i="3" l="1"/>
  <c r="H11" i="2"/>
  <c r="G11" i="2"/>
  <c r="D20" i="2"/>
  <c r="C20" i="2"/>
  <c r="I11" i="2" s="1"/>
  <c r="J11" i="2" l="1"/>
  <c r="I19" i="1"/>
  <c r="I20" i="1"/>
  <c r="I21" i="1"/>
  <c r="I22" i="1"/>
  <c r="I18" i="1"/>
  <c r="O11" i="1" l="1"/>
  <c r="Q3" i="1"/>
  <c r="O9" i="1" l="1"/>
  <c r="P6" i="1"/>
  <c r="P5" i="1"/>
  <c r="O6" i="1"/>
  <c r="Q6" i="1" l="1"/>
  <c r="P7" i="1"/>
  <c r="J30" i="1" l="1"/>
  <c r="O17" i="1"/>
  <c r="L19" i="1" l="1"/>
  <c r="L20" i="1"/>
  <c r="L21" i="1"/>
  <c r="L22" i="1"/>
  <c r="L18" i="1"/>
  <c r="G19" i="3" l="1"/>
  <c r="H17" i="3"/>
  <c r="I17" i="3" s="1"/>
  <c r="H16" i="3"/>
  <c r="I16" i="3" s="1"/>
  <c r="G13" i="3"/>
  <c r="H10" i="3"/>
  <c r="H8" i="3"/>
  <c r="H7" i="3"/>
  <c r="G7" i="3"/>
  <c r="H6" i="3"/>
  <c r="G6" i="3"/>
  <c r="H5" i="3"/>
  <c r="G5" i="3"/>
  <c r="H24" i="2"/>
  <c r="I22" i="2"/>
  <c r="D22" i="2"/>
  <c r="C22" i="2"/>
  <c r="I21" i="2"/>
  <c r="B21" i="2"/>
  <c r="I20" i="2"/>
  <c r="B19" i="2"/>
  <c r="I19" i="2"/>
  <c r="B18" i="2"/>
  <c r="B17" i="2"/>
  <c r="B16" i="2"/>
  <c r="B15" i="2"/>
  <c r="H15" i="2"/>
  <c r="B14" i="2"/>
  <c r="I12" i="2"/>
  <c r="H12" i="2"/>
  <c r="I10" i="2"/>
  <c r="I9" i="2"/>
  <c r="H9" i="2"/>
  <c r="I8" i="2"/>
  <c r="H8" i="2"/>
  <c r="I7" i="2"/>
  <c r="H7" i="2"/>
  <c r="I6" i="2"/>
  <c r="H6" i="2"/>
  <c r="I5" i="2"/>
  <c r="H5" i="2"/>
  <c r="J3" i="2"/>
  <c r="J24" i="1"/>
  <c r="C24" i="1"/>
  <c r="K12" i="1" s="1"/>
  <c r="J15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J8" i="2" l="1"/>
  <c r="J9" i="2"/>
  <c r="I13" i="2"/>
  <c r="O5" i="1"/>
  <c r="Q5" i="1" s="1"/>
  <c r="H10" i="2"/>
  <c r="J10" i="2" s="1"/>
  <c r="L10" i="1"/>
  <c r="L11" i="1"/>
  <c r="H11" i="3"/>
  <c r="J18" i="2"/>
  <c r="J20" i="2"/>
  <c r="J25" i="2"/>
  <c r="J5" i="2"/>
  <c r="J6" i="2"/>
  <c r="J7" i="2"/>
  <c r="J12" i="2"/>
  <c r="L8" i="1"/>
  <c r="L9" i="1"/>
  <c r="L5" i="1"/>
  <c r="L6" i="1"/>
  <c r="L7" i="1"/>
  <c r="K13" i="1"/>
  <c r="I7" i="3"/>
  <c r="G10" i="3"/>
  <c r="I10" i="3" s="1"/>
  <c r="I5" i="3"/>
  <c r="I6" i="3"/>
  <c r="G8" i="3"/>
  <c r="I8" i="3" s="1"/>
  <c r="J19" i="2"/>
  <c r="J21" i="2"/>
  <c r="J22" i="2"/>
  <c r="Q7" i="1" l="1"/>
  <c r="Q14" i="1" s="1"/>
  <c r="J13" i="2"/>
  <c r="J28" i="2" s="1"/>
  <c r="J12" i="1"/>
  <c r="L12" i="1" s="1"/>
  <c r="L13" i="1" s="1"/>
  <c r="L27" i="1" s="1"/>
  <c r="I11" i="3"/>
  <c r="I22" i="3" s="1"/>
  <c r="I13" i="3" l="1"/>
  <c r="I14" i="3" s="1"/>
  <c r="I18" i="3" s="1"/>
  <c r="I19" i="3" s="1"/>
  <c r="I20" i="3" s="1"/>
  <c r="Q9" i="1"/>
  <c r="Q10" i="1" s="1"/>
  <c r="Q11" i="1" s="1"/>
  <c r="Q12" i="1" s="1"/>
  <c r="J15" i="2"/>
  <c r="J16" i="2" s="1"/>
  <c r="J23" i="2" s="1"/>
  <c r="J24" i="2" s="1"/>
  <c r="J26" i="2" s="1"/>
  <c r="J27" i="2" s="1"/>
  <c r="J29" i="2" s="1"/>
  <c r="J30" i="2" s="1"/>
  <c r="J31" i="2" s="1"/>
  <c r="L15" i="1"/>
  <c r="L16" i="1" s="1"/>
  <c r="L23" i="1" s="1"/>
  <c r="L24" i="1" s="1"/>
  <c r="L25" i="1" s="1"/>
  <c r="L26" i="1" s="1"/>
  <c r="L28" i="1" s="1"/>
  <c r="L29" i="1" s="1"/>
  <c r="L30" i="1" s="1"/>
  <c r="I21" i="3" l="1"/>
  <c r="I23" i="3" s="1"/>
  <c r="I24" i="3" s="1"/>
  <c r="I25" i="3" s="1"/>
  <c r="Q13" i="1"/>
  <c r="Q15" i="1" s="1"/>
  <c r="Q16" i="1" s="1"/>
  <c r="Q17" i="1" l="1"/>
</calcChain>
</file>

<file path=xl/sharedStrings.xml><?xml version="1.0" encoding="utf-8"?>
<sst xmlns="http://schemas.openxmlformats.org/spreadsheetml/2006/main" count="460" uniqueCount="210">
  <si>
    <t>Clinical Stabilization Services - Master Data Look-up Table</t>
  </si>
  <si>
    <t xml:space="preserve">Median bed size: </t>
  </si>
  <si>
    <t xml:space="preserve">Bed days: </t>
  </si>
  <si>
    <t>Benchmark Salaries</t>
  </si>
  <si>
    <t>Source</t>
  </si>
  <si>
    <t>Salary</t>
  </si>
  <si>
    <t>FTE</t>
  </si>
  <si>
    <t>Expense</t>
  </si>
  <si>
    <t>Program Manager</t>
  </si>
  <si>
    <t>Original Salary with compounded CAFs applied</t>
  </si>
  <si>
    <t>Clinical Director</t>
  </si>
  <si>
    <t>Medical / Nursing</t>
  </si>
  <si>
    <t>Clinician</t>
  </si>
  <si>
    <t>Straight Average Supervising Professional Salary FY16 UFR</t>
  </si>
  <si>
    <t>Counselor (LDAC)</t>
  </si>
  <si>
    <t>Care Coordinator</t>
  </si>
  <si>
    <t>Recovery  Specialist</t>
  </si>
  <si>
    <t>Support Staffing</t>
  </si>
  <si>
    <t>Direct Care Relief</t>
  </si>
  <si>
    <t>Staffing Costs</t>
  </si>
  <si>
    <t>Benchmark FTEs</t>
  </si>
  <si>
    <t>Taxes &amp; Fringe</t>
  </si>
  <si>
    <t>Total Compensation</t>
  </si>
  <si>
    <t>Unit Cost</t>
  </si>
  <si>
    <t>Purchaser Recommendation</t>
  </si>
  <si>
    <t>Meals, per bed-day</t>
  </si>
  <si>
    <t>15.38% of Counselor, Care Coordinator, Recovery Specialist FTEs</t>
  </si>
  <si>
    <t>Subtotal Program Costs</t>
  </si>
  <si>
    <t>Benchmark Expenses</t>
  </si>
  <si>
    <t>Tax &amp; Fringe</t>
  </si>
  <si>
    <t>101 CMR 420.00: Rates for Adult Long Term Residential Services</t>
  </si>
  <si>
    <t>Administrative Allocation</t>
  </si>
  <si>
    <t>Original Expense with compounded CAFs applied</t>
  </si>
  <si>
    <t>Total</t>
  </si>
  <si>
    <t>Occupancy, per bed day</t>
  </si>
  <si>
    <t>Utilization Rate</t>
  </si>
  <si>
    <t>Other Program Expense, per bed day</t>
  </si>
  <si>
    <t>Base period 2017Q4 - Prospective period 1/1/18 - 12/31/19</t>
  </si>
  <si>
    <t>Case Manager</t>
  </si>
  <si>
    <t>Recovery Specialist</t>
  </si>
  <si>
    <t>Support</t>
  </si>
  <si>
    <t>&lt;=37</t>
  </si>
  <si>
    <t>&gt;37</t>
  </si>
  <si>
    <t>Occupancy (per unit)</t>
  </si>
  <si>
    <t>Meals (per unit)</t>
  </si>
  <si>
    <t>Travel (per unit)</t>
  </si>
  <si>
    <t>Other Expense (per unit)</t>
  </si>
  <si>
    <t>TOTAL FTES</t>
  </si>
  <si>
    <t>Incidental Medical (per unit)</t>
  </si>
  <si>
    <t>Purchaser recommendation</t>
  </si>
  <si>
    <t>Direct Admin (per unit)</t>
  </si>
  <si>
    <t>Total excl M &amp; G</t>
  </si>
  <si>
    <t>Rate</t>
  </si>
  <si>
    <t>Transitional Support Services (TSS)  - 3434 - Master Data Look-up Table</t>
  </si>
  <si>
    <t>Average number Beds:</t>
  </si>
  <si>
    <t>Management</t>
  </si>
  <si>
    <t>Benchmarked to CSS Clinical Director Salary</t>
  </si>
  <si>
    <t xml:space="preserve">Clinical Director </t>
  </si>
  <si>
    <t>Occupancy</t>
  </si>
  <si>
    <t>Other Expenses</t>
  </si>
  <si>
    <t>Average from FY11 UFR Data</t>
  </si>
  <si>
    <t>Other Expenses (per unit)</t>
  </si>
  <si>
    <t>Position</t>
  </si>
  <si>
    <t>Average</t>
  </si>
  <si>
    <t>Medical Assistant</t>
  </si>
  <si>
    <t>Benchmarked to OBOT Wraparound Services - FQHC models</t>
  </si>
  <si>
    <t>Consultant, per bed day</t>
  </si>
  <si>
    <t>Benchmarked to ATS model</t>
  </si>
  <si>
    <t>Transportation, per bed day</t>
  </si>
  <si>
    <t xml:space="preserve">Transitional Support Services (TSS)  - 3434 </t>
  </si>
  <si>
    <t>FY19</t>
  </si>
  <si>
    <t>FY20</t>
  </si>
  <si>
    <t>FY21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</si>
  <si>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</si>
  <si>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</si>
  <si>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</si>
  <si>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</si>
  <si>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</si>
  <si>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</si>
  <si>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</si>
  <si>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</si>
  <si>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</si>
  <si>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</si>
  <si>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</si>
  <si>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</si>
  <si>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</si>
  <si>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</si>
  <si>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</si>
  <si>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</si>
  <si>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</si>
  <si>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</si>
  <si>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</si>
  <si>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</si>
  <si>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</si>
  <si>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</si>
  <si>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</si>
  <si>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</si>
  <si>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</si>
  <si>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</si>
  <si>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</si>
  <si>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</si>
  <si>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</si>
  <si>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</si>
  <si>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</si>
  <si>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</si>
  <si>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</si>
  <si>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</si>
  <si>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</si>
  <si>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</si>
  <si>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</si>
  <si>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</si>
  <si>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</si>
  <si>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</si>
  <si>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</si>
  <si>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</si>
  <si>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</si>
  <si>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</si>
  <si>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</si>
  <si>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</si>
  <si>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</si>
  <si>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</si>
  <si>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</si>
  <si>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</si>
  <si>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</si>
  <si>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</si>
  <si>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</si>
  <si>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</si>
  <si>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</si>
  <si>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</si>
  <si>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</si>
  <si>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</si>
  <si>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</si>
  <si>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</si>
  <si>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</si>
  <si>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</si>
  <si>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</si>
  <si>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</si>
  <si>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</si>
  <si>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</si>
  <si>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</si>
  <si>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</si>
  <si>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</si>
  <si>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</si>
  <si>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</si>
  <si>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</si>
  <si>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</si>
  <si>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</si>
  <si>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</si>
  <si>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</si>
  <si>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</si>
  <si>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</si>
  <si>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</si>
  <si>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</si>
  <si>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</si>
  <si>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 xml:space="preserve">Base period: </t>
  </si>
  <si>
    <t xml:space="preserve">Prospective rate period: </t>
  </si>
  <si>
    <t>CAF:</t>
  </si>
  <si>
    <t>Updated Utilization Rate</t>
  </si>
  <si>
    <t>.</t>
  </si>
  <si>
    <t>Bed days:</t>
  </si>
  <si>
    <t>Clinical Stabilization Services (CSS) - 4931</t>
  </si>
  <si>
    <t>Clinical Stabilization Services (CSS) - 4931 - ADD-ON</t>
  </si>
  <si>
    <t>Acute Treatment Services - Master Data Look-up Table</t>
  </si>
  <si>
    <t>15.38% Recovery Specialist workers</t>
  </si>
  <si>
    <t>Relief</t>
  </si>
  <si>
    <t>Benchmarked to Direct Care Staff</t>
  </si>
  <si>
    <t>Direct Care</t>
  </si>
  <si>
    <t>15.38%  Direct Care workers</t>
  </si>
  <si>
    <t xml:space="preserve"> Direct Care</t>
  </si>
  <si>
    <t>Base period 2019Q4 - Prospective period 1/1/20 - 12/31/21</t>
  </si>
  <si>
    <t>Nurse Practitioner</t>
  </si>
  <si>
    <t>Average from FY18 UFR Data</t>
  </si>
  <si>
    <t>MD/Physician Assistant</t>
  </si>
  <si>
    <t>Benchmarked to TSS model ($15 per hour)</t>
  </si>
  <si>
    <t>Straight Average from FY18 UFR Data</t>
  </si>
  <si>
    <t>Weighted Average from FY18 UFR Data</t>
  </si>
  <si>
    <t>FY20 Rate Review CAF</t>
  </si>
  <si>
    <t>Benchmarked to TSS model</t>
  </si>
  <si>
    <t>Weighted Average from FY13 UFR Data</t>
  </si>
  <si>
    <t>FY22</t>
  </si>
  <si>
    <t>FY23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</si>
  <si>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</si>
  <si>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</si>
  <si>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</si>
  <si>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</si>
  <si>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</si>
  <si>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</si>
  <si>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</si>
  <si>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</si>
  <si>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FY20Q2</t>
  </si>
  <si>
    <t>Assumption for Rate Reviews that are to be promulgated JAN 1, 2020</t>
  </si>
  <si>
    <t>PFMLA Trust Contribution</t>
  </si>
  <si>
    <t>Per the Grand Bargain agreement</t>
  </si>
  <si>
    <t>Rate with Utilization</t>
  </si>
  <si>
    <t>Per the Grand Bargain Agreement</t>
  </si>
  <si>
    <t>FY 20 Rate Review CAF</t>
  </si>
  <si>
    <t>Section 35 Add-On</t>
  </si>
  <si>
    <t>Section 35 Add-On - 4921</t>
  </si>
  <si>
    <t>Benchmarked to CSS Model</t>
  </si>
  <si>
    <t>Total Excl M &amp; G</t>
  </si>
  <si>
    <t xml:space="preserve">Utilization </t>
  </si>
  <si>
    <t>Massachusetts Economic Indicators</t>
  </si>
  <si>
    <t>IHS Markit, Spring 2019 Forecast</t>
  </si>
  <si>
    <t>Prepared by Michael Lynch, 781-301-9129</t>
  </si>
  <si>
    <t>FY17</t>
  </si>
  <si>
    <t>FY18</t>
  </si>
  <si>
    <t xml:space="preserve"> </t>
  </si>
  <si>
    <t>Acute Treatment Services (ATS) 3395</t>
  </si>
  <si>
    <t>Direct Relief</t>
  </si>
  <si>
    <t>1/1/20 - 12/31/21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</si>
</sst>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"/>
    <numFmt numFmtId="165" formatCode="0.00_);[Red]\(0.00\)"/>
    <numFmt numFmtId="166" formatCode="0.0"/>
    <numFmt numFmtId="167" formatCode="&quot;$&quot;#,##0"/>
    <numFmt numFmtId="168" formatCode="\$#,##0.00"/>
    <numFmt numFmtId="169" formatCode="_(&quot;$&quot;* #,##0_);_(&quot;$&quot;* \(#,##0\);_(&quot;$&quot;* &quot;-&quot;??_);_(@_)"/>
    <numFmt numFmtId="170" formatCode="0.000"/>
    <numFmt numFmtId="171" formatCode="0.0%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rgb="FF3942EF"/>
      <name val="Calibri"/>
      <family val="2"/>
    </font>
    <font>
      <b/>
      <i/>
      <sz val="11"/>
      <color theme="1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0"/>
      <name val="Geneva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indexed="8"/>
      <name val="Arial"/>
      <family val="2"/>
    </font>
    <font>
      <sz val="10"/>
      <color theme="1"/>
      <name val="Verdan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</fills>
  <borders count="10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/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medium">
        <color indexed="64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/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double">
        <color indexed="64"/>
      </bottom>
      <diagonal/>
    </border>
    <border>
      <left style="thin">
        <color theme="0" tint="-0.14999847407452621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14999847407452621"/>
      </right>
      <top style="thin">
        <color indexed="64"/>
      </top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double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indexed="64"/>
      </left>
      <right/>
      <top/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double">
        <color indexed="64"/>
      </bottom>
      <diagonal/>
    </border>
    <border>
      <left/>
      <right/>
      <top style="thin">
        <color theme="0" tint="-0.14999847407452621"/>
      </top>
      <bottom style="double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double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double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double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double">
        <color indexed="64"/>
      </top>
      <bottom/>
      <diagonal/>
    </border>
    <border>
      <left style="thin">
        <color theme="0" tint="-0.14999847407452621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65">
    <xf numFmtId="0" fontId="0" fillId="0" borderId="0"/>
    <xf numFmtId="0" fontId="3" fillId="0" borderId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15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14" fillId="0" borderId="0"/>
    <xf numFmtId="0" fontId="1" fillId="0" borderId="0"/>
    <xf numFmtId="0" fontId="1" fillId="2" borderId="1" applyNumberFormat="0" applyFon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0" fontId="31" fillId="0" borderId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2" fillId="0" borderId="0"/>
    <xf numFmtId="0" fontId="1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8" borderId="0" applyNumberFormat="0" applyBorder="0" applyAlignment="0" applyProtection="0"/>
    <xf numFmtId="0" fontId="34" fillId="12" borderId="0" applyNumberFormat="0" applyBorder="0" applyAlignment="0" applyProtection="0"/>
    <xf numFmtId="0" fontId="35" fillId="29" borderId="88" applyNumberFormat="0" applyAlignment="0" applyProtection="0"/>
    <xf numFmtId="0" fontId="36" fillId="30" borderId="89" applyNumberFormat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13" borderId="0" applyNumberFormat="0" applyBorder="0" applyAlignment="0" applyProtection="0"/>
    <xf numFmtId="0" fontId="41" fillId="0" borderId="90" applyNumberFormat="0" applyFill="0" applyAlignment="0" applyProtection="0"/>
    <xf numFmtId="0" fontId="42" fillId="0" borderId="91" applyNumberFormat="0" applyFill="0" applyAlignment="0" applyProtection="0"/>
    <xf numFmtId="0" fontId="43" fillId="0" borderId="92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16" borderId="88" applyNumberFormat="0" applyAlignment="0" applyProtection="0"/>
    <xf numFmtId="0" fontId="46" fillId="0" borderId="93" applyNumberFormat="0" applyFill="0" applyAlignment="0" applyProtection="0"/>
    <xf numFmtId="0" fontId="47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48" fillId="0" borderId="0"/>
    <xf numFmtId="0" fontId="48" fillId="0" borderId="0" applyAlignment="0"/>
    <xf numFmtId="0" fontId="14" fillId="0" borderId="0"/>
    <xf numFmtId="0" fontId="13" fillId="0" borderId="0"/>
    <xf numFmtId="0" fontId="1" fillId="0" borderId="0"/>
    <xf numFmtId="0" fontId="1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3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49" fillId="29" borderId="94" applyNumberFormat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57" fillId="0" borderId="0"/>
  </cellStyleXfs>
  <cellXfs count="550">
    <xf numFmtId="0" fontId="0" fillId="0" borderId="0" xfId="0"/>
    <xf numFmtId="14" fontId="4" fillId="0" borderId="0" xfId="1" applyNumberFormat="1" applyFont="1" applyAlignment="1">
      <alignment horizontal="left"/>
    </xf>
    <xf numFmtId="0" fontId="3" fillId="0" borderId="0" xfId="1"/>
    <xf numFmtId="0" fontId="3" fillId="0" borderId="0" xfId="1" applyFill="1" applyBorder="1"/>
    <xf numFmtId="0" fontId="5" fillId="0" borderId="0" xfId="1" applyFont="1" applyFill="1" applyBorder="1" applyAlignment="1">
      <alignment horizontal="center" vertical="center"/>
    </xf>
    <xf numFmtId="0" fontId="1" fillId="4" borderId="5" xfId="1" applyFont="1" applyFill="1" applyBorder="1" applyAlignment="1">
      <alignment horizontal="center"/>
    </xf>
    <xf numFmtId="0" fontId="6" fillId="0" borderId="0" xfId="1" applyFont="1" applyBorder="1" applyAlignment="1">
      <alignment horizontal="right"/>
    </xf>
    <xf numFmtId="164" fontId="7" fillId="4" borderId="6" xfId="1" applyNumberFormat="1" applyFont="1" applyFill="1" applyBorder="1" applyAlignment="1">
      <alignment horizontal="right"/>
    </xf>
    <xf numFmtId="38" fontId="1" fillId="4" borderId="7" xfId="1" applyNumberFormat="1" applyFont="1" applyFill="1" applyBorder="1" applyAlignment="1">
      <alignment horizontal="center"/>
    </xf>
    <xf numFmtId="38" fontId="1" fillId="0" borderId="0" xfId="1" applyNumberFormat="1" applyFont="1" applyFill="1" applyBorder="1" applyAlignment="1">
      <alignment horizontal="center"/>
    </xf>
    <xf numFmtId="164" fontId="8" fillId="4" borderId="9" xfId="1" applyNumberFormat="1" applyFont="1" applyFill="1" applyBorder="1" applyAlignment="1">
      <alignment horizontal="center" wrapText="1"/>
    </xf>
    <xf numFmtId="164" fontId="7" fillId="4" borderId="9" xfId="1" applyNumberFormat="1" applyFont="1" applyFill="1" applyBorder="1" applyAlignment="1">
      <alignment horizontal="center" wrapText="1"/>
    </xf>
    <xf numFmtId="0" fontId="1" fillId="0" borderId="10" xfId="1" applyFont="1" applyBorder="1"/>
    <xf numFmtId="42" fontId="7" fillId="4" borderId="11" xfId="1" applyNumberFormat="1" applyFont="1" applyFill="1" applyBorder="1" applyAlignment="1">
      <alignment horizontal="center" wrapText="1"/>
    </xf>
    <xf numFmtId="42" fontId="7" fillId="0" borderId="0" xfId="1" applyNumberFormat="1" applyFont="1" applyFill="1" applyBorder="1" applyAlignment="1">
      <alignment horizontal="center" wrapText="1"/>
    </xf>
    <xf numFmtId="164" fontId="9" fillId="0" borderId="12" xfId="1" applyNumberFormat="1" applyFont="1" applyFill="1" applyBorder="1" applyAlignment="1">
      <alignment wrapText="1"/>
    </xf>
    <xf numFmtId="6" fontId="1" fillId="0" borderId="15" xfId="1" applyNumberFormat="1" applyFont="1" applyFill="1" applyBorder="1"/>
    <xf numFmtId="6" fontId="1" fillId="0" borderId="0" xfId="1" applyNumberFormat="1" applyFont="1" applyFill="1" applyBorder="1"/>
    <xf numFmtId="164" fontId="9" fillId="0" borderId="17" xfId="1" applyNumberFormat="1" applyFont="1" applyFill="1" applyBorder="1" applyAlignment="1">
      <alignment wrapText="1"/>
    </xf>
    <xf numFmtId="165" fontId="9" fillId="0" borderId="15" xfId="1" applyNumberFormat="1" applyFont="1" applyFill="1" applyBorder="1" applyAlignment="1">
      <alignment horizontal="center"/>
    </xf>
    <xf numFmtId="6" fontId="1" fillId="0" borderId="18" xfId="1" applyNumberFormat="1" applyFont="1" applyFill="1" applyBorder="1"/>
    <xf numFmtId="164" fontId="9" fillId="4" borderId="19" xfId="1" applyNumberFormat="1" applyFont="1" applyFill="1" applyBorder="1" applyAlignment="1">
      <alignment wrapText="1"/>
    </xf>
    <xf numFmtId="165" fontId="9" fillId="0" borderId="0" xfId="1" applyNumberFormat="1" applyFont="1" applyFill="1" applyBorder="1" applyAlignment="1">
      <alignment horizontal="center"/>
    </xf>
    <xf numFmtId="6" fontId="1" fillId="0" borderId="23" xfId="1" applyNumberFormat="1" applyFont="1" applyFill="1" applyBorder="1"/>
    <xf numFmtId="0" fontId="1" fillId="0" borderId="19" xfId="1" applyFont="1" applyFill="1" applyBorder="1"/>
    <xf numFmtId="0" fontId="1" fillId="0" borderId="22" xfId="1" applyFont="1" applyFill="1" applyBorder="1"/>
    <xf numFmtId="6" fontId="2" fillId="0" borderId="0" xfId="1" applyNumberFormat="1" applyFont="1" applyFill="1" applyBorder="1"/>
    <xf numFmtId="0" fontId="7" fillId="0" borderId="35" xfId="1" applyFont="1" applyFill="1" applyBorder="1" applyAlignment="1">
      <alignment horizontal="right" wrapText="1"/>
    </xf>
    <xf numFmtId="0" fontId="1" fillId="0" borderId="5" xfId="1" applyFont="1" applyBorder="1"/>
    <xf numFmtId="0" fontId="1" fillId="0" borderId="6" xfId="1" applyFont="1" applyBorder="1"/>
    <xf numFmtId="0" fontId="1" fillId="0" borderId="0" xfId="1" applyFont="1" applyFill="1" applyBorder="1"/>
    <xf numFmtId="0" fontId="7" fillId="0" borderId="27" xfId="1" applyFont="1" applyFill="1" applyBorder="1" applyAlignment="1">
      <alignment wrapText="1"/>
    </xf>
    <xf numFmtId="164" fontId="9" fillId="0" borderId="6" xfId="1" applyNumberFormat="1" applyFont="1" applyFill="1" applyBorder="1" applyAlignment="1">
      <alignment wrapText="1"/>
    </xf>
    <xf numFmtId="10" fontId="1" fillId="0" borderId="30" xfId="1" applyNumberFormat="1" applyFont="1" applyFill="1" applyBorder="1"/>
    <xf numFmtId="0" fontId="1" fillId="0" borderId="37" xfId="1" applyFont="1" applyBorder="1"/>
    <xf numFmtId="0" fontId="9" fillId="4" borderId="38" xfId="1" applyFont="1" applyFill="1" applyBorder="1" applyAlignment="1">
      <alignment wrapText="1"/>
    </xf>
    <xf numFmtId="0" fontId="2" fillId="0" borderId="39" xfId="1" applyFont="1" applyBorder="1"/>
    <xf numFmtId="0" fontId="7" fillId="0" borderId="40" xfId="1" applyFont="1" applyBorder="1" applyAlignment="1">
      <alignment wrapText="1"/>
    </xf>
    <xf numFmtId="6" fontId="1" fillId="0" borderId="11" xfId="1" applyNumberFormat="1" applyFont="1" applyBorder="1"/>
    <xf numFmtId="42" fontId="7" fillId="4" borderId="41" xfId="1" applyNumberFormat="1" applyFont="1" applyFill="1" applyBorder="1" applyAlignment="1">
      <alignment horizontal="center" wrapText="1"/>
    </xf>
    <xf numFmtId="0" fontId="2" fillId="0" borderId="27" xfId="1" applyFont="1" applyFill="1" applyBorder="1"/>
    <xf numFmtId="6" fontId="2" fillId="0" borderId="42" xfId="1" applyNumberFormat="1" applyFont="1" applyBorder="1"/>
    <xf numFmtId="0" fontId="1" fillId="0" borderId="0" xfId="1" applyFont="1"/>
    <xf numFmtId="0" fontId="1" fillId="0" borderId="19" xfId="1" applyFont="1" applyBorder="1"/>
    <xf numFmtId="167" fontId="9" fillId="0" borderId="0" xfId="1" applyNumberFormat="1" applyFont="1" applyFill="1" applyBorder="1"/>
    <xf numFmtId="10" fontId="7" fillId="0" borderId="41" xfId="1" applyNumberFormat="1" applyFont="1" applyFill="1" applyBorder="1" applyAlignment="1">
      <alignment horizontal="right" wrapText="1"/>
    </xf>
    <xf numFmtId="42" fontId="7" fillId="4" borderId="43" xfId="1" applyNumberFormat="1" applyFont="1" applyFill="1" applyBorder="1" applyAlignment="1">
      <alignment horizontal="center" wrapText="1"/>
    </xf>
    <xf numFmtId="0" fontId="9" fillId="4" borderId="19" xfId="1" applyFont="1" applyFill="1" applyBorder="1" applyAlignment="1">
      <alignment wrapText="1"/>
    </xf>
    <xf numFmtId="167" fontId="9" fillId="4" borderId="43" xfId="1" applyNumberFormat="1" applyFont="1" applyFill="1" applyBorder="1"/>
    <xf numFmtId="8" fontId="1" fillId="0" borderId="41" xfId="1" applyNumberFormat="1" applyFont="1" applyBorder="1" applyAlignment="1">
      <alignment horizontal="center"/>
    </xf>
    <xf numFmtId="0" fontId="1" fillId="0" borderId="39" xfId="1" applyFont="1" applyBorder="1"/>
    <xf numFmtId="6" fontId="7" fillId="0" borderId="0" xfId="2" applyNumberFormat="1" applyFont="1" applyFill="1" applyBorder="1" applyAlignment="1">
      <alignment horizontal="right" wrapText="1"/>
    </xf>
    <xf numFmtId="6" fontId="1" fillId="0" borderId="39" xfId="1" applyNumberFormat="1" applyFont="1" applyFill="1" applyBorder="1"/>
    <xf numFmtId="6" fontId="7" fillId="4" borderId="42" xfId="2" applyNumberFormat="1" applyFont="1" applyFill="1" applyBorder="1" applyAlignment="1">
      <alignment horizontal="right" wrapText="1"/>
    </xf>
    <xf numFmtId="10" fontId="1" fillId="4" borderId="41" xfId="1" applyNumberFormat="1" applyFont="1" applyFill="1" applyBorder="1" applyAlignment="1">
      <alignment horizontal="center"/>
    </xf>
    <xf numFmtId="0" fontId="1" fillId="0" borderId="41" xfId="1" applyFont="1" applyBorder="1"/>
    <xf numFmtId="6" fontId="9" fillId="0" borderId="0" xfId="2" applyNumberFormat="1" applyFont="1" applyFill="1" applyBorder="1" applyAlignment="1">
      <alignment horizontal="right" wrapText="1"/>
    </xf>
    <xf numFmtId="6" fontId="7" fillId="0" borderId="0" xfId="1" applyNumberFormat="1" applyFont="1" applyFill="1" applyBorder="1" applyAlignment="1">
      <alignment horizontal="right" wrapText="1"/>
    </xf>
    <xf numFmtId="6" fontId="9" fillId="4" borderId="43" xfId="2" applyNumberFormat="1" applyFont="1" applyFill="1" applyBorder="1" applyAlignment="1">
      <alignment horizontal="right" wrapText="1"/>
    </xf>
    <xf numFmtId="8" fontId="9" fillId="0" borderId="0" xfId="1" applyNumberFormat="1" applyFont="1" applyFill="1" applyBorder="1" applyAlignment="1">
      <alignment horizontal="right" wrapText="1"/>
    </xf>
    <xf numFmtId="8" fontId="7" fillId="0" borderId="0" xfId="2" applyNumberFormat="1" applyFont="1" applyFill="1" applyBorder="1" applyAlignment="1">
      <alignment horizontal="right" wrapText="1"/>
    </xf>
    <xf numFmtId="0" fontId="9" fillId="0" borderId="10" xfId="1" applyFont="1" applyFill="1" applyBorder="1" applyAlignment="1">
      <alignment wrapText="1"/>
    </xf>
    <xf numFmtId="8" fontId="9" fillId="0" borderId="0" xfId="2" applyNumberFormat="1" applyFont="1" applyFill="1" applyBorder="1" applyAlignment="1">
      <alignment horizontal="right" wrapText="1"/>
    </xf>
    <xf numFmtId="8" fontId="7" fillId="0" borderId="3" xfId="2" applyNumberFormat="1" applyFont="1" applyFill="1" applyBorder="1" applyAlignment="1">
      <alignment horizontal="right" wrapText="1"/>
    </xf>
    <xf numFmtId="0" fontId="12" fillId="0" borderId="0" xfId="1" applyFont="1"/>
    <xf numFmtId="14" fontId="16" fillId="0" borderId="0" xfId="6" applyNumberFormat="1" applyFont="1" applyAlignment="1">
      <alignment horizontal="left"/>
    </xf>
    <xf numFmtId="0" fontId="17" fillId="0" borderId="0" xfId="6" applyFont="1"/>
    <xf numFmtId="0" fontId="18" fillId="0" borderId="0" xfId="6" applyFont="1"/>
    <xf numFmtId="164" fontId="18" fillId="0" borderId="0" xfId="6" applyNumberFormat="1" applyFont="1" applyFill="1" applyBorder="1"/>
    <xf numFmtId="164" fontId="17" fillId="0" borderId="0" xfId="6" applyNumberFormat="1" applyFont="1" applyFill="1"/>
    <xf numFmtId="164" fontId="17" fillId="0" borderId="0" xfId="6" applyNumberFormat="1" applyFont="1" applyFill="1" applyBorder="1"/>
    <xf numFmtId="164" fontId="18" fillId="0" borderId="21" xfId="6" applyNumberFormat="1" applyFont="1" applyFill="1" applyBorder="1"/>
    <xf numFmtId="164" fontId="18" fillId="0" borderId="61" xfId="6" applyNumberFormat="1" applyFont="1" applyFill="1" applyBorder="1"/>
    <xf numFmtId="0" fontId="18" fillId="0" borderId="0" xfId="6" applyFont="1" applyFill="1"/>
    <xf numFmtId="164" fontId="18" fillId="0" borderId="0" xfId="6" applyNumberFormat="1" applyFont="1" applyFill="1"/>
    <xf numFmtId="0" fontId="17" fillId="4" borderId="0" xfId="6" applyFont="1" applyFill="1"/>
    <xf numFmtId="0" fontId="19" fillId="0" borderId="0" xfId="6" applyFont="1"/>
    <xf numFmtId="42" fontId="21" fillId="0" borderId="0" xfId="6" applyNumberFormat="1" applyFont="1" applyBorder="1"/>
    <xf numFmtId="0" fontId="22" fillId="0" borderId="0" xfId="6" applyFont="1" applyBorder="1"/>
    <xf numFmtId="169" fontId="22" fillId="0" borderId="0" xfId="5" applyNumberFormat="1" applyFont="1" applyBorder="1"/>
    <xf numFmtId="0" fontId="23" fillId="0" borderId="0" xfId="6" applyFont="1" applyBorder="1" applyAlignment="1">
      <alignment horizontal="right"/>
    </xf>
    <xf numFmtId="44" fontId="22" fillId="0" borderId="0" xfId="5" applyFont="1" applyBorder="1"/>
    <xf numFmtId="44" fontId="18" fillId="0" borderId="0" xfId="5" applyFont="1" applyBorder="1" applyAlignment="1"/>
    <xf numFmtId="0" fontId="18" fillId="0" borderId="0" xfId="6" applyFont="1" applyBorder="1"/>
    <xf numFmtId="6" fontId="1" fillId="0" borderId="30" xfId="1" applyNumberFormat="1" applyFont="1" applyFill="1" applyBorder="1"/>
    <xf numFmtId="165" fontId="9" fillId="0" borderId="30" xfId="1" applyNumberFormat="1" applyFont="1" applyFill="1" applyBorder="1" applyAlignment="1">
      <alignment horizontal="center"/>
    </xf>
    <xf numFmtId="2" fontId="2" fillId="0" borderId="27" xfId="1" applyNumberFormat="1" applyFont="1" applyFill="1" applyBorder="1" applyAlignment="1">
      <alignment horizontal="center"/>
    </xf>
    <xf numFmtId="0" fontId="1" fillId="0" borderId="5" xfId="1" applyFont="1" applyFill="1" applyBorder="1"/>
    <xf numFmtId="0" fontId="2" fillId="0" borderId="39" xfId="1" applyFont="1" applyFill="1" applyBorder="1"/>
    <xf numFmtId="166" fontId="9" fillId="0" borderId="22" xfId="1" applyNumberFormat="1" applyFont="1" applyFill="1" applyBorder="1" applyAlignment="1">
      <alignment wrapText="1"/>
    </xf>
    <xf numFmtId="0" fontId="1" fillId="0" borderId="29" xfId="1" applyFont="1" applyFill="1" applyBorder="1"/>
    <xf numFmtId="6" fontId="1" fillId="0" borderId="31" xfId="1" applyNumberFormat="1" applyFont="1" applyFill="1" applyBorder="1"/>
    <xf numFmtId="0" fontId="7" fillId="0" borderId="28" xfId="1" applyFont="1" applyFill="1" applyBorder="1" applyAlignment="1">
      <alignment wrapText="1"/>
    </xf>
    <xf numFmtId="6" fontId="2" fillId="0" borderId="36" xfId="1" applyNumberFormat="1" applyFont="1" applyFill="1" applyBorder="1"/>
    <xf numFmtId="0" fontId="1" fillId="0" borderId="6" xfId="1" applyFont="1" applyFill="1" applyBorder="1"/>
    <xf numFmtId="0" fontId="1" fillId="0" borderId="7" xfId="1" applyFont="1" applyFill="1" applyBorder="1"/>
    <xf numFmtId="166" fontId="9" fillId="0" borderId="19" xfId="1" applyNumberFormat="1" applyFont="1" applyFill="1" applyBorder="1" applyAlignment="1">
      <alignment wrapText="1"/>
    </xf>
    <xf numFmtId="164" fontId="9" fillId="0" borderId="19" xfId="1" applyNumberFormat="1" applyFont="1" applyFill="1" applyBorder="1" applyAlignment="1">
      <alignment wrapText="1"/>
    </xf>
    <xf numFmtId="0" fontId="9" fillId="0" borderId="19" xfId="1" applyFont="1" applyFill="1" applyBorder="1" applyAlignment="1">
      <alignment wrapText="1"/>
    </xf>
    <xf numFmtId="164" fontId="9" fillId="0" borderId="22" xfId="1" applyNumberFormat="1" applyFont="1" applyFill="1" applyBorder="1" applyAlignment="1">
      <alignment wrapText="1"/>
    </xf>
    <xf numFmtId="0" fontId="7" fillId="0" borderId="40" xfId="1" applyFont="1" applyFill="1" applyBorder="1" applyAlignment="1">
      <alignment wrapText="1"/>
    </xf>
    <xf numFmtId="6" fontId="2" fillId="0" borderId="42" xfId="1" applyNumberFormat="1" applyFont="1" applyFill="1" applyBorder="1"/>
    <xf numFmtId="2" fontId="22" fillId="0" borderId="0" xfId="6" applyNumberFormat="1" applyFont="1" applyBorder="1"/>
    <xf numFmtId="0" fontId="27" fillId="8" borderId="0" xfId="14" applyFont="1" applyFill="1"/>
    <xf numFmtId="0" fontId="27" fillId="9" borderId="0" xfId="14" applyFont="1" applyFill="1"/>
    <xf numFmtId="0" fontId="27" fillId="10" borderId="0" xfId="14" applyFont="1" applyFill="1"/>
    <xf numFmtId="0" fontId="26" fillId="0" borderId="0" xfId="10" applyFont="1"/>
    <xf numFmtId="0" fontId="14" fillId="0" borderId="0" xfId="10"/>
    <xf numFmtId="0" fontId="28" fillId="0" borderId="0" xfId="10" applyFont="1"/>
    <xf numFmtId="0" fontId="29" fillId="0" borderId="0" xfId="10" applyFont="1"/>
    <xf numFmtId="0" fontId="14" fillId="0" borderId="79" xfId="10" applyBorder="1"/>
    <xf numFmtId="0" fontId="14" fillId="0" borderId="15" xfId="10" applyBorder="1"/>
    <xf numFmtId="0" fontId="14" fillId="0" borderId="80" xfId="10" applyBorder="1"/>
    <xf numFmtId="0" fontId="14" fillId="0" borderId="81" xfId="10" applyBorder="1"/>
    <xf numFmtId="0" fontId="14" fillId="0" borderId="0" xfId="10" applyBorder="1" applyAlignment="1">
      <alignment horizontal="right"/>
    </xf>
    <xf numFmtId="0" fontId="14" fillId="0" borderId="0" xfId="10" applyBorder="1"/>
    <xf numFmtId="0" fontId="14" fillId="0" borderId="20" xfId="10" applyBorder="1"/>
    <xf numFmtId="0" fontId="30" fillId="0" borderId="20" xfId="10" applyFont="1" applyBorder="1" applyAlignment="1">
      <alignment horizontal="center"/>
    </xf>
    <xf numFmtId="170" fontId="14" fillId="0" borderId="20" xfId="10" applyNumberFormat="1" applyBorder="1" applyAlignment="1">
      <alignment horizontal="center"/>
    </xf>
    <xf numFmtId="0" fontId="14" fillId="0" borderId="20" xfId="10" applyBorder="1" applyAlignment="1">
      <alignment horizontal="center"/>
    </xf>
    <xf numFmtId="0" fontId="26" fillId="5" borderId="0" xfId="10" applyFont="1" applyFill="1" applyBorder="1" applyAlignment="1">
      <alignment horizontal="right"/>
    </xf>
    <xf numFmtId="10" fontId="26" fillId="5" borderId="20" xfId="17" applyNumberFormat="1" applyFont="1" applyFill="1" applyBorder="1" applyAlignment="1">
      <alignment horizontal="center"/>
    </xf>
    <xf numFmtId="0" fontId="14" fillId="0" borderId="82" xfId="10" applyBorder="1"/>
    <xf numFmtId="0" fontId="14" fillId="0" borderId="30" xfId="10" applyBorder="1"/>
    <xf numFmtId="0" fontId="14" fillId="0" borderId="24" xfId="10" applyBorder="1"/>
    <xf numFmtId="14" fontId="26" fillId="0" borderId="0" xfId="6" applyNumberFormat="1" applyFont="1"/>
    <xf numFmtId="170" fontId="14" fillId="0" borderId="0" xfId="10" applyNumberFormat="1" applyBorder="1"/>
    <xf numFmtId="0" fontId="2" fillId="0" borderId="83" xfId="1" applyFont="1" applyFill="1" applyBorder="1"/>
    <xf numFmtId="164" fontId="8" fillId="0" borderId="84" xfId="1" applyNumberFormat="1" applyFont="1" applyFill="1" applyBorder="1" applyAlignment="1">
      <alignment horizontal="center" wrapText="1"/>
    </xf>
    <xf numFmtId="164" fontId="7" fillId="0" borderId="84" xfId="1" applyNumberFormat="1" applyFont="1" applyFill="1" applyBorder="1" applyAlignment="1">
      <alignment horizontal="center" wrapText="1"/>
    </xf>
    <xf numFmtId="42" fontId="7" fillId="0" borderId="85" xfId="1" applyNumberFormat="1" applyFont="1" applyFill="1" applyBorder="1" applyAlignment="1">
      <alignment horizontal="center" wrapText="1"/>
    </xf>
    <xf numFmtId="0" fontId="3" fillId="0" borderId="0" xfId="1" applyAlignment="1">
      <alignment horizontal="center"/>
    </xf>
    <xf numFmtId="2" fontId="2" fillId="0" borderId="39" xfId="1" applyNumberFormat="1" applyFont="1" applyFill="1" applyBorder="1" applyAlignment="1">
      <alignment horizontal="center"/>
    </xf>
    <xf numFmtId="0" fontId="2" fillId="0" borderId="60" xfId="1" applyFont="1" applyFill="1" applyBorder="1" applyAlignment="1">
      <alignment horizontal="center" vertical="center"/>
    </xf>
    <xf numFmtId="0" fontId="3" fillId="0" borderId="61" xfId="1" applyBorder="1"/>
    <xf numFmtId="6" fontId="3" fillId="0" borderId="0" xfId="1" applyNumberFormat="1" applyBorder="1" applyAlignment="1">
      <alignment horizontal="center"/>
    </xf>
    <xf numFmtId="165" fontId="3" fillId="0" borderId="0" xfId="1" applyNumberFormat="1" applyBorder="1" applyAlignment="1">
      <alignment horizontal="center"/>
    </xf>
    <xf numFmtId="6" fontId="3" fillId="0" borderId="23" xfId="1" applyNumberFormat="1" applyBorder="1"/>
    <xf numFmtId="0" fontId="3" fillId="0" borderId="0" xfId="1" applyBorder="1" applyAlignment="1">
      <alignment horizontal="center"/>
    </xf>
    <xf numFmtId="0" fontId="3" fillId="0" borderId="23" xfId="1" applyBorder="1"/>
    <xf numFmtId="0" fontId="7" fillId="0" borderId="39" xfId="1" applyFont="1" applyFill="1" applyBorder="1" applyAlignment="1">
      <alignment horizontal="center" wrapText="1"/>
    </xf>
    <xf numFmtId="10" fontId="3" fillId="0" borderId="30" xfId="1" applyNumberFormat="1" applyBorder="1" applyAlignment="1">
      <alignment horizontal="center"/>
    </xf>
    <xf numFmtId="0" fontId="2" fillId="0" borderId="27" xfId="1" applyFont="1" applyFill="1" applyBorder="1" applyAlignment="1">
      <alignment horizontal="center"/>
    </xf>
    <xf numFmtId="0" fontId="2" fillId="0" borderId="0" xfId="1" applyFont="1" applyFill="1" applyBorder="1"/>
    <xf numFmtId="8" fontId="3" fillId="0" borderId="0" xfId="1" applyNumberFormat="1"/>
    <xf numFmtId="0" fontId="3" fillId="0" borderId="0" xfId="1" applyFont="1" applyBorder="1"/>
    <xf numFmtId="0" fontId="3" fillId="0" borderId="0" xfId="1" applyFont="1" applyFill="1" applyBorder="1"/>
    <xf numFmtId="0" fontId="6" fillId="0" borderId="0" xfId="1" applyFont="1" applyFill="1" applyBorder="1" applyAlignment="1">
      <alignment horizontal="center"/>
    </xf>
    <xf numFmtId="166" fontId="9" fillId="0" borderId="10" xfId="1" applyNumberFormat="1" applyFont="1" applyFill="1" applyBorder="1" applyAlignment="1">
      <alignment wrapText="1"/>
    </xf>
    <xf numFmtId="10" fontId="11" fillId="0" borderId="0" xfId="1" applyNumberFormat="1" applyFont="1" applyFill="1" applyBorder="1" applyAlignment="1">
      <alignment horizontal="center"/>
    </xf>
    <xf numFmtId="0" fontId="3" fillId="0" borderId="30" xfId="1" applyFont="1" applyFill="1" applyBorder="1"/>
    <xf numFmtId="0" fontId="3" fillId="0" borderId="23" xfId="1" applyFont="1" applyBorder="1"/>
    <xf numFmtId="0" fontId="3" fillId="0" borderId="23" xfId="1" applyFont="1" applyFill="1" applyBorder="1"/>
    <xf numFmtId="0" fontId="3" fillId="0" borderId="31" xfId="1" applyFont="1" applyFill="1" applyBorder="1"/>
    <xf numFmtId="0" fontId="3" fillId="0" borderId="51" xfId="1" applyFont="1" applyFill="1" applyBorder="1"/>
    <xf numFmtId="0" fontId="3" fillId="0" borderId="78" xfId="1" applyFont="1" applyFill="1" applyBorder="1"/>
    <xf numFmtId="0" fontId="3" fillId="0" borderId="15" xfId="1" applyFill="1" applyBorder="1"/>
    <xf numFmtId="0" fontId="3" fillId="0" borderId="30" xfId="1" applyFill="1" applyBorder="1"/>
    <xf numFmtId="0" fontId="3" fillId="0" borderId="18" xfId="1" applyFill="1" applyBorder="1"/>
    <xf numFmtId="0" fontId="3" fillId="0" borderId="31" xfId="1" applyFill="1" applyBorder="1"/>
    <xf numFmtId="0" fontId="3" fillId="0" borderId="15" xfId="1" applyFont="1" applyFill="1" applyBorder="1"/>
    <xf numFmtId="0" fontId="3" fillId="0" borderId="18" xfId="1" applyFont="1" applyFill="1" applyBorder="1"/>
    <xf numFmtId="6" fontId="3" fillId="0" borderId="0" xfId="1" applyNumberFormat="1"/>
    <xf numFmtId="0" fontId="3" fillId="0" borderId="0" xfId="1" applyBorder="1"/>
    <xf numFmtId="0" fontId="1" fillId="0" borderId="0" xfId="1" applyFont="1" applyBorder="1"/>
    <xf numFmtId="0" fontId="3" fillId="4" borderId="0" xfId="1" applyFill="1" applyBorder="1"/>
    <xf numFmtId="0" fontId="1" fillId="4" borderId="0" xfId="1" applyFont="1" applyFill="1" applyBorder="1"/>
    <xf numFmtId="0" fontId="6" fillId="4" borderId="0" xfId="1" applyFont="1" applyFill="1" applyBorder="1"/>
    <xf numFmtId="0" fontId="6" fillId="4" borderId="0" xfId="1" applyFont="1" applyFill="1" applyBorder="1" applyAlignment="1">
      <alignment horizontal="right"/>
    </xf>
    <xf numFmtId="0" fontId="2" fillId="4" borderId="0" xfId="1" applyFont="1" applyFill="1" applyBorder="1"/>
    <xf numFmtId="8" fontId="3" fillId="0" borderId="0" xfId="1" applyNumberFormat="1" applyBorder="1"/>
    <xf numFmtId="0" fontId="3" fillId="0" borderId="0" xfId="1" applyFill="1"/>
    <xf numFmtId="0" fontId="1" fillId="0" borderId="0" xfId="1" applyFont="1" applyFill="1"/>
    <xf numFmtId="0" fontId="3" fillId="0" borderId="0" xfId="1" applyFill="1" applyAlignment="1">
      <alignment horizontal="center"/>
    </xf>
    <xf numFmtId="10" fontId="17" fillId="0" borderId="0" xfId="22" applyNumberFormat="1" applyFont="1"/>
    <xf numFmtId="169" fontId="3" fillId="0" borderId="0" xfId="27" applyNumberFormat="1" applyFont="1" applyBorder="1"/>
    <xf numFmtId="44" fontId="3" fillId="0" borderId="0" xfId="27" applyNumberFormat="1" applyFont="1" applyBorder="1"/>
    <xf numFmtId="8" fontId="1" fillId="0" borderId="0" xfId="1" applyNumberFormat="1" applyFont="1"/>
    <xf numFmtId="171" fontId="3" fillId="0" borderId="0" xfId="22" applyNumberFormat="1" applyFont="1"/>
    <xf numFmtId="8" fontId="3" fillId="0" borderId="0" xfId="22" applyNumberFormat="1" applyFont="1"/>
    <xf numFmtId="10" fontId="1" fillId="0" borderId="0" xfId="1" applyNumberFormat="1" applyFont="1" applyFill="1" applyBorder="1" applyAlignment="1">
      <alignment horizontal="center"/>
    </xf>
    <xf numFmtId="0" fontId="1" fillId="0" borderId="35" xfId="1" applyFont="1" applyBorder="1"/>
    <xf numFmtId="0" fontId="1" fillId="0" borderId="73" xfId="1" applyFont="1" applyBorder="1"/>
    <xf numFmtId="0" fontId="9" fillId="4" borderId="72" xfId="1" applyFont="1" applyFill="1" applyBorder="1" applyAlignment="1">
      <alignment wrapText="1"/>
    </xf>
    <xf numFmtId="10" fontId="1" fillId="4" borderId="73" xfId="1" applyNumberFormat="1" applyFont="1" applyFill="1" applyBorder="1" applyAlignment="1">
      <alignment horizontal="center"/>
    </xf>
    <xf numFmtId="6" fontId="9" fillId="4" borderId="74" xfId="2" applyNumberFormat="1" applyFont="1" applyFill="1" applyBorder="1" applyAlignment="1">
      <alignment horizontal="right" wrapText="1"/>
    </xf>
    <xf numFmtId="0" fontId="9" fillId="0" borderId="70" xfId="1" applyFont="1" applyBorder="1" applyAlignment="1">
      <alignment wrapText="1"/>
    </xf>
    <xf numFmtId="10" fontId="1" fillId="4" borderId="35" xfId="1" applyNumberFormat="1" applyFont="1" applyFill="1" applyBorder="1" applyAlignment="1">
      <alignment horizontal="center"/>
    </xf>
    <xf numFmtId="164" fontId="9" fillId="0" borderId="65" xfId="1" applyNumberFormat="1" applyFont="1" applyBorder="1" applyAlignment="1">
      <alignment wrapText="1"/>
    </xf>
    <xf numFmtId="0" fontId="1" fillId="0" borderId="66" xfId="1" applyFont="1" applyBorder="1"/>
    <xf numFmtId="0" fontId="1" fillId="0" borderId="103" xfId="1" applyFont="1" applyBorder="1"/>
    <xf numFmtId="6" fontId="7" fillId="4" borderId="104" xfId="1" applyNumberFormat="1" applyFont="1" applyFill="1" applyBorder="1" applyAlignment="1">
      <alignment horizontal="right" wrapText="1"/>
    </xf>
    <xf numFmtId="10" fontId="1" fillId="4" borderId="66" xfId="1" applyNumberFormat="1" applyFont="1" applyFill="1" applyBorder="1" applyAlignment="1">
      <alignment horizontal="center"/>
    </xf>
    <xf numFmtId="6" fontId="9" fillId="4" borderId="67" xfId="1" applyNumberFormat="1" applyFont="1" applyFill="1" applyBorder="1" applyAlignment="1">
      <alignment horizontal="right" wrapText="1"/>
    </xf>
    <xf numFmtId="10" fontId="1" fillId="4" borderId="0" xfId="1" applyNumberFormat="1" applyFont="1" applyFill="1" applyBorder="1" applyAlignment="1">
      <alignment horizontal="center"/>
    </xf>
    <xf numFmtId="164" fontId="9" fillId="0" borderId="61" xfId="1" applyNumberFormat="1" applyFont="1" applyBorder="1" applyAlignment="1">
      <alignment wrapText="1"/>
    </xf>
    <xf numFmtId="6" fontId="9" fillId="4" borderId="23" xfId="1" applyNumberFormat="1" applyFont="1" applyFill="1" applyBorder="1" applyAlignment="1">
      <alignment horizontal="right" wrapText="1"/>
    </xf>
    <xf numFmtId="0" fontId="9" fillId="0" borderId="50" xfId="1" applyFont="1" applyFill="1" applyBorder="1" applyAlignment="1">
      <alignment wrapText="1"/>
    </xf>
    <xf numFmtId="171" fontId="1" fillId="0" borderId="51" xfId="1" applyNumberFormat="1" applyFont="1" applyFill="1" applyBorder="1" applyAlignment="1">
      <alignment horizontal="center" wrapText="1"/>
    </xf>
    <xf numFmtId="8" fontId="7" fillId="0" borderId="51" xfId="2" applyNumberFormat="1" applyFont="1" applyFill="1" applyBorder="1" applyAlignment="1">
      <alignment horizontal="right" wrapText="1"/>
    </xf>
    <xf numFmtId="164" fontId="9" fillId="0" borderId="61" xfId="1" applyNumberFormat="1" applyFont="1" applyFill="1" applyBorder="1" applyAlignment="1">
      <alignment wrapText="1"/>
    </xf>
    <xf numFmtId="6" fontId="7" fillId="0" borderId="23" xfId="1" applyNumberFormat="1" applyFont="1" applyFill="1" applyBorder="1" applyAlignment="1">
      <alignment horizontal="right" wrapText="1"/>
    </xf>
    <xf numFmtId="8" fontId="9" fillId="4" borderId="71" xfId="1" applyNumberFormat="1" applyFont="1" applyFill="1" applyBorder="1" applyAlignment="1">
      <alignment horizontal="right" wrapText="1"/>
    </xf>
    <xf numFmtId="8" fontId="7" fillId="5" borderId="78" xfId="2" applyNumberFormat="1" applyFont="1" applyFill="1" applyBorder="1" applyAlignment="1">
      <alignment horizontal="right" wrapText="1"/>
    </xf>
    <xf numFmtId="0" fontId="7" fillId="0" borderId="102" xfId="1" applyFont="1" applyBorder="1" applyAlignment="1">
      <alignment wrapText="1"/>
    </xf>
    <xf numFmtId="0" fontId="1" fillId="4" borderId="103" xfId="1" applyFont="1" applyFill="1" applyBorder="1" applyAlignment="1">
      <alignment horizontal="center"/>
    </xf>
    <xf numFmtId="10" fontId="1" fillId="4" borderId="15" xfId="1" applyNumberFormat="1" applyFont="1" applyFill="1" applyBorder="1" applyAlignment="1">
      <alignment horizontal="center"/>
    </xf>
    <xf numFmtId="0" fontId="1" fillId="0" borderId="15" xfId="1" applyFont="1" applyBorder="1"/>
    <xf numFmtId="0" fontId="9" fillId="0" borderId="46" xfId="1" applyFont="1" applyBorder="1" applyAlignment="1">
      <alignment wrapText="1"/>
    </xf>
    <xf numFmtId="6" fontId="9" fillId="4" borderId="18" xfId="1" applyNumberFormat="1" applyFont="1" applyFill="1" applyBorder="1" applyAlignment="1">
      <alignment horizontal="right" wrapText="1"/>
    </xf>
    <xf numFmtId="10" fontId="1" fillId="4" borderId="106" xfId="1" applyNumberFormat="1" applyFont="1" applyFill="1" applyBorder="1" applyAlignment="1">
      <alignment horizontal="center"/>
    </xf>
    <xf numFmtId="0" fontId="1" fillId="0" borderId="106" xfId="1" applyFont="1" applyBorder="1"/>
    <xf numFmtId="0" fontId="9" fillId="0" borderId="61" xfId="1" applyFont="1" applyBorder="1" applyAlignment="1">
      <alignment wrapText="1"/>
    </xf>
    <xf numFmtId="164" fontId="9" fillId="0" borderId="107" xfId="1" applyNumberFormat="1" applyFont="1" applyBorder="1" applyAlignment="1">
      <alignment wrapText="1"/>
    </xf>
    <xf numFmtId="6" fontId="9" fillId="4" borderId="108" xfId="1" applyNumberFormat="1" applyFont="1" applyFill="1" applyBorder="1" applyAlignment="1">
      <alignment horizontal="right" wrapText="1"/>
    </xf>
    <xf numFmtId="0" fontId="7" fillId="0" borderId="72" xfId="1" applyFont="1" applyBorder="1" applyAlignment="1">
      <alignment wrapText="1"/>
    </xf>
    <xf numFmtId="0" fontId="1" fillId="4" borderId="73" xfId="1" applyFont="1" applyFill="1" applyBorder="1" applyAlignment="1">
      <alignment horizontal="center"/>
    </xf>
    <xf numFmtId="6" fontId="7" fillId="4" borderId="74" xfId="1" applyNumberFormat="1" applyFont="1" applyFill="1" applyBorder="1" applyAlignment="1">
      <alignment horizontal="right" wrapText="1"/>
    </xf>
    <xf numFmtId="10" fontId="18" fillId="0" borderId="0" xfId="22" applyNumberFormat="1" applyFont="1"/>
    <xf numFmtId="0" fontId="58" fillId="32" borderId="60" xfId="164" applyFont="1" applyFill="1" applyBorder="1"/>
    <xf numFmtId="0" fontId="25" fillId="32" borderId="105" xfId="164" applyFont="1" applyFill="1" applyBorder="1"/>
    <xf numFmtId="0" fontId="57" fillId="0" borderId="0" xfId="164"/>
    <xf numFmtId="0" fontId="25" fillId="32" borderId="0" xfId="164" applyFont="1" applyFill="1" applyBorder="1"/>
    <xf numFmtId="0" fontId="26" fillId="32" borderId="23" xfId="164" applyFont="1" applyFill="1" applyBorder="1"/>
    <xf numFmtId="0" fontId="59" fillId="32" borderId="51" xfId="164" applyFont="1" applyFill="1" applyBorder="1"/>
    <xf numFmtId="0" fontId="26" fillId="32" borderId="78" xfId="164" applyFont="1" applyFill="1" applyBorder="1"/>
    <xf numFmtId="0" fontId="26" fillId="0" borderId="0" xfId="164" applyFont="1"/>
    <xf numFmtId="0" fontId="27" fillId="0" borderId="0" xfId="14" applyFont="1" applyFill="1"/>
    <xf numFmtId="0" fontId="27" fillId="33" borderId="0" xfId="14" applyFont="1" applyFill="1"/>
    <xf numFmtId="0" fontId="27" fillId="34" borderId="0" xfId="14" applyFont="1" applyFill="1"/>
    <xf numFmtId="14" fontId="26" fillId="0" borderId="0" xfId="164" applyNumberFormat="1" applyFont="1"/>
    <xf numFmtId="170" fontId="57" fillId="0" borderId="0" xfId="164" applyNumberFormat="1"/>
    <xf numFmtId="0" fontId="9" fillId="0" borderId="0" xfId="6" applyFont="1"/>
    <xf numFmtId="164" fontId="7" fillId="0" borderId="0" xfId="6" applyNumberFormat="1" applyFont="1" applyFill="1" applyBorder="1" applyAlignment="1">
      <alignment horizontal="center" vertical="center"/>
    </xf>
    <xf numFmtId="164" fontId="7" fillId="0" borderId="8" xfId="6" applyNumberFormat="1" applyFont="1" applyFill="1" applyBorder="1" applyAlignment="1">
      <alignment horizontal="center"/>
    </xf>
    <xf numFmtId="164" fontId="7" fillId="0" borderId="0" xfId="6" applyNumberFormat="1" applyFont="1" applyFill="1" applyBorder="1" applyAlignment="1">
      <alignment horizontal="center"/>
    </xf>
    <xf numFmtId="164" fontId="9" fillId="0" borderId="21" xfId="6" applyNumberFormat="1" applyFont="1" applyFill="1" applyBorder="1"/>
    <xf numFmtId="164" fontId="9" fillId="0" borderId="0" xfId="6" applyNumberFormat="1" applyFont="1" applyFill="1" applyBorder="1"/>
    <xf numFmtId="164" fontId="9" fillId="0" borderId="10" xfId="1" applyNumberFormat="1" applyFont="1" applyFill="1" applyBorder="1" applyAlignment="1">
      <alignment wrapText="1"/>
    </xf>
    <xf numFmtId="164" fontId="9" fillId="0" borderId="8" xfId="6" applyNumberFormat="1" applyFont="1" applyFill="1" applyBorder="1"/>
    <xf numFmtId="164" fontId="9" fillId="0" borderId="59" xfId="6" applyNumberFormat="1" applyFont="1" applyFill="1" applyBorder="1"/>
    <xf numFmtId="164" fontId="7" fillId="0" borderId="60" xfId="6" applyNumberFormat="1" applyFont="1" applyFill="1" applyBorder="1" applyAlignment="1">
      <alignment horizontal="center"/>
    </xf>
    <xf numFmtId="164" fontId="9" fillId="0" borderId="14" xfId="6" applyNumberFormat="1" applyFont="1" applyFill="1" applyBorder="1"/>
    <xf numFmtId="164" fontId="9" fillId="0" borderId="61" xfId="6" applyNumberFormat="1" applyFont="1" applyFill="1" applyBorder="1"/>
    <xf numFmtId="164" fontId="9" fillId="0" borderId="49" xfId="6" applyNumberFormat="1" applyFont="1" applyFill="1" applyBorder="1"/>
    <xf numFmtId="164" fontId="7" fillId="0" borderId="61" xfId="6" applyNumberFormat="1" applyFont="1" applyFill="1" applyBorder="1" applyAlignment="1">
      <alignment horizontal="right"/>
    </xf>
    <xf numFmtId="164" fontId="9" fillId="0" borderId="69" xfId="6" applyNumberFormat="1" applyFont="1" applyFill="1" applyBorder="1"/>
    <xf numFmtId="0" fontId="9" fillId="0" borderId="61" xfId="6" applyFont="1" applyFill="1" applyBorder="1"/>
    <xf numFmtId="168" fontId="9" fillId="0" borderId="0" xfId="6" applyNumberFormat="1" applyFont="1" applyFill="1" applyBorder="1"/>
    <xf numFmtId="164" fontId="9" fillId="0" borderId="26" xfId="6" applyNumberFormat="1" applyFont="1" applyFill="1" applyBorder="1"/>
    <xf numFmtId="164" fontId="9" fillId="0" borderId="47" xfId="6" applyNumberFormat="1" applyFont="1" applyFill="1" applyBorder="1"/>
    <xf numFmtId="0" fontId="9" fillId="0" borderId="50" xfId="6" applyFont="1" applyBorder="1"/>
    <xf numFmtId="164" fontId="9" fillId="0" borderId="52" xfId="6" applyNumberFormat="1" applyFont="1" applyFill="1" applyBorder="1"/>
    <xf numFmtId="14" fontId="61" fillId="0" borderId="0" xfId="6" applyNumberFormat="1" applyFont="1" applyAlignment="1">
      <alignment horizontal="left"/>
    </xf>
    <xf numFmtId="164" fontId="7" fillId="4" borderId="12" xfId="1" applyNumberFormat="1" applyFont="1" applyFill="1" applyBorder="1" applyAlignment="1">
      <alignment horizontal="right"/>
    </xf>
    <xf numFmtId="0" fontId="1" fillId="4" borderId="96" xfId="1" applyFont="1" applyFill="1" applyBorder="1" applyAlignment="1">
      <alignment horizontal="center"/>
    </xf>
    <xf numFmtId="0" fontId="2" fillId="0" borderId="60" xfId="1" applyFont="1" applyBorder="1" applyAlignment="1">
      <alignment horizontal="right"/>
    </xf>
    <xf numFmtId="38" fontId="1" fillId="4" borderId="97" xfId="1" applyNumberFormat="1" applyFont="1" applyFill="1" applyBorder="1"/>
    <xf numFmtId="0" fontId="2" fillId="0" borderId="0" xfId="1" applyFont="1" applyBorder="1" applyAlignment="1">
      <alignment horizontal="right"/>
    </xf>
    <xf numFmtId="164" fontId="9" fillId="0" borderId="16" xfId="1" applyNumberFormat="1" applyFont="1" applyFill="1" applyBorder="1" applyAlignment="1">
      <alignment wrapText="1"/>
    </xf>
    <xf numFmtId="6" fontId="1" fillId="0" borderId="54" xfId="1" applyNumberFormat="1" applyFont="1" applyFill="1" applyBorder="1"/>
    <xf numFmtId="165" fontId="9" fillId="0" borderId="55" xfId="1" applyNumberFormat="1" applyFont="1" applyBorder="1" applyAlignment="1">
      <alignment horizontal="center"/>
    </xf>
    <xf numFmtId="6" fontId="1" fillId="0" borderId="56" xfId="1" applyNumberFormat="1" applyFont="1" applyFill="1" applyBorder="1"/>
    <xf numFmtId="6" fontId="9" fillId="0" borderId="41" xfId="1" applyNumberFormat="1" applyFont="1" applyFill="1" applyBorder="1"/>
    <xf numFmtId="165" fontId="9" fillId="0" borderId="57" xfId="1" applyNumberFormat="1" applyFont="1" applyFill="1" applyBorder="1" applyAlignment="1">
      <alignment horizontal="center"/>
    </xf>
    <xf numFmtId="6" fontId="9" fillId="0" borderId="43" xfId="1" applyNumberFormat="1" applyFont="1" applyFill="1" applyBorder="1"/>
    <xf numFmtId="6" fontId="9" fillId="0" borderId="9" xfId="1" applyNumberFormat="1" applyFont="1" applyFill="1" applyBorder="1"/>
    <xf numFmtId="165" fontId="9" fillId="0" borderId="86" xfId="1" applyNumberFormat="1" applyFont="1" applyFill="1" applyBorder="1" applyAlignment="1">
      <alignment horizontal="center"/>
    </xf>
    <xf numFmtId="6" fontId="9" fillId="0" borderId="11" xfId="1" applyNumberFormat="1" applyFont="1" applyFill="1" applyBorder="1"/>
    <xf numFmtId="164" fontId="9" fillId="0" borderId="25" xfId="1" applyNumberFormat="1" applyFont="1" applyFill="1" applyBorder="1" applyAlignment="1">
      <alignment wrapText="1"/>
    </xf>
    <xf numFmtId="6" fontId="9" fillId="0" borderId="44" xfId="1" applyNumberFormat="1" applyFont="1" applyFill="1" applyBorder="1"/>
    <xf numFmtId="165" fontId="9" fillId="0" borderId="58" xfId="1" applyNumberFormat="1" applyFont="1" applyFill="1" applyBorder="1" applyAlignment="1">
      <alignment horizontal="center"/>
    </xf>
    <xf numFmtId="6" fontId="9" fillId="0" borderId="45" xfId="1" applyNumberFormat="1" applyFont="1" applyFill="1" applyBorder="1"/>
    <xf numFmtId="0" fontId="7" fillId="0" borderId="28" xfId="1" applyFont="1" applyBorder="1" applyAlignment="1">
      <alignment wrapText="1"/>
    </xf>
    <xf numFmtId="0" fontId="7" fillId="0" borderId="27" xfId="1" applyFont="1" applyBorder="1" applyAlignment="1">
      <alignment wrapText="1"/>
    </xf>
    <xf numFmtId="2" fontId="2" fillId="0" borderId="27" xfId="1" applyNumberFormat="1" applyFont="1" applyBorder="1" applyAlignment="1">
      <alignment horizontal="center"/>
    </xf>
    <xf numFmtId="6" fontId="2" fillId="0" borderId="36" xfId="1" applyNumberFormat="1" applyFont="1" applyBorder="1"/>
    <xf numFmtId="0" fontId="7" fillId="4" borderId="5" xfId="1" applyFont="1" applyFill="1" applyBorder="1" applyAlignment="1">
      <alignment horizontal="right" wrapText="1"/>
    </xf>
    <xf numFmtId="0" fontId="1" fillId="0" borderId="7" xfId="1" applyFont="1" applyBorder="1"/>
    <xf numFmtId="0" fontId="9" fillId="4" borderId="62" xfId="1" applyFont="1" applyFill="1" applyBorder="1" applyAlignment="1">
      <alignment wrapText="1"/>
    </xf>
    <xf numFmtId="10" fontId="1" fillId="0" borderId="63" xfId="1" applyNumberFormat="1" applyFont="1" applyFill="1" applyBorder="1"/>
    <xf numFmtId="0" fontId="1" fillId="0" borderId="63" xfId="1" applyFont="1" applyBorder="1"/>
    <xf numFmtId="6" fontId="1" fillId="0" borderId="64" xfId="1" applyNumberFormat="1" applyFont="1" applyBorder="1"/>
    <xf numFmtId="0" fontId="7" fillId="0" borderId="65" xfId="1" applyFont="1" applyBorder="1" applyAlignment="1">
      <alignment wrapText="1"/>
    </xf>
    <xf numFmtId="0" fontId="2" fillId="4" borderId="66" xfId="1" applyFont="1" applyFill="1" applyBorder="1"/>
    <xf numFmtId="0" fontId="2" fillId="0" borderId="66" xfId="1" applyFont="1" applyBorder="1"/>
    <xf numFmtId="6" fontId="2" fillId="0" borderId="67" xfId="1" applyNumberFormat="1" applyFont="1" applyBorder="1"/>
    <xf numFmtId="10" fontId="7" fillId="4" borderId="41" xfId="1" applyNumberFormat="1" applyFont="1" applyFill="1" applyBorder="1" applyAlignment="1">
      <alignment horizontal="right" wrapText="1"/>
    </xf>
    <xf numFmtId="0" fontId="9" fillId="0" borderId="0" xfId="6" applyFont="1" applyBorder="1"/>
    <xf numFmtId="8" fontId="9" fillId="4" borderId="41" xfId="1" applyNumberFormat="1" applyFont="1" applyFill="1" applyBorder="1" applyAlignment="1">
      <alignment horizontal="center" wrapText="1"/>
    </xf>
    <xf numFmtId="167" fontId="9" fillId="0" borderId="43" xfId="1" applyNumberFormat="1" applyFont="1" applyFill="1" applyBorder="1"/>
    <xf numFmtId="0" fontId="9" fillId="0" borderId="61" xfId="1" applyFont="1" applyFill="1" applyBorder="1" applyAlignment="1">
      <alignment wrapText="1"/>
    </xf>
    <xf numFmtId="167" fontId="9" fillId="0" borderId="68" xfId="1" applyNumberFormat="1" applyFont="1" applyFill="1" applyBorder="1"/>
    <xf numFmtId="0" fontId="9" fillId="0" borderId="0" xfId="6" applyFont="1" applyFill="1"/>
    <xf numFmtId="167" fontId="9" fillId="0" borderId="23" xfId="1" applyNumberFormat="1" applyFont="1" applyFill="1" applyBorder="1"/>
    <xf numFmtId="6" fontId="1" fillId="4" borderId="39" xfId="1" applyNumberFormat="1" applyFont="1" applyFill="1" applyBorder="1"/>
    <xf numFmtId="10" fontId="1" fillId="0" borderId="41" xfId="1" applyNumberFormat="1" applyFont="1" applyFill="1" applyBorder="1"/>
    <xf numFmtId="0" fontId="9" fillId="0" borderId="70" xfId="1" applyFont="1" applyFill="1" applyBorder="1" applyAlignment="1">
      <alignment wrapText="1"/>
    </xf>
    <xf numFmtId="8" fontId="9" fillId="4" borderId="41" xfId="1" applyNumberFormat="1" applyFont="1" applyFill="1" applyBorder="1" applyAlignment="1">
      <alignment horizontal="right" wrapText="1"/>
    </xf>
    <xf numFmtId="0" fontId="1" fillId="0" borderId="35" xfId="1" applyFont="1" applyFill="1" applyBorder="1"/>
    <xf numFmtId="6" fontId="9" fillId="0" borderId="71" xfId="2" applyNumberFormat="1" applyFont="1" applyFill="1" applyBorder="1" applyAlignment="1">
      <alignment horizontal="right" wrapText="1"/>
    </xf>
    <xf numFmtId="0" fontId="1" fillId="4" borderId="73" xfId="1" applyFont="1" applyFill="1" applyBorder="1"/>
    <xf numFmtId="0" fontId="9" fillId="0" borderId="6" xfId="1" applyFont="1" applyBorder="1" applyAlignment="1">
      <alignment wrapText="1"/>
    </xf>
    <xf numFmtId="10" fontId="1" fillId="4" borderId="5" xfId="1" applyNumberFormat="1" applyFont="1" applyFill="1" applyBorder="1"/>
    <xf numFmtId="10" fontId="1" fillId="0" borderId="5" xfId="1" applyNumberFormat="1" applyFont="1" applyBorder="1"/>
    <xf numFmtId="6" fontId="9" fillId="4" borderId="7" xfId="1" applyNumberFormat="1" applyFont="1" applyFill="1" applyBorder="1" applyAlignment="1">
      <alignment horizontal="right" wrapText="1"/>
    </xf>
    <xf numFmtId="6" fontId="9" fillId="4" borderId="71" xfId="1" applyNumberFormat="1" applyFont="1" applyFill="1" applyBorder="1" applyAlignment="1">
      <alignment horizontal="right" wrapText="1"/>
    </xf>
    <xf numFmtId="164" fontId="9" fillId="0" borderId="98" xfId="1" applyNumberFormat="1" applyFont="1" applyFill="1" applyBorder="1" applyAlignment="1">
      <alignment wrapText="1"/>
    </xf>
    <xf numFmtId="171" fontId="1" fillId="0" borderId="99" xfId="1" applyNumberFormat="1" applyFont="1" applyFill="1" applyBorder="1"/>
    <xf numFmtId="10" fontId="9" fillId="0" borderId="100" xfId="1" applyNumberFormat="1" applyFont="1" applyFill="1" applyBorder="1" applyAlignment="1">
      <alignment horizontal="right" wrapText="1"/>
    </xf>
    <xf numFmtId="8" fontId="9" fillId="0" borderId="101" xfId="1" applyNumberFormat="1" applyFont="1" applyFill="1" applyBorder="1" applyAlignment="1">
      <alignment horizontal="right" wrapText="1"/>
    </xf>
    <xf numFmtId="164" fontId="9" fillId="0" borderId="72" xfId="1" applyNumberFormat="1" applyFont="1" applyBorder="1" applyAlignment="1">
      <alignment wrapText="1"/>
    </xf>
    <xf numFmtId="6" fontId="9" fillId="4" borderId="74" xfId="1" applyNumberFormat="1" applyFont="1" applyFill="1" applyBorder="1" applyAlignment="1">
      <alignment horizontal="right" wrapText="1"/>
    </xf>
    <xf numFmtId="10" fontId="1" fillId="4" borderId="0" xfId="1" applyNumberFormat="1" applyFont="1" applyFill="1" applyBorder="1"/>
    <xf numFmtId="0" fontId="60" fillId="0" borderId="0" xfId="1" applyFont="1" applyFill="1" applyBorder="1" applyAlignment="1">
      <alignment horizontal="right" wrapText="1"/>
    </xf>
    <xf numFmtId="6" fontId="9" fillId="0" borderId="23" xfId="1" applyNumberFormat="1" applyFont="1" applyFill="1" applyBorder="1" applyAlignment="1">
      <alignment horizontal="right" wrapText="1"/>
    </xf>
    <xf numFmtId="10" fontId="1" fillId="0" borderId="51" xfId="1" applyNumberFormat="1" applyFont="1" applyFill="1" applyBorder="1"/>
    <xf numFmtId="0" fontId="60" fillId="0" borderId="51" xfId="1" applyFont="1" applyFill="1" applyBorder="1" applyAlignment="1">
      <alignment horizontal="right" wrapText="1"/>
    </xf>
    <xf numFmtId="8" fontId="9" fillId="0" borderId="78" xfId="1" applyNumberFormat="1" applyFont="1" applyFill="1" applyBorder="1" applyAlignment="1">
      <alignment horizontal="right" wrapText="1"/>
    </xf>
    <xf numFmtId="0" fontId="9" fillId="0" borderId="2" xfId="6" applyFont="1" applyFill="1" applyBorder="1"/>
    <xf numFmtId="0" fontId="9" fillId="0" borderId="3" xfId="6" applyFont="1" applyFill="1" applyBorder="1"/>
    <xf numFmtId="171" fontId="9" fillId="0" borderId="3" xfId="6" applyNumberFormat="1" applyFont="1" applyFill="1" applyBorder="1"/>
    <xf numFmtId="8" fontId="7" fillId="5" borderId="4" xfId="6" applyNumberFormat="1" applyFont="1" applyFill="1" applyBorder="1"/>
    <xf numFmtId="0" fontId="7" fillId="0" borderId="21" xfId="6" applyFont="1" applyBorder="1" applyAlignment="1">
      <alignment horizontal="center"/>
    </xf>
    <xf numFmtId="0" fontId="8" fillId="0" borderId="61" xfId="6" applyFont="1" applyBorder="1" applyAlignment="1">
      <alignment horizontal="center"/>
    </xf>
    <xf numFmtId="0" fontId="2" fillId="4" borderId="75" xfId="1" applyFont="1" applyFill="1" applyBorder="1" applyAlignment="1">
      <alignment horizontal="center"/>
    </xf>
    <xf numFmtId="38" fontId="2" fillId="4" borderId="7" xfId="1" applyNumberFormat="1" applyFont="1" applyFill="1" applyBorder="1" applyAlignment="1">
      <alignment horizontal="center"/>
    </xf>
    <xf numFmtId="164" fontId="9" fillId="0" borderId="76" xfId="1" applyNumberFormat="1" applyFont="1" applyFill="1" applyBorder="1" applyAlignment="1">
      <alignment wrapText="1"/>
    </xf>
    <xf numFmtId="0" fontId="9" fillId="0" borderId="47" xfId="6" applyFont="1" applyBorder="1"/>
    <xf numFmtId="169" fontId="9" fillId="0" borderId="0" xfId="27" applyNumberFormat="1" applyFont="1"/>
    <xf numFmtId="0" fontId="1" fillId="0" borderId="28" xfId="1" applyFont="1" applyBorder="1"/>
    <xf numFmtId="164" fontId="8" fillId="4" borderId="44" xfId="1" applyNumberFormat="1" applyFont="1" applyFill="1" applyBorder="1" applyAlignment="1">
      <alignment horizontal="center" wrapText="1"/>
    </xf>
    <xf numFmtId="164" fontId="7" fillId="4" borderId="44" xfId="1" applyNumberFormat="1" applyFont="1" applyFill="1" applyBorder="1" applyAlignment="1">
      <alignment horizontal="center" wrapText="1"/>
    </xf>
    <xf numFmtId="42" fontId="7" fillId="4" borderId="45" xfId="1" applyNumberFormat="1" applyFont="1" applyFill="1" applyBorder="1" applyAlignment="1">
      <alignment horizontal="center" wrapText="1"/>
    </xf>
    <xf numFmtId="0" fontId="9" fillId="0" borderId="21" xfId="6" applyFont="1" applyBorder="1"/>
    <xf numFmtId="6" fontId="9" fillId="0" borderId="0" xfId="6" applyNumberFormat="1" applyFont="1" applyFill="1" applyBorder="1"/>
    <xf numFmtId="4" fontId="9" fillId="0" borderId="0" xfId="6" applyNumberFormat="1" applyFont="1" applyFill="1" applyBorder="1" applyAlignment="1">
      <alignment horizontal="center"/>
    </xf>
    <xf numFmtId="0" fontId="9" fillId="0" borderId="21" xfId="6" applyFont="1" applyFill="1" applyBorder="1"/>
    <xf numFmtId="166" fontId="9" fillId="0" borderId="49" xfId="1" applyNumberFormat="1" applyFont="1" applyFill="1" applyBorder="1" applyAlignment="1">
      <alignment wrapText="1"/>
    </xf>
    <xf numFmtId="166" fontId="9" fillId="0" borderId="29" xfId="1" applyNumberFormat="1" applyFont="1" applyFill="1" applyBorder="1" applyAlignment="1">
      <alignment wrapText="1"/>
    </xf>
    <xf numFmtId="166" fontId="1" fillId="0" borderId="38" xfId="1" applyNumberFormat="1" applyFont="1" applyFill="1" applyBorder="1"/>
    <xf numFmtId="0" fontId="9" fillId="0" borderId="26" xfId="6" applyFont="1" applyBorder="1"/>
    <xf numFmtId="6" fontId="9" fillId="0" borderId="30" xfId="6" applyNumberFormat="1" applyFont="1" applyFill="1" applyBorder="1"/>
    <xf numFmtId="4" fontId="9" fillId="0" borderId="30" xfId="6" applyNumberFormat="1" applyFont="1" applyFill="1" applyBorder="1" applyAlignment="1">
      <alignment horizontal="center"/>
    </xf>
    <xf numFmtId="0" fontId="2" fillId="4" borderId="27" xfId="1" applyFont="1" applyFill="1" applyBorder="1"/>
    <xf numFmtId="8" fontId="1" fillId="0" borderId="41" xfId="1" applyNumberFormat="1" applyFont="1" applyBorder="1"/>
    <xf numFmtId="0" fontId="9" fillId="0" borderId="34" xfId="6" applyFont="1" applyBorder="1"/>
    <xf numFmtId="0" fontId="9" fillId="4" borderId="10" xfId="1" applyFont="1" applyFill="1" applyBorder="1" applyAlignment="1">
      <alignment wrapText="1"/>
    </xf>
    <xf numFmtId="8" fontId="1" fillId="0" borderId="9" xfId="1" applyNumberFormat="1" applyFont="1" applyBorder="1"/>
    <xf numFmtId="167" fontId="9" fillId="4" borderId="11" xfId="1" applyNumberFormat="1" applyFont="1" applyFill="1" applyBorder="1"/>
    <xf numFmtId="0" fontId="9" fillId="0" borderId="46" xfId="6" applyFont="1" applyFill="1" applyBorder="1"/>
    <xf numFmtId="0" fontId="7" fillId="0" borderId="49" xfId="1" applyFont="1" applyBorder="1" applyAlignment="1">
      <alignment wrapText="1"/>
    </xf>
    <xf numFmtId="6" fontId="1" fillId="4" borderId="30" xfId="1" applyNumberFormat="1" applyFont="1" applyFill="1" applyBorder="1"/>
    <xf numFmtId="0" fontId="1" fillId="0" borderId="30" xfId="1" applyFont="1" applyBorder="1"/>
    <xf numFmtId="6" fontId="7" fillId="4" borderId="31" xfId="2" applyNumberFormat="1" applyFont="1" applyFill="1" applyBorder="1" applyAlignment="1">
      <alignment horizontal="right" wrapText="1"/>
    </xf>
    <xf numFmtId="44" fontId="9" fillId="0" borderId="0" xfId="27" applyNumberFormat="1" applyFont="1"/>
    <xf numFmtId="0" fontId="9" fillId="4" borderId="6" xfId="1" applyFont="1" applyFill="1" applyBorder="1" applyAlignment="1">
      <alignment wrapText="1"/>
    </xf>
    <xf numFmtId="10" fontId="1" fillId="4" borderId="5" xfId="1" applyNumberFormat="1" applyFont="1" applyFill="1" applyBorder="1" applyAlignment="1">
      <alignment horizontal="center"/>
    </xf>
    <xf numFmtId="6" fontId="9" fillId="4" borderId="7" xfId="2" applyNumberFormat="1" applyFont="1" applyFill="1" applyBorder="1" applyAlignment="1">
      <alignment horizontal="right" wrapText="1"/>
    </xf>
    <xf numFmtId="0" fontId="9" fillId="0" borderId="49" xfId="6" applyFont="1" applyFill="1" applyBorder="1"/>
    <xf numFmtId="164" fontId="9" fillId="0" borderId="70" xfId="1" applyNumberFormat="1" applyFont="1" applyBorder="1" applyAlignment="1">
      <alignment wrapText="1"/>
    </xf>
    <xf numFmtId="6" fontId="7" fillId="4" borderId="71" xfId="1" applyNumberFormat="1" applyFont="1" applyFill="1" applyBorder="1" applyAlignment="1">
      <alignment horizontal="right" wrapText="1"/>
    </xf>
    <xf numFmtId="0" fontId="9" fillId="0" borderId="50" xfId="6" applyFont="1" applyFill="1" applyBorder="1"/>
    <xf numFmtId="0" fontId="9" fillId="0" borderId="52" xfId="6" applyFont="1" applyBorder="1"/>
    <xf numFmtId="0" fontId="9" fillId="0" borderId="2" xfId="1" applyFont="1" applyFill="1" applyBorder="1" applyAlignment="1">
      <alignment wrapText="1"/>
    </xf>
    <xf numFmtId="8" fontId="7" fillId="5" borderId="4" xfId="2" applyNumberFormat="1" applyFont="1" applyFill="1" applyBorder="1" applyAlignment="1">
      <alignment horizontal="right" wrapText="1"/>
    </xf>
    <xf numFmtId="42" fontId="8" fillId="0" borderId="0" xfId="6" applyNumberFormat="1" applyFont="1" applyBorder="1"/>
    <xf numFmtId="10" fontId="1" fillId="0" borderId="0" xfId="1" applyNumberFormat="1" applyFont="1" applyBorder="1" applyAlignment="1">
      <alignment horizontal="center"/>
    </xf>
    <xf numFmtId="0" fontId="56" fillId="0" borderId="0" xfId="0" applyFont="1"/>
    <xf numFmtId="0" fontId="62" fillId="0" borderId="8" xfId="1" applyFont="1" applyBorder="1" applyAlignment="1">
      <alignment horizontal="center"/>
    </xf>
    <xf numFmtId="164" fontId="55" fillId="4" borderId="6" xfId="1" applyNumberFormat="1" applyFont="1" applyFill="1" applyBorder="1" applyAlignment="1">
      <alignment horizontal="right"/>
    </xf>
    <xf numFmtId="0" fontId="54" fillId="0" borderId="60" xfId="1" applyFont="1" applyFill="1" applyBorder="1" applyAlignment="1">
      <alignment horizontal="center" vertical="center"/>
    </xf>
    <xf numFmtId="38" fontId="56" fillId="4" borderId="7" xfId="1" applyNumberFormat="1" applyFont="1" applyFill="1" applyBorder="1" applyAlignment="1">
      <alignment horizontal="center"/>
    </xf>
    <xf numFmtId="164" fontId="17" fillId="0" borderId="12" xfId="1" applyNumberFormat="1" applyFont="1" applyFill="1" applyBorder="1" applyAlignment="1">
      <alignment wrapText="1"/>
    </xf>
    <xf numFmtId="0" fontId="63" fillId="0" borderId="21" xfId="1" applyFont="1" applyBorder="1"/>
    <xf numFmtId="0" fontId="63" fillId="0" borderId="21" xfId="1" applyFont="1" applyFill="1" applyBorder="1"/>
    <xf numFmtId="166" fontId="17" fillId="0" borderId="19" xfId="1" applyNumberFormat="1" applyFont="1" applyFill="1" applyBorder="1" applyAlignment="1">
      <alignment wrapText="1"/>
    </xf>
    <xf numFmtId="0" fontId="63" fillId="0" borderId="47" xfId="1" applyFont="1" applyFill="1" applyBorder="1"/>
    <xf numFmtId="164" fontId="17" fillId="0" borderId="6" xfId="1" applyNumberFormat="1" applyFont="1" applyFill="1" applyBorder="1" applyAlignment="1">
      <alignment wrapText="1"/>
    </xf>
    <xf numFmtId="0" fontId="55" fillId="0" borderId="40" xfId="1" applyFont="1" applyFill="1" applyBorder="1" applyAlignment="1">
      <alignment wrapText="1"/>
    </xf>
    <xf numFmtId="0" fontId="55" fillId="0" borderId="39" xfId="1" applyFont="1" applyFill="1" applyBorder="1" applyAlignment="1">
      <alignment horizontal="center" wrapText="1"/>
    </xf>
    <xf numFmtId="2" fontId="54" fillId="0" borderId="39" xfId="1" applyNumberFormat="1" applyFont="1" applyFill="1" applyBorder="1" applyAlignment="1">
      <alignment horizontal="center"/>
    </xf>
    <xf numFmtId="42" fontId="54" fillId="0" borderId="42" xfId="1" applyNumberFormat="1" applyFont="1" applyFill="1" applyBorder="1"/>
    <xf numFmtId="0" fontId="63" fillId="0" borderId="61" xfId="1" applyFont="1" applyBorder="1"/>
    <xf numFmtId="0" fontId="63" fillId="0" borderId="0" xfId="1" applyFont="1" applyBorder="1" applyAlignment="1">
      <alignment horizontal="center"/>
    </xf>
    <xf numFmtId="42" fontId="63" fillId="0" borderId="23" xfId="1" applyNumberFormat="1" applyFont="1" applyBorder="1"/>
    <xf numFmtId="10" fontId="63" fillId="0" borderId="30" xfId="1" applyNumberFormat="1" applyFont="1" applyBorder="1" applyAlignment="1">
      <alignment horizontal="center"/>
    </xf>
    <xf numFmtId="6" fontId="63" fillId="0" borderId="23" xfId="1" applyNumberFormat="1" applyFont="1" applyBorder="1"/>
    <xf numFmtId="0" fontId="54" fillId="0" borderId="27" xfId="1" applyFont="1" applyFill="1" applyBorder="1" applyAlignment="1">
      <alignment horizontal="center"/>
    </xf>
    <xf numFmtId="0" fontId="54" fillId="0" borderId="39" xfId="1" applyFont="1" applyFill="1" applyBorder="1"/>
    <xf numFmtId="0" fontId="55" fillId="0" borderId="61" xfId="1" applyFont="1" applyFill="1" applyBorder="1" applyAlignment="1">
      <alignment wrapText="1"/>
    </xf>
    <xf numFmtId="0" fontId="54" fillId="0" borderId="0" xfId="1" applyFont="1" applyFill="1" applyBorder="1" applyAlignment="1">
      <alignment horizontal="center"/>
    </xf>
    <xf numFmtId="6" fontId="54" fillId="0" borderId="23" xfId="1" applyNumberFormat="1" applyFont="1" applyFill="1" applyBorder="1"/>
    <xf numFmtId="0" fontId="63" fillId="0" borderId="0" xfId="1" applyFont="1" applyBorder="1"/>
    <xf numFmtId="8" fontId="54" fillId="0" borderId="0" xfId="1" applyNumberFormat="1" applyFont="1" applyFill="1" applyBorder="1" applyAlignment="1">
      <alignment horizontal="center"/>
    </xf>
    <xf numFmtId="0" fontId="63" fillId="0" borderId="34" xfId="1" applyFont="1" applyFill="1" applyBorder="1"/>
    <xf numFmtId="0" fontId="17" fillId="0" borderId="19" xfId="1" applyFont="1" applyFill="1" applyBorder="1" applyAlignment="1">
      <alignment wrapText="1"/>
    </xf>
    <xf numFmtId="0" fontId="55" fillId="0" borderId="107" xfId="1" applyFont="1" applyFill="1" applyBorder="1" applyAlignment="1">
      <alignment wrapText="1"/>
    </xf>
    <xf numFmtId="0" fontId="54" fillId="0" borderId="106" xfId="1" applyFont="1" applyFill="1" applyBorder="1" applyAlignment="1">
      <alignment horizontal="center"/>
    </xf>
    <xf numFmtId="0" fontId="54" fillId="0" borderId="106" xfId="1" applyFont="1" applyFill="1" applyBorder="1"/>
    <xf numFmtId="42" fontId="54" fillId="0" borderId="108" xfId="1" applyNumberFormat="1" applyFont="1" applyFill="1" applyBorder="1"/>
    <xf numFmtId="0" fontId="63" fillId="0" borderId="26" xfId="1" applyFont="1" applyFill="1" applyBorder="1"/>
    <xf numFmtId="0" fontId="17" fillId="4" borderId="19" xfId="1" applyFont="1" applyFill="1" applyBorder="1" applyAlignment="1">
      <alignment wrapText="1"/>
    </xf>
    <xf numFmtId="10" fontId="56" fillId="4" borderId="41" xfId="1" applyNumberFormat="1" applyFont="1" applyFill="1" applyBorder="1" applyAlignment="1">
      <alignment horizontal="center"/>
    </xf>
    <xf numFmtId="0" fontId="56" fillId="0" borderId="41" xfId="1" applyFont="1" applyBorder="1"/>
    <xf numFmtId="6" fontId="17" fillId="4" borderId="43" xfId="2" applyNumberFormat="1" applyFont="1" applyFill="1" applyBorder="1" applyAlignment="1">
      <alignment horizontal="right" wrapText="1"/>
    </xf>
    <xf numFmtId="0" fontId="56" fillId="4" borderId="35" xfId="1" applyFont="1" applyFill="1" applyBorder="1" applyAlignment="1">
      <alignment horizontal="center"/>
    </xf>
    <xf numFmtId="0" fontId="56" fillId="0" borderId="35" xfId="1" applyFont="1" applyBorder="1"/>
    <xf numFmtId="8" fontId="55" fillId="4" borderId="71" xfId="1" applyNumberFormat="1" applyFont="1" applyFill="1" applyBorder="1" applyAlignment="1">
      <alignment horizontal="right" wrapText="1"/>
    </xf>
    <xf numFmtId="10" fontId="56" fillId="0" borderId="3" xfId="1" applyNumberFormat="1" applyFont="1" applyBorder="1" applyAlignment="1">
      <alignment horizontal="center"/>
    </xf>
    <xf numFmtId="8" fontId="55" fillId="0" borderId="3" xfId="2" applyNumberFormat="1" applyFont="1" applyFill="1" applyBorder="1" applyAlignment="1">
      <alignment horizontal="right" wrapText="1"/>
    </xf>
    <xf numFmtId="8" fontId="55" fillId="5" borderId="48" xfId="2" applyNumberFormat="1" applyFont="1" applyFill="1" applyBorder="1" applyAlignment="1">
      <alignment horizontal="right" wrapText="1"/>
    </xf>
    <xf numFmtId="164" fontId="17" fillId="0" borderId="52" xfId="6" applyNumberFormat="1" applyFont="1" applyFill="1" applyBorder="1"/>
    <xf numFmtId="9" fontId="1" fillId="0" borderId="3" xfId="1" applyNumberFormat="1" applyFont="1" applyFill="1" applyBorder="1" applyAlignment="1">
      <alignment horizontal="center" wrapText="1"/>
    </xf>
    <xf numFmtId="44" fontId="17" fillId="0" borderId="0" xfId="27" applyNumberFormat="1" applyFont="1"/>
    <xf numFmtId="0" fontId="9" fillId="0" borderId="0" xfId="1" applyFont="1" applyFill="1" applyBorder="1" applyAlignment="1">
      <alignment wrapText="1"/>
    </xf>
    <xf numFmtId="171" fontId="1" fillId="0" borderId="0" xfId="1" applyNumberFormat="1" applyFont="1" applyFill="1" applyBorder="1" applyAlignment="1">
      <alignment horizontal="center" wrapText="1"/>
    </xf>
    <xf numFmtId="10" fontId="7" fillId="0" borderId="0" xfId="22" applyNumberFormat="1" applyFont="1" applyFill="1" applyBorder="1" applyAlignment="1">
      <alignment horizontal="right" wrapText="1"/>
    </xf>
    <xf numFmtId="44" fontId="18" fillId="0" borderId="0" xfId="27" applyFont="1"/>
    <xf numFmtId="44" fontId="0" fillId="0" borderId="0" xfId="27" applyFont="1"/>
    <xf numFmtId="10" fontId="0" fillId="0" borderId="0" xfId="22" applyNumberFormat="1" applyFont="1"/>
    <xf numFmtId="0" fontId="56" fillId="0" borderId="83" xfId="1" applyFont="1" applyFill="1" applyBorder="1"/>
    <xf numFmtId="164" fontId="64" fillId="0" borderId="84" xfId="1" applyNumberFormat="1" applyFont="1" applyFill="1" applyBorder="1" applyAlignment="1">
      <alignment horizontal="center" wrapText="1"/>
    </xf>
    <xf numFmtId="164" fontId="17" fillId="0" borderId="84" xfId="1" applyNumberFormat="1" applyFont="1" applyFill="1" applyBorder="1" applyAlignment="1">
      <alignment horizontal="center" wrapText="1"/>
    </xf>
    <xf numFmtId="42" fontId="17" fillId="0" borderId="85" xfId="1" applyNumberFormat="1" applyFont="1" applyFill="1" applyBorder="1" applyAlignment="1">
      <alignment horizontal="center" wrapText="1"/>
    </xf>
    <xf numFmtId="164" fontId="56" fillId="0" borderId="61" xfId="1" applyNumberFormat="1" applyFont="1" applyFill="1" applyBorder="1"/>
    <xf numFmtId="164" fontId="64" fillId="0" borderId="0" xfId="1" applyNumberFormat="1" applyFont="1" applyFill="1" applyBorder="1" applyAlignment="1">
      <alignment horizontal="center" wrapText="1"/>
    </xf>
    <xf numFmtId="4" fontId="17" fillId="0" borderId="0" xfId="1" applyNumberFormat="1" applyFont="1" applyFill="1" applyBorder="1" applyAlignment="1">
      <alignment horizontal="center" wrapText="1"/>
    </xf>
    <xf numFmtId="42" fontId="17" fillId="0" borderId="23" xfId="1" applyNumberFormat="1" applyFont="1" applyFill="1" applyBorder="1" applyAlignment="1">
      <alignment horizontal="center" wrapText="1"/>
    </xf>
    <xf numFmtId="0" fontId="56" fillId="0" borderId="61" xfId="1" applyFont="1" applyFill="1" applyBorder="1"/>
    <xf numFmtId="166" fontId="56" fillId="0" borderId="61" xfId="1" applyNumberFormat="1" applyFont="1" applyFill="1" applyBorder="1"/>
    <xf numFmtId="0" fontId="17" fillId="0" borderId="61" xfId="1" applyFont="1" applyFill="1" applyBorder="1" applyAlignment="1"/>
    <xf numFmtId="0" fontId="17" fillId="0" borderId="70" xfId="1" applyFont="1" applyBorder="1" applyAlignment="1">
      <alignment wrapText="1"/>
    </xf>
    <xf numFmtId="0" fontId="55" fillId="0" borderId="72" xfId="1" applyFont="1" applyBorder="1" applyAlignment="1">
      <alignment wrapText="1"/>
    </xf>
    <xf numFmtId="0" fontId="56" fillId="4" borderId="73" xfId="1" applyFont="1" applyFill="1" applyBorder="1" applyAlignment="1">
      <alignment horizontal="center"/>
    </xf>
    <xf numFmtId="0" fontId="56" fillId="0" borderId="73" xfId="1" applyFont="1" applyBorder="1"/>
    <xf numFmtId="42" fontId="55" fillId="4" borderId="74" xfId="1" applyNumberFormat="1" applyFont="1" applyFill="1" applyBorder="1" applyAlignment="1">
      <alignment horizontal="right" wrapText="1"/>
    </xf>
    <xf numFmtId="8" fontId="56" fillId="0" borderId="0" xfId="1" applyNumberFormat="1" applyFont="1" applyFill="1" applyBorder="1" applyAlignment="1">
      <alignment horizontal="center"/>
    </xf>
    <xf numFmtId="6" fontId="56" fillId="0" borderId="23" xfId="1" applyNumberFormat="1" applyFont="1" applyFill="1" applyBorder="1"/>
    <xf numFmtId="8" fontId="56" fillId="0" borderId="30" xfId="1" applyNumberFormat="1" applyFont="1" applyFill="1" applyBorder="1" applyAlignment="1">
      <alignment horizontal="center"/>
    </xf>
    <xf numFmtId="6" fontId="56" fillId="0" borderId="31" xfId="1" applyNumberFormat="1" applyFont="1" applyFill="1" applyBorder="1"/>
    <xf numFmtId="42" fontId="55" fillId="4" borderId="71" xfId="1" applyNumberFormat="1" applyFont="1" applyFill="1" applyBorder="1" applyAlignment="1">
      <alignment horizontal="right" wrapText="1"/>
    </xf>
    <xf numFmtId="0" fontId="17" fillId="0" borderId="61" xfId="1" applyFont="1" applyFill="1" applyBorder="1" applyAlignment="1">
      <alignment wrapText="1"/>
    </xf>
    <xf numFmtId="0" fontId="17" fillId="0" borderId="2" xfId="6" applyFont="1" applyBorder="1"/>
    <xf numFmtId="0" fontId="17" fillId="0" borderId="72" xfId="1" applyFont="1" applyBorder="1" applyAlignment="1">
      <alignment horizontal="left" wrapText="1"/>
    </xf>
    <xf numFmtId="166" fontId="9" fillId="0" borderId="61" xfId="1" applyNumberFormat="1" applyFont="1" applyFill="1" applyBorder="1" applyAlignment="1">
      <alignment wrapText="1"/>
    </xf>
    <xf numFmtId="0" fontId="9" fillId="0" borderId="23" xfId="6" applyFont="1" applyFill="1" applyBorder="1"/>
    <xf numFmtId="165" fontId="9" fillId="0" borderId="0" xfId="6" applyNumberFormat="1" applyFont="1" applyFill="1" applyBorder="1" applyAlignment="1">
      <alignment horizontal="center"/>
    </xf>
    <xf numFmtId="165" fontId="9" fillId="0" borderId="30" xfId="6" applyNumberFormat="1" applyFont="1" applyFill="1" applyBorder="1" applyAlignment="1">
      <alignment horizontal="center"/>
    </xf>
    <xf numFmtId="165" fontId="7" fillId="0" borderId="0" xfId="6" applyNumberFormat="1" applyFont="1" applyFill="1" applyBorder="1" applyAlignment="1">
      <alignment horizontal="center"/>
    </xf>
    <xf numFmtId="10" fontId="9" fillId="0" borderId="0" xfId="17" applyNumberFormat="1" applyFont="1" applyFill="1" applyBorder="1" applyAlignment="1"/>
    <xf numFmtId="6" fontId="65" fillId="0" borderId="13" xfId="1" applyNumberFormat="1" applyFont="1" applyBorder="1" applyAlignment="1">
      <alignment horizontal="center"/>
    </xf>
    <xf numFmtId="0" fontId="65" fillId="0" borderId="21" xfId="1" applyFont="1" applyBorder="1"/>
    <xf numFmtId="6" fontId="65" fillId="0" borderId="20" xfId="1" applyNumberFormat="1" applyFont="1" applyBorder="1" applyAlignment="1">
      <alignment horizontal="center"/>
    </xf>
    <xf numFmtId="0" fontId="9" fillId="0" borderId="19" xfId="1" applyFont="1" applyFill="1" applyBorder="1"/>
    <xf numFmtId="6" fontId="65" fillId="0" borderId="20" xfId="1" applyNumberFormat="1" applyFont="1" applyFill="1" applyBorder="1" applyAlignment="1">
      <alignment horizontal="center"/>
    </xf>
    <xf numFmtId="0" fontId="65" fillId="0" borderId="21" xfId="1" applyFont="1" applyFill="1" applyBorder="1"/>
    <xf numFmtId="0" fontId="65" fillId="0" borderId="87" xfId="1" applyFont="1" applyFill="1" applyBorder="1"/>
    <xf numFmtId="165" fontId="65" fillId="0" borderId="0" xfId="1" applyNumberFormat="1" applyFont="1" applyFill="1" applyBorder="1" applyAlignment="1">
      <alignment horizontal="center"/>
    </xf>
    <xf numFmtId="0" fontId="65" fillId="0" borderId="79" xfId="1" applyFont="1" applyFill="1" applyBorder="1"/>
    <xf numFmtId="0" fontId="65" fillId="0" borderId="81" xfId="1" applyFont="1" applyFill="1" applyBorder="1"/>
    <xf numFmtId="0" fontId="9" fillId="0" borderId="10" xfId="1" applyFont="1" applyFill="1" applyBorder="1"/>
    <xf numFmtId="0" fontId="65" fillId="0" borderId="82" xfId="1" applyFont="1" applyFill="1" applyBorder="1"/>
    <xf numFmtId="0" fontId="65" fillId="0" borderId="61" xfId="1" applyFont="1" applyFill="1" applyBorder="1"/>
    <xf numFmtId="10" fontId="65" fillId="0" borderId="0" xfId="1" applyNumberFormat="1" applyFont="1" applyFill="1" applyBorder="1" applyAlignment="1">
      <alignment horizontal="center"/>
    </xf>
    <xf numFmtId="8" fontId="65" fillId="0" borderId="0" xfId="1" applyNumberFormat="1" applyFont="1" applyFill="1" applyBorder="1" applyAlignment="1">
      <alignment horizontal="center"/>
    </xf>
    <xf numFmtId="0" fontId="65" fillId="0" borderId="49" xfId="1" applyFont="1" applyFill="1" applyBorder="1"/>
    <xf numFmtId="10" fontId="65" fillId="0" borderId="30" xfId="1" applyNumberFormat="1" applyFont="1" applyFill="1" applyBorder="1" applyAlignment="1">
      <alignment horizontal="center"/>
    </xf>
    <xf numFmtId="0" fontId="65" fillId="0" borderId="26" xfId="1" applyFont="1" applyFill="1" applyBorder="1"/>
    <xf numFmtId="171" fontId="65" fillId="0" borderId="0" xfId="1" applyNumberFormat="1" applyFont="1" applyFill="1" applyBorder="1" applyAlignment="1">
      <alignment horizontal="center"/>
    </xf>
    <xf numFmtId="0" fontId="65" fillId="0" borderId="50" xfId="1" applyFont="1" applyFill="1" applyBorder="1"/>
    <xf numFmtId="0" fontId="65" fillId="0" borderId="52" xfId="1" applyFont="1" applyFill="1" applyBorder="1"/>
    <xf numFmtId="10" fontId="9" fillId="0" borderId="0" xfId="22" applyNumberFormat="1" applyFont="1" applyFill="1" applyBorder="1" applyAlignment="1">
      <alignment horizontal="center"/>
    </xf>
    <xf numFmtId="10" fontId="65" fillId="0" borderId="51" xfId="1" applyNumberFormat="1" applyFont="1" applyFill="1" applyBorder="1" applyAlignment="1">
      <alignment horizontal="center"/>
    </xf>
    <xf numFmtId="0" fontId="12" fillId="4" borderId="0" xfId="1" applyFont="1" applyFill="1" applyBorder="1" applyAlignment="1">
      <alignment horizontal="left"/>
    </xf>
    <xf numFmtId="0" fontId="3" fillId="4" borderId="0" xfId="1" applyFont="1" applyFill="1" applyBorder="1"/>
    <xf numFmtId="6" fontId="9" fillId="0" borderId="0" xfId="6" applyNumberFormat="1" applyFont="1" applyFill="1" applyBorder="1" applyAlignment="1">
      <alignment horizontal="center"/>
    </xf>
    <xf numFmtId="0" fontId="9" fillId="0" borderId="22" xfId="1" applyFont="1" applyFill="1" applyBorder="1"/>
    <xf numFmtId="6" fontId="9" fillId="0" borderId="30" xfId="6" applyNumberFormat="1" applyFont="1" applyFill="1" applyBorder="1" applyAlignment="1">
      <alignment horizontal="center"/>
    </xf>
    <xf numFmtId="10" fontId="9" fillId="0" borderId="15" xfId="6" applyNumberFormat="1" applyFont="1" applyFill="1" applyBorder="1" applyAlignment="1">
      <alignment horizontal="center"/>
    </xf>
    <xf numFmtId="8" fontId="9" fillId="0" borderId="0" xfId="6" applyNumberFormat="1" applyFont="1" applyFill="1" applyBorder="1" applyAlignment="1">
      <alignment horizontal="center"/>
    </xf>
    <xf numFmtId="10" fontId="9" fillId="0" borderId="30" xfId="6" applyNumberFormat="1" applyFont="1" applyFill="1" applyBorder="1" applyAlignment="1">
      <alignment horizontal="center"/>
    </xf>
    <xf numFmtId="9" fontId="9" fillId="0" borderId="15" xfId="6" applyNumberFormat="1" applyFont="1" applyFill="1" applyBorder="1" applyAlignment="1">
      <alignment horizontal="center"/>
    </xf>
    <xf numFmtId="10" fontId="9" fillId="0" borderId="51" xfId="6" applyNumberFormat="1" applyFont="1" applyFill="1" applyBorder="1" applyAlignment="1">
      <alignment horizontal="center"/>
    </xf>
    <xf numFmtId="0" fontId="17" fillId="0" borderId="50" xfId="6" applyFont="1" applyFill="1" applyBorder="1"/>
    <xf numFmtId="6" fontId="67" fillId="0" borderId="13" xfId="1" applyNumberFormat="1" applyFont="1" applyFill="1" applyBorder="1" applyAlignment="1">
      <alignment horizontal="center"/>
    </xf>
    <xf numFmtId="0" fontId="17" fillId="0" borderId="19" xfId="1" applyFont="1" applyFill="1" applyBorder="1"/>
    <xf numFmtId="6" fontId="67" fillId="0" borderId="20" xfId="1" applyNumberFormat="1" applyFont="1" applyFill="1" applyBorder="1" applyAlignment="1">
      <alignment horizontal="center"/>
    </xf>
    <xf numFmtId="165" fontId="67" fillId="0" borderId="0" xfId="1" applyNumberFormat="1" applyFont="1" applyFill="1" applyBorder="1" applyAlignment="1">
      <alignment horizontal="center"/>
    </xf>
    <xf numFmtId="0" fontId="67" fillId="0" borderId="61" xfId="1" applyFont="1" applyFill="1" applyBorder="1"/>
    <xf numFmtId="10" fontId="67" fillId="0" borderId="0" xfId="1" applyNumberFormat="1" applyFont="1" applyFill="1" applyBorder="1" applyAlignment="1">
      <alignment horizontal="center"/>
    </xf>
    <xf numFmtId="8" fontId="67" fillId="0" borderId="0" xfId="1" applyNumberFormat="1" applyFont="1" applyFill="1" applyBorder="1" applyAlignment="1">
      <alignment horizontal="center"/>
    </xf>
    <xf numFmtId="10" fontId="67" fillId="0" borderId="0" xfId="22" applyNumberFormat="1" applyFont="1" applyFill="1" applyBorder="1" applyAlignment="1">
      <alignment horizontal="center"/>
    </xf>
    <xf numFmtId="0" fontId="67" fillId="0" borderId="49" xfId="1" applyFont="1" applyFill="1" applyBorder="1"/>
    <xf numFmtId="10" fontId="67" fillId="0" borderId="30" xfId="1" applyNumberFormat="1" applyFont="1" applyFill="1" applyBorder="1" applyAlignment="1">
      <alignment horizontal="center"/>
    </xf>
    <xf numFmtId="171" fontId="67" fillId="0" borderId="0" xfId="1" applyNumberFormat="1" applyFont="1" applyFill="1" applyBorder="1" applyAlignment="1">
      <alignment horizontal="center"/>
    </xf>
    <xf numFmtId="10" fontId="67" fillId="0" borderId="51" xfId="1" applyNumberFormat="1" applyFont="1" applyFill="1" applyBorder="1" applyAlignment="1">
      <alignment horizontal="center"/>
    </xf>
    <xf numFmtId="10" fontId="56" fillId="0" borderId="35" xfId="1" applyNumberFormat="1" applyFont="1" applyFill="1" applyBorder="1" applyAlignment="1">
      <alignment horizontal="center"/>
    </xf>
    <xf numFmtId="0" fontId="56" fillId="0" borderId="35" xfId="1" applyFont="1" applyFill="1" applyBorder="1"/>
    <xf numFmtId="10" fontId="17" fillId="0" borderId="73" xfId="1" applyNumberFormat="1" applyFont="1" applyFill="1" applyBorder="1" applyAlignment="1">
      <alignment horizontal="center"/>
    </xf>
    <xf numFmtId="0" fontId="56" fillId="0" borderId="73" xfId="1" applyFont="1" applyFill="1" applyBorder="1"/>
    <xf numFmtId="6" fontId="9" fillId="0" borderId="53" xfId="6" applyNumberFormat="1" applyFont="1" applyFill="1" applyBorder="1" applyAlignment="1">
      <alignment horizontal="center"/>
    </xf>
    <xf numFmtId="6" fontId="9" fillId="0" borderId="0" xfId="6" applyNumberFormat="1" applyFont="1" applyFill="1" applyBorder="1" applyAlignment="1">
      <alignment horizontal="center"/>
    </xf>
    <xf numFmtId="171" fontId="9" fillId="0" borderId="0" xfId="17" applyNumberFormat="1" applyFont="1" applyFill="1" applyBorder="1" applyAlignment="1">
      <alignment horizontal="center"/>
    </xf>
    <xf numFmtId="10" fontId="9" fillId="0" borderId="51" xfId="17" applyNumberFormat="1" applyFont="1" applyFill="1" applyBorder="1" applyAlignment="1">
      <alignment horizontal="center"/>
    </xf>
    <xf numFmtId="164" fontId="7" fillId="0" borderId="2" xfId="6" applyNumberFormat="1" applyFont="1" applyFill="1" applyBorder="1" applyAlignment="1">
      <alignment horizontal="center"/>
    </xf>
    <xf numFmtId="164" fontId="7" fillId="0" borderId="3" xfId="6" applyNumberFormat="1" applyFont="1" applyFill="1" applyBorder="1" applyAlignment="1">
      <alignment horizontal="center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 vertical="center"/>
    </xf>
    <xf numFmtId="6" fontId="9" fillId="0" borderId="20" xfId="6" applyNumberFormat="1" applyFont="1" applyFill="1" applyBorder="1" applyAlignment="1">
      <alignment horizontal="center"/>
    </xf>
    <xf numFmtId="10" fontId="9" fillId="0" borderId="0" xfId="17" applyNumberFormat="1" applyFont="1" applyFill="1" applyBorder="1" applyAlignment="1">
      <alignment horizontal="center"/>
    </xf>
    <xf numFmtId="168" fontId="18" fillId="0" borderId="30" xfId="6" applyNumberFormat="1" applyFont="1" applyFill="1" applyBorder="1" applyAlignment="1">
      <alignment horizontal="center"/>
    </xf>
    <xf numFmtId="10" fontId="9" fillId="0" borderId="0" xfId="22" applyNumberFormat="1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164" fontId="7" fillId="6" borderId="2" xfId="6" applyNumberFormat="1" applyFont="1" applyFill="1" applyBorder="1" applyAlignment="1">
      <alignment horizontal="center" vertical="center"/>
    </xf>
    <xf numFmtId="164" fontId="7" fillId="6" borderId="3" xfId="6" applyNumberFormat="1" applyFont="1" applyFill="1" applyBorder="1" applyAlignment="1">
      <alignment horizontal="center" vertical="center"/>
    </xf>
    <xf numFmtId="164" fontId="7" fillId="6" borderId="4" xfId="6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66" fillId="0" borderId="32" xfId="1" applyFont="1" applyFill="1" applyBorder="1" applyAlignment="1">
      <alignment horizontal="center"/>
    </xf>
    <xf numFmtId="0" fontId="66" fillId="0" borderId="33" xfId="1" applyFont="1" applyFill="1" applyBorder="1" applyAlignment="1">
      <alignment horizontal="center"/>
    </xf>
    <xf numFmtId="0" fontId="7" fillId="0" borderId="49" xfId="6" applyFont="1" applyFill="1" applyBorder="1" applyAlignment="1">
      <alignment horizontal="center"/>
    </xf>
    <xf numFmtId="0" fontId="7" fillId="0" borderId="30" xfId="6" applyFont="1" applyFill="1" applyBorder="1" applyAlignment="1">
      <alignment horizontal="center"/>
    </xf>
    <xf numFmtId="0" fontId="7" fillId="0" borderId="32" xfId="6" applyFont="1" applyFill="1" applyBorder="1" applyAlignment="1">
      <alignment horizontal="center"/>
    </xf>
    <xf numFmtId="0" fontId="7" fillId="0" borderId="77" xfId="6" applyFont="1" applyFill="1" applyBorder="1" applyAlignment="1">
      <alignment horizontal="center"/>
    </xf>
    <xf numFmtId="0" fontId="2" fillId="7" borderId="2" xfId="1" applyFont="1" applyFill="1" applyBorder="1" applyAlignment="1">
      <alignment horizontal="center" vertical="center"/>
    </xf>
    <xf numFmtId="0" fontId="2" fillId="7" borderId="3" xfId="1" applyFont="1" applyFill="1" applyBorder="1" applyAlignment="1">
      <alignment horizontal="center" vertical="center"/>
    </xf>
    <xf numFmtId="0" fontId="2" fillId="7" borderId="4" xfId="1" applyFont="1" applyFill="1" applyBorder="1" applyAlignment="1">
      <alignment horizontal="center" vertical="center"/>
    </xf>
    <xf numFmtId="0" fontId="7" fillId="7" borderId="2" xfId="6" applyFont="1" applyFill="1" applyBorder="1" applyAlignment="1">
      <alignment horizontal="center"/>
    </xf>
    <xf numFmtId="0" fontId="7" fillId="7" borderId="3" xfId="6" applyFont="1" applyFill="1" applyBorder="1" applyAlignment="1">
      <alignment horizontal="center"/>
    </xf>
    <xf numFmtId="0" fontId="7" fillId="7" borderId="4" xfId="6" applyFont="1" applyFill="1" applyBorder="1" applyAlignment="1">
      <alignment horizontal="center"/>
    </xf>
    <xf numFmtId="0" fontId="62" fillId="5" borderId="2" xfId="1" applyFont="1" applyFill="1" applyBorder="1" applyAlignment="1">
      <alignment horizontal="center"/>
    </xf>
    <xf numFmtId="0" fontId="62" fillId="5" borderId="3" xfId="1" applyFont="1" applyFill="1" applyBorder="1" applyAlignment="1">
      <alignment horizontal="center"/>
    </xf>
    <xf numFmtId="0" fontId="62" fillId="5" borderId="4" xfId="1" applyFont="1" applyFill="1" applyBorder="1" applyAlignment="1">
      <alignment horizontal="center"/>
    </xf>
    <xf numFmtId="0" fontId="54" fillId="5" borderId="2" xfId="1" applyFont="1" applyFill="1" applyBorder="1" applyAlignment="1">
      <alignment horizontal="center" vertical="center"/>
    </xf>
    <xf numFmtId="0" fontId="54" fillId="5" borderId="3" xfId="1" applyFont="1" applyFill="1" applyBorder="1" applyAlignment="1">
      <alignment horizontal="center" vertical="center"/>
    </xf>
    <xf numFmtId="0" fontId="54" fillId="5" borderId="4" xfId="1" applyFont="1" applyFill="1" applyBorder="1" applyAlignment="1">
      <alignment horizontal="center" vertical="center"/>
    </xf>
    <xf numFmtId="0" fontId="62" fillId="0" borderId="2" xfId="1" applyFont="1" applyBorder="1" applyAlignment="1">
      <alignment horizontal="center"/>
    </xf>
    <xf numFmtId="0" fontId="62" fillId="0" borderId="3" xfId="1" applyFont="1" applyBorder="1" applyAlignment="1">
      <alignment horizontal="center"/>
    </xf>
    <xf numFmtId="0" fontId="68" fillId="0" borderId="32" xfId="1" applyFont="1" applyFill="1" applyBorder="1" applyAlignment="1">
      <alignment horizontal="center"/>
    </xf>
    <xf numFmtId="0" fontId="68" fillId="0" borderId="33" xfId="1" applyFont="1" applyFill="1" applyBorder="1" applyAlignment="1">
      <alignment horizontal="center"/>
    </xf>
    <xf numFmtId="0" fontId="68" fillId="0" borderId="77" xfId="1" applyFont="1" applyFill="1" applyBorder="1" applyAlignment="1">
      <alignment horizontal="center"/>
    </xf>
  </cellXfs>
  <cellStyles count="165">
    <cellStyle name="20% - Accent1 2" xfId="37"/>
    <cellStyle name="20% - Accent2 2" xfId="38"/>
    <cellStyle name="20% - Accent3 2" xfId="39"/>
    <cellStyle name="20% - Accent4 2" xfId="40"/>
    <cellStyle name="20% - Accent5 2" xfId="41"/>
    <cellStyle name="20% - Accent6 2" xfId="42"/>
    <cellStyle name="40% - Accent1 2" xfId="43"/>
    <cellStyle name="40% - Accent2 2" xfId="44"/>
    <cellStyle name="40% - Accent3 2" xfId="45"/>
    <cellStyle name="40% - Accent4 2" xfId="46"/>
    <cellStyle name="40% - Accent5 2" xfId="47"/>
    <cellStyle name="40% - Accent6 2" xfId="48"/>
    <cellStyle name="60% - Accent1 2" xfId="49"/>
    <cellStyle name="60% - Accent2 2" xfId="50"/>
    <cellStyle name="60% - Accent3 2" xfId="51"/>
    <cellStyle name="60% - Accent4 2" xfId="52"/>
    <cellStyle name="60% - Accent5 2" xfId="53"/>
    <cellStyle name="60% - Accent6 2" xfId="54"/>
    <cellStyle name="Accent1 2" xfId="55"/>
    <cellStyle name="Accent2 2" xfId="56"/>
    <cellStyle name="Accent3 2" xfId="57"/>
    <cellStyle name="Accent4 2" xfId="58"/>
    <cellStyle name="Accent5 2" xfId="59"/>
    <cellStyle name="Accent6 2" xfId="60"/>
    <cellStyle name="Bad 2" xfId="61"/>
    <cellStyle name="Calculation 2" xfId="62"/>
    <cellStyle name="Check Cell 2" xfId="63"/>
    <cellStyle name="Comma 10" xfId="64"/>
    <cellStyle name="Comma 11" xfId="65"/>
    <cellStyle name="Comma 2" xfId="24"/>
    <cellStyle name="Comma 2 2" xfId="66"/>
    <cellStyle name="Comma 3" xfId="26"/>
    <cellStyle name="Comma 3 2" xfId="67"/>
    <cellStyle name="Comma 3 3" xfId="68"/>
    <cellStyle name="Comma 4" xfId="69"/>
    <cellStyle name="Comma 4 2" xfId="70"/>
    <cellStyle name="Comma 5" xfId="71"/>
    <cellStyle name="Comma 5 2" xfId="72"/>
    <cellStyle name="Comma 6" xfId="73"/>
    <cellStyle name="Comma 6 2" xfId="74"/>
    <cellStyle name="Comma 7" xfId="75"/>
    <cellStyle name="Comma 7 2" xfId="76"/>
    <cellStyle name="Comma 8" xfId="77"/>
    <cellStyle name="Comma 9" xfId="32"/>
    <cellStyle name="Currency" xfId="27" builtinId="4"/>
    <cellStyle name="Currency [0] 2" xfId="78"/>
    <cellStyle name="Currency 2" xfId="3"/>
    <cellStyle name="Currency 2 2" xfId="79"/>
    <cellStyle name="Currency 2 2 2" xfId="162"/>
    <cellStyle name="Currency 2 3" xfId="80"/>
    <cellStyle name="Currency 2 4" xfId="81"/>
    <cellStyle name="Currency 3" xfId="4"/>
    <cellStyle name="Currency 3 2" xfId="82"/>
    <cellStyle name="Currency 3 3" xfId="83"/>
    <cellStyle name="Currency 4" xfId="5"/>
    <cellStyle name="Currency 4 2" xfId="84"/>
    <cellStyle name="Currency 4 2 2" xfId="85"/>
    <cellStyle name="Currency 4 3" xfId="86"/>
    <cellStyle name="Currency 4 4" xfId="87"/>
    <cellStyle name="Currency 5" xfId="2"/>
    <cellStyle name="Currency 5 2" xfId="88"/>
    <cellStyle name="Currency 5 2 2" xfId="89"/>
    <cellStyle name="Currency 5 3" xfId="90"/>
    <cellStyle name="Currency 5 3 2" xfId="91"/>
    <cellStyle name="Currency 5 3 3" xfId="35"/>
    <cellStyle name="Currency 5 4" xfId="92"/>
    <cellStyle name="Currency 5 5" xfId="93"/>
    <cellStyle name="Currency 5 6" xfId="94"/>
    <cellStyle name="Currency 6" xfId="31"/>
    <cellStyle name="Currency 6 2" xfId="95"/>
    <cellStyle name="Currency 7" xfId="96"/>
    <cellStyle name="Currency 8" xfId="97"/>
    <cellStyle name="Currency 9" xfId="98"/>
    <cellStyle name="Explanatory Text 2" xfId="99"/>
    <cellStyle name="Good 2" xfId="100"/>
    <cellStyle name="Heading 1 2" xfId="101"/>
    <cellStyle name="Heading 2 2" xfId="102"/>
    <cellStyle name="Heading 3 2" xfId="103"/>
    <cellStyle name="Heading 4 2" xfId="104"/>
    <cellStyle name="Hyperlink 2" xfId="105"/>
    <cellStyle name="Input 2" xfId="106"/>
    <cellStyle name="Linked Cell 2" xfId="107"/>
    <cellStyle name="Neutral 2" xfId="108"/>
    <cellStyle name="Normal" xfId="0" builtinId="0"/>
    <cellStyle name="Normal 10" xfId="28"/>
    <cellStyle name="Normal 10 2" xfId="109"/>
    <cellStyle name="Normal 10 3" xfId="110"/>
    <cellStyle name="Normal 10 3 2" xfId="111"/>
    <cellStyle name="Normal 11" xfId="112"/>
    <cellStyle name="Normal 11 2" xfId="113"/>
    <cellStyle name="Normal 11 2 2" xfId="114"/>
    <cellStyle name="Normal 12" xfId="115"/>
    <cellStyle name="Normal 13" xfId="116"/>
    <cellStyle name="Normal 13 2" xfId="117"/>
    <cellStyle name="Normal 14" xfId="118"/>
    <cellStyle name="Normal 14 2" xfId="119"/>
    <cellStyle name="Normal 15" xfId="120"/>
    <cellStyle name="Normal 16" xfId="121"/>
    <cellStyle name="Normal 17" xfId="122"/>
    <cellStyle name="Normal 17 2" xfId="123"/>
    <cellStyle name="Normal 18" xfId="124"/>
    <cellStyle name="Normal 19" xfId="125"/>
    <cellStyle name="Normal 2" xfId="6"/>
    <cellStyle name="Normal 2 2" xfId="1"/>
    <cellStyle name="Normal 2 2 2" xfId="7"/>
    <cellStyle name="Normal 2 3" xfId="126"/>
    <cellStyle name="Normal 2 4" xfId="36"/>
    <cellStyle name="Normal 2 5" xfId="127"/>
    <cellStyle name="Normal 2 5 2" xfId="128"/>
    <cellStyle name="Normal 20" xfId="161"/>
    <cellStyle name="Normal 21" xfId="164"/>
    <cellStyle name="Normal 3" xfId="8"/>
    <cellStyle name="Normal 3 2" xfId="129"/>
    <cellStyle name="Normal 3 3" xfId="130"/>
    <cellStyle name="Normal 3 4" xfId="131"/>
    <cellStyle name="Normal 3 5" xfId="132"/>
    <cellStyle name="Normal 4" xfId="9"/>
    <cellStyle name="Normal 4 2" xfId="10"/>
    <cellStyle name="Normal 4 2 2" xfId="29"/>
    <cellStyle name="Normal 4 2 2 2" xfId="133"/>
    <cellStyle name="Normal 4 2 3" xfId="134"/>
    <cellStyle name="Normal 4 3" xfId="135"/>
    <cellStyle name="Normal 5" xfId="11"/>
    <cellStyle name="Normal 5 2" xfId="12"/>
    <cellStyle name="Normal 6" xfId="13"/>
    <cellStyle name="Normal 6 2" xfId="14"/>
    <cellStyle name="Normal 6 2 2" xfId="136"/>
    <cellStyle name="Normal 6 3" xfId="137"/>
    <cellStyle name="Normal 7" xfId="15"/>
    <cellStyle name="Normal 7 2" xfId="138"/>
    <cellStyle name="Normal 8" xfId="21"/>
    <cellStyle name="Normal 8 2" xfId="23"/>
    <cellStyle name="Normal 8 3" xfId="139"/>
    <cellStyle name="Normal 8 4" xfId="140"/>
    <cellStyle name="Normal 8 5" xfId="141"/>
    <cellStyle name="Normal 9" xfId="25"/>
    <cellStyle name="Normal 9 2" xfId="33"/>
    <cellStyle name="Normal 9 2 2" xfId="142"/>
    <cellStyle name="Normal 9 2 3" xfId="143"/>
    <cellStyle name="Normal 9 3" xfId="144"/>
    <cellStyle name="Note 2" xfId="16"/>
    <cellStyle name="Output 2" xfId="145"/>
    <cellStyle name="Percent" xfId="22" builtinId="5"/>
    <cellStyle name="Percent 10" xfId="146"/>
    <cellStyle name="Percent 2" xfId="17"/>
    <cellStyle name="Percent 2 2" xfId="18"/>
    <cellStyle name="Percent 3" xfId="19"/>
    <cellStyle name="Percent 3 2" xfId="147"/>
    <cellStyle name="Percent 3 3" xfId="163"/>
    <cellStyle name="Percent 4" xfId="20"/>
    <cellStyle name="Percent 4 2" xfId="148"/>
    <cellStyle name="Percent 5" xfId="30"/>
    <cellStyle name="Percent 5 2" xfId="34"/>
    <cellStyle name="Percent 5 2 2" xfId="149"/>
    <cellStyle name="Percent 5 3" xfId="150"/>
    <cellStyle name="Percent 6" xfId="151"/>
    <cellStyle name="Percent 6 2" xfId="152"/>
    <cellStyle name="Percent 6 3" xfId="153"/>
    <cellStyle name="Percent 7" xfId="154"/>
    <cellStyle name="Percent 7 2" xfId="155"/>
    <cellStyle name="Percent 8" xfId="156"/>
    <cellStyle name="Percent 9" xfId="157"/>
    <cellStyle name="Title 2" xfId="158"/>
    <cellStyle name="Total 2" xfId="159"/>
    <cellStyle name="Warning Text 2" xfId="16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161365</xdr:colOff>
      <xdr:row>9</xdr:row>
      <xdr:rowOff>62753</xdr:rowOff>
    </xdr:from>
    <xdr:ext cx="184731" cy="264560"/>
    <xdr:sp macro="" textlink="">
      <xdr:nvSpPr>
        <xdr:cNvPr id="2" name="TextBox 1"/>
        <xdr:cNvSpPr txBox="1"/>
      </xdr:nvSpPr>
      <xdr:spPr>
        <a:xfrm>
          <a:off x="13810130" y="178845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Administrative%20Services-POS%20Policy%20Office\Rate%20Setting\Rate%20Projects\DPH%20-%20BSAS%20Residential\5.%20Final%20Rate%20Documents\POST-HEARING%20PROPOSAL%20Adult%20Resi_PP_Jail%20Div_2nd%20Off%20Model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/X/Data%20&amp;%20Reporting%20Tools/STARR%20Utilization/STARR%20Utilization%20Tool%20FY10%20Ju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nchmark Table"/>
      <sheetName val="ADULT RESI MODELS"/>
      <sheetName val="JAIL DIVERSION MODELS"/>
      <sheetName val="2nd OFFENDER MODELS"/>
      <sheetName val="updated CAF"/>
      <sheetName val="FTE Chart"/>
      <sheetName val="Salaries Resi"/>
      <sheetName val="Travel noPP"/>
      <sheetName val="Occupancy "/>
      <sheetName val="OthProgExp&amp;Meals "/>
      <sheetName val="RecSp"/>
      <sheetName val="Counselor"/>
      <sheetName val="CleanData3386&amp;3401"/>
      <sheetName val="RawDataCalcs3386&amp;3401"/>
      <sheetName val="Source3386&amp;3401"/>
      <sheetName val="Preg&amp;PostP Source"/>
      <sheetName val="All Others (WomenNoPP+Men)"/>
      <sheetName val="JailD Travel"/>
      <sheetName val="Source4958"/>
      <sheetName val="2ndOffSource"/>
      <sheetName val="AdminAnlys"/>
      <sheetName val="CAF"/>
      <sheetName val="ALLClean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65">
          <cell r="L65">
            <v>0</v>
          </cell>
          <cell r="M65">
            <v>0.60401394157367827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27001.321817500786</v>
          </cell>
          <cell r="AA65">
            <v>17680</v>
          </cell>
          <cell r="AB65">
            <v>17680</v>
          </cell>
          <cell r="AC65">
            <v>18070.851702516127</v>
          </cell>
          <cell r="AD65">
            <v>0</v>
          </cell>
          <cell r="AE65">
            <v>0</v>
          </cell>
          <cell r="AF65">
            <v>17680</v>
          </cell>
          <cell r="AG65">
            <v>17680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17680</v>
          </cell>
          <cell r="AX65">
            <v>17680</v>
          </cell>
          <cell r="AY65">
            <v>0</v>
          </cell>
          <cell r="AZ65">
            <v>17680</v>
          </cell>
          <cell r="BA65">
            <v>17680</v>
          </cell>
          <cell r="BB65">
            <v>38683.69077867044</v>
          </cell>
          <cell r="BC65">
            <v>17680</v>
          </cell>
          <cell r="BD65">
            <v>17680</v>
          </cell>
          <cell r="BE65">
            <v>17680</v>
          </cell>
          <cell r="BF65">
            <v>17680</v>
          </cell>
          <cell r="BG65">
            <v>17680</v>
          </cell>
          <cell r="BH65">
            <v>20933.577544700503</v>
          </cell>
          <cell r="BI65">
            <v>18113.272969175363</v>
          </cell>
          <cell r="BJ65">
            <v>17680</v>
          </cell>
          <cell r="BK65">
            <v>0</v>
          </cell>
          <cell r="BL65">
            <v>20636.434820465383</v>
          </cell>
          <cell r="BM65">
            <v>17680</v>
          </cell>
          <cell r="BN65">
            <v>25004.04305351575</v>
          </cell>
          <cell r="BO65">
            <v>17680</v>
          </cell>
          <cell r="BP65">
            <v>17680</v>
          </cell>
          <cell r="BQ65">
            <v>0</v>
          </cell>
          <cell r="BR65">
            <v>17680</v>
          </cell>
          <cell r="BS65">
            <v>18141.222518283183</v>
          </cell>
          <cell r="BT65">
            <v>-41676.244265701374</v>
          </cell>
          <cell r="BU65">
            <v>8.7288553321896611E-2</v>
          </cell>
          <cell r="BV65">
            <v>-7668.9054664861869</v>
          </cell>
          <cell r="BW65">
            <v>-42994.589046928275</v>
          </cell>
          <cell r="BX65">
            <v>-31114.543559342434</v>
          </cell>
          <cell r="BY65">
            <v>-56549.921023847928</v>
          </cell>
          <cell r="BZ65">
            <v>-97003.786231626596</v>
          </cell>
          <cell r="CA65">
            <v>-313429.46542299842</v>
          </cell>
          <cell r="CB65">
            <v>-8.2635046624321695E-2</v>
          </cell>
          <cell r="CC65">
            <v>-43306.662961698195</v>
          </cell>
          <cell r="CD65">
            <v>-12782.185157235559</v>
          </cell>
          <cell r="CE65">
            <v>-49503.565553759647</v>
          </cell>
          <cell r="CF65">
            <v>0</v>
          </cell>
          <cell r="CG65">
            <v>-163357.23525071022</v>
          </cell>
          <cell r="CH65">
            <v>-92717.288808833691</v>
          </cell>
          <cell r="CI65">
            <v>-174238.57910238783</v>
          </cell>
          <cell r="CJ65">
            <v>-42994.589046928275</v>
          </cell>
          <cell r="CK65">
            <v>-63601.184466556078</v>
          </cell>
          <cell r="CL65">
            <v>-56549.921023847928</v>
          </cell>
          <cell r="CM65">
            <v>-24625.24467496722</v>
          </cell>
          <cell r="CN65">
            <v>-97003.786231626596</v>
          </cell>
          <cell r="CO65">
            <v>-351019.03335486259</v>
          </cell>
          <cell r="CP65">
            <v>0.29484957486879515</v>
          </cell>
          <cell r="CQ65">
            <v>5.4246351913831613E-2</v>
          </cell>
          <cell r="CR65">
            <v>4.5873466392117951E-2</v>
          </cell>
          <cell r="CS65">
            <v>3.5437273933393951E-2</v>
          </cell>
          <cell r="CT65">
            <v>-1.2333323520703935E-2</v>
          </cell>
          <cell r="CU65">
            <v>2.2913027561376476E-3</v>
          </cell>
          <cell r="CV65">
            <v>-2001.7395150477046</v>
          </cell>
          <cell r="CW65">
            <v>-449.92512739559015</v>
          </cell>
          <cell r="CX65">
            <v>-669.49380618456928</v>
          </cell>
          <cell r="CY65">
            <v>-742.75307693203445</v>
          </cell>
          <cell r="CZ65">
            <v>-28.06467652645356</v>
          </cell>
          <cell r="DA65">
            <v>-1831.0673764395974</v>
          </cell>
          <cell r="DB65">
            <v>-5722.7534056118502</v>
          </cell>
        </row>
        <row r="66">
          <cell r="L66">
            <v>68.638763831408127</v>
          </cell>
          <cell r="M66">
            <v>1.1713867216116371</v>
          </cell>
          <cell r="N66">
            <v>3.5436133878559533</v>
          </cell>
          <cell r="O66">
            <v>0.95881574526748314</v>
          </cell>
          <cell r="P66">
            <v>2.9922523651988402</v>
          </cell>
          <cell r="Q66">
            <v>0</v>
          </cell>
          <cell r="R66">
            <v>22.160404778842953</v>
          </cell>
          <cell r="S66">
            <v>7.4242654635805723</v>
          </cell>
          <cell r="T66">
            <v>2.8643600293925418</v>
          </cell>
          <cell r="U66">
            <v>5.1022146796734415E-3</v>
          </cell>
          <cell r="V66">
            <v>12.069142094975193</v>
          </cell>
          <cell r="W66">
            <v>0</v>
          </cell>
          <cell r="X66">
            <v>9.5889565937970307</v>
          </cell>
          <cell r="Y66">
            <v>7.3186088533890681</v>
          </cell>
          <cell r="Z66">
            <v>89011.525515165966</v>
          </cell>
          <cell r="AA66">
            <v>124711.18739604187</v>
          </cell>
          <cell r="AB66">
            <v>61892.043668045008</v>
          </cell>
          <cell r="AC66">
            <v>87195.593448715823</v>
          </cell>
          <cell r="AD66">
            <v>0</v>
          </cell>
          <cell r="AE66">
            <v>0</v>
          </cell>
          <cell r="AF66">
            <v>167549.29408607361</v>
          </cell>
          <cell r="AG66">
            <v>79437.240789242293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115332.99841003475</v>
          </cell>
          <cell r="AX66">
            <v>90839.543238665152</v>
          </cell>
          <cell r="AY66">
            <v>0</v>
          </cell>
          <cell r="AZ66">
            <v>59076.726041829606</v>
          </cell>
          <cell r="BA66">
            <v>55600.502579381842</v>
          </cell>
          <cell r="BB66">
            <v>46993.941797087129</v>
          </cell>
          <cell r="BC66">
            <v>47942.60200592941</v>
          </cell>
          <cell r="BD66">
            <v>85121.186442077829</v>
          </cell>
          <cell r="BE66">
            <v>60150.264866991725</v>
          </cell>
          <cell r="BF66">
            <v>37107.840583638354</v>
          </cell>
          <cell r="BG66">
            <v>34103.875436210852</v>
          </cell>
          <cell r="BH66">
            <v>43390.477411873391</v>
          </cell>
          <cell r="BI66">
            <v>42074.135709455113</v>
          </cell>
          <cell r="BJ66">
            <v>36682.268470282579</v>
          </cell>
          <cell r="BK66">
            <v>0</v>
          </cell>
          <cell r="BL66">
            <v>44994.274591165755</v>
          </cell>
          <cell r="BM66">
            <v>97222.235686431435</v>
          </cell>
          <cell r="BN66">
            <v>90762.603215714815</v>
          </cell>
          <cell r="BO66">
            <v>119552.2873416293</v>
          </cell>
          <cell r="BP66">
            <v>75684.090495463184</v>
          </cell>
          <cell r="BQ66">
            <v>0</v>
          </cell>
          <cell r="BR66">
            <v>46682.215048048798</v>
          </cell>
          <cell r="BS66">
            <v>41691.468549205456</v>
          </cell>
          <cell r="BT66">
            <v>215813.24914156343</v>
          </cell>
          <cell r="BU66">
            <v>0.38712105109997308</v>
          </cell>
          <cell r="BV66">
            <v>12566.14239091755</v>
          </cell>
          <cell r="BW66">
            <v>212234.356998359</v>
          </cell>
          <cell r="BX66">
            <v>46071.344248997601</v>
          </cell>
          <cell r="BY66">
            <v>226902.57309281343</v>
          </cell>
          <cell r="BZ66">
            <v>349599.7084215752</v>
          </cell>
          <cell r="CA66">
            <v>1685831.3957882223</v>
          </cell>
          <cell r="CB66">
            <v>0.48343558589893837</v>
          </cell>
          <cell r="CC66">
            <v>173231.84261687062</v>
          </cell>
          <cell r="CD66">
            <v>15056.319295166595</v>
          </cell>
          <cell r="CE66">
            <v>70578.736588242406</v>
          </cell>
          <cell r="CF66">
            <v>0</v>
          </cell>
          <cell r="CG66">
            <v>643703.17145760683</v>
          </cell>
          <cell r="CH66">
            <v>168723.38432607506</v>
          </cell>
          <cell r="CI66">
            <v>883865.09565411182</v>
          </cell>
          <cell r="CJ66">
            <v>212234.356998359</v>
          </cell>
          <cell r="CK66">
            <v>311211.60929414228</v>
          </cell>
          <cell r="CL66">
            <v>226902.57309281343</v>
          </cell>
          <cell r="CM66">
            <v>64778.990192208599</v>
          </cell>
          <cell r="CN66">
            <v>349599.7084215752</v>
          </cell>
          <cell r="CO66">
            <v>1940598.0624617594</v>
          </cell>
          <cell r="CP66">
            <v>0.59656020338447291</v>
          </cell>
          <cell r="CQ66">
            <v>0.1566637906768488</v>
          </cell>
          <cell r="CR66">
            <v>0.27180008495921093</v>
          </cell>
          <cell r="CS66">
            <v>0.17157983368640611</v>
          </cell>
          <cell r="CT66">
            <v>6.7111788746459594E-2</v>
          </cell>
          <cell r="CU66">
            <v>0.32064193368800842</v>
          </cell>
          <cell r="CV66">
            <v>2362.7914588359358</v>
          </cell>
          <cell r="CW66">
            <v>531.92173452915699</v>
          </cell>
          <cell r="CX66">
            <v>790.78617106937202</v>
          </cell>
          <cell r="CY66">
            <v>866.65490806017237</v>
          </cell>
          <cell r="CZ66">
            <v>36.082840081274462</v>
          </cell>
          <cell r="DA66">
            <v>2121.643831764482</v>
          </cell>
          <cell r="DB66">
            <v>6709.5907714262949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L101"/>
  <sheetViews>
    <sheetView tabSelected="1" topLeftCell="C16" zoomScale="85" zoomScaleNormal="85" workbookViewId="0">
      <selection activeCell="B1" sqref="B1"/>
    </sheetView>
  </sheetViews>
  <sheetFormatPr defaultColWidth="9.140625" defaultRowHeight="15.75"/>
  <cols>
    <col min="1" max="1" width="6.140625" style="66" customWidth="1"/>
    <col min="2" max="2" width="34.5703125" style="66" bestFit="1" customWidth="1"/>
    <col min="3" max="3" width="8.140625" style="66" bestFit="1" customWidth="1"/>
    <col min="4" max="4" width="9.140625" style="66"/>
    <col min="5" max="5" width="56.5703125" style="66" customWidth="1"/>
    <col min="6" max="6" width="17.7109375" style="66" customWidth="1"/>
    <col min="7" max="7" width="29.28515625" style="66" customWidth="1"/>
    <col min="8" max="8" width="10.7109375" style="66" customWidth="1"/>
    <col min="9" max="9" width="16.7109375" style="66" customWidth="1"/>
    <col min="10" max="10" width="15.7109375" style="66" customWidth="1"/>
    <col min="11" max="11" width="2.7109375" style="66" customWidth="1"/>
    <col min="12" max="12" width="29.140625" style="66" customWidth="1"/>
    <col min="13" max="13" width="15.42578125" style="66" customWidth="1"/>
    <col min="14" max="14" width="12.7109375" style="66" customWidth="1"/>
    <col min="15" max="15" width="15.5703125" style="66" customWidth="1"/>
    <col min="16" max="16" width="3" style="66" customWidth="1"/>
    <col min="17" max="17" width="27.85546875" style="67" customWidth="1"/>
    <col min="18" max="18" width="9.7109375" style="67" customWidth="1"/>
    <col min="19" max="19" width="56.42578125" style="67" customWidth="1"/>
    <col min="20" max="20" width="9.42578125" style="66" customWidth="1"/>
    <col min="21" max="16384" width="9.140625" style="66"/>
  </cols>
  <sheetData>
    <row r="1" spans="2:19" ht="15" customHeight="1" thickBot="1">
      <c r="B1" s="232"/>
      <c r="C1" s="232"/>
      <c r="D1" s="232"/>
      <c r="E1" s="232"/>
      <c r="F1" s="232"/>
      <c r="G1" s="253"/>
      <c r="H1" s="232"/>
      <c r="I1" s="232"/>
      <c r="J1" s="232"/>
      <c r="K1" s="232"/>
      <c r="M1" s="67"/>
      <c r="N1" s="68"/>
      <c r="O1" s="68"/>
      <c r="P1" s="69"/>
      <c r="Q1" s="66"/>
      <c r="R1" s="66"/>
      <c r="S1" s="66"/>
    </row>
    <row r="2" spans="2:19" ht="15.75" customHeight="1" thickBot="1">
      <c r="B2" s="515" t="s">
        <v>162</v>
      </c>
      <c r="C2" s="516"/>
      <c r="D2" s="516"/>
      <c r="E2" s="517"/>
      <c r="F2" s="233"/>
      <c r="G2" s="507" t="s">
        <v>207</v>
      </c>
      <c r="H2" s="508"/>
      <c r="I2" s="508"/>
      <c r="J2" s="509"/>
      <c r="K2" s="232"/>
      <c r="L2" s="67"/>
      <c r="M2" s="67"/>
      <c r="N2" s="67"/>
      <c r="O2" s="67"/>
      <c r="P2" s="70"/>
      <c r="Q2" s="66"/>
      <c r="R2" s="66"/>
      <c r="S2" s="66"/>
    </row>
    <row r="3" spans="2:19" ht="15" customHeight="1" thickBot="1">
      <c r="B3" s="505" t="s">
        <v>3</v>
      </c>
      <c r="C3" s="506"/>
      <c r="D3" s="506"/>
      <c r="E3" s="234" t="s">
        <v>4</v>
      </c>
      <c r="F3" s="235"/>
      <c r="G3" s="254" t="s">
        <v>1</v>
      </c>
      <c r="H3" s="255">
        <v>30</v>
      </c>
      <c r="I3" s="256" t="s">
        <v>2</v>
      </c>
      <c r="J3" s="257">
        <f>H3*365</f>
        <v>10950</v>
      </c>
      <c r="K3" s="232"/>
      <c r="L3" s="67"/>
      <c r="M3" s="67"/>
      <c r="N3" s="67"/>
      <c r="O3" s="67"/>
      <c r="P3" s="70"/>
      <c r="Q3" s="66"/>
      <c r="R3" s="66"/>
      <c r="S3" s="66"/>
    </row>
    <row r="4" spans="2:19" ht="15" customHeight="1">
      <c r="B4" s="32" t="s">
        <v>8</v>
      </c>
      <c r="C4" s="501">
        <f>72977.447707499*(2.72%+1)</f>
        <v>74962.434285142983</v>
      </c>
      <c r="D4" s="502"/>
      <c r="E4" s="236" t="s">
        <v>9</v>
      </c>
      <c r="F4" s="237"/>
      <c r="G4" s="12"/>
      <c r="H4" s="10" t="s">
        <v>5</v>
      </c>
      <c r="I4" s="11" t="s">
        <v>6</v>
      </c>
      <c r="J4" s="13" t="s">
        <v>7</v>
      </c>
      <c r="K4" s="237"/>
      <c r="L4" s="68"/>
      <c r="M4" s="67"/>
      <c r="N4" s="67"/>
      <c r="O4" s="67"/>
      <c r="P4" s="69"/>
      <c r="Q4" s="66"/>
      <c r="R4" s="66"/>
      <c r="S4" s="66"/>
    </row>
    <row r="5" spans="2:19" ht="15" customHeight="1">
      <c r="B5" s="21" t="s">
        <v>172</v>
      </c>
      <c r="C5" s="501">
        <f>131992*(2.72%+1)</f>
        <v>135582.18240000002</v>
      </c>
      <c r="D5" s="502"/>
      <c r="E5" s="236" t="s">
        <v>9</v>
      </c>
      <c r="F5" s="237"/>
      <c r="G5" s="259" t="s">
        <v>8</v>
      </c>
      <c r="H5" s="260">
        <f t="shared" ref="H5:H12" si="0">C4</f>
        <v>74962.434285142983</v>
      </c>
      <c r="I5" s="261">
        <f t="shared" ref="I5:I12" si="1">C14</f>
        <v>1.3199999999999998</v>
      </c>
      <c r="J5" s="262">
        <f>H5*I5</f>
        <v>98950.413256388725</v>
      </c>
      <c r="K5" s="232"/>
      <c r="L5" s="67"/>
      <c r="M5" s="67"/>
      <c r="N5" s="67"/>
      <c r="O5" s="67"/>
      <c r="P5" s="70"/>
      <c r="Q5" s="66"/>
      <c r="R5" s="66"/>
      <c r="S5" s="66"/>
    </row>
    <row r="6" spans="2:19" ht="15" customHeight="1">
      <c r="B6" s="21" t="s">
        <v>170</v>
      </c>
      <c r="C6" s="501">
        <f>108724.849740715*(2.72%+1)</f>
        <v>111682.16565366247</v>
      </c>
      <c r="D6" s="502"/>
      <c r="E6" s="236" t="s">
        <v>9</v>
      </c>
      <c r="F6" s="237"/>
      <c r="G6" s="97" t="str">
        <f>B5</f>
        <v>MD/Physician Assistant</v>
      </c>
      <c r="H6" s="263">
        <f t="shared" si="0"/>
        <v>135582.18240000002</v>
      </c>
      <c r="I6" s="264">
        <f t="shared" si="1"/>
        <v>1</v>
      </c>
      <c r="J6" s="265">
        <f>H6*I6</f>
        <v>135582.18240000002</v>
      </c>
      <c r="K6" s="232"/>
      <c r="L6" s="67"/>
      <c r="M6" s="67"/>
      <c r="N6" s="67"/>
      <c r="O6" s="67"/>
      <c r="P6" s="70"/>
      <c r="Q6" s="66"/>
      <c r="R6" s="66"/>
      <c r="S6" s="66"/>
    </row>
    <row r="7" spans="2:19" ht="15" customHeight="1">
      <c r="B7" s="21" t="s">
        <v>11</v>
      </c>
      <c r="C7" s="501">
        <f>63780.7735496002*(2.72%+1)</f>
        <v>65515.610590149328</v>
      </c>
      <c r="D7" s="502"/>
      <c r="E7" s="236" t="s">
        <v>9</v>
      </c>
      <c r="F7" s="237"/>
      <c r="G7" s="97" t="str">
        <f>B6</f>
        <v>Nurse Practitioner</v>
      </c>
      <c r="H7" s="263">
        <f t="shared" si="0"/>
        <v>111682.16565366247</v>
      </c>
      <c r="I7" s="264">
        <f t="shared" si="1"/>
        <v>0.71697115384615384</v>
      </c>
      <c r="J7" s="265">
        <f t="shared" ref="J7:J12" si="2">H7*I7</f>
        <v>80072.891172743664</v>
      </c>
      <c r="K7" s="232"/>
      <c r="L7" s="67"/>
      <c r="M7" s="67"/>
      <c r="N7" s="67"/>
      <c r="O7" s="67"/>
      <c r="P7" s="70"/>
      <c r="Q7" s="66"/>
      <c r="R7" s="66"/>
      <c r="S7" s="66"/>
    </row>
    <row r="8" spans="2:19" ht="15" customHeight="1">
      <c r="B8" s="21" t="s">
        <v>38</v>
      </c>
      <c r="C8" s="501">
        <f>41778.096692878*(2.72%+1)</f>
        <v>42914.460922924292</v>
      </c>
      <c r="D8" s="502"/>
      <c r="E8" s="236" t="s">
        <v>9</v>
      </c>
      <c r="F8" s="237"/>
      <c r="G8" s="97" t="s">
        <v>11</v>
      </c>
      <c r="H8" s="263">
        <f t="shared" si="0"/>
        <v>65515.610590149328</v>
      </c>
      <c r="I8" s="264">
        <f t="shared" si="1"/>
        <v>11.08</v>
      </c>
      <c r="J8" s="265">
        <f t="shared" si="2"/>
        <v>725912.96533885458</v>
      </c>
      <c r="K8" s="232"/>
      <c r="L8" s="67"/>
      <c r="M8" s="67"/>
      <c r="N8" s="67"/>
      <c r="O8" s="67"/>
      <c r="P8" s="70"/>
      <c r="Q8" s="66"/>
      <c r="R8" s="66"/>
      <c r="S8" s="66"/>
    </row>
    <row r="9" spans="2:19" ht="15" customHeight="1">
      <c r="B9" s="97" t="s">
        <v>39</v>
      </c>
      <c r="C9" s="501">
        <f>31200*(2.72%+1)</f>
        <v>32048.640000000003</v>
      </c>
      <c r="D9" s="502"/>
      <c r="E9" s="236" t="s">
        <v>9</v>
      </c>
      <c r="F9" s="237"/>
      <c r="G9" s="97" t="s">
        <v>38</v>
      </c>
      <c r="H9" s="263">
        <f t="shared" si="0"/>
        <v>42914.460922924292</v>
      </c>
      <c r="I9" s="264">
        <f t="shared" si="1"/>
        <v>8.5500000000000007</v>
      </c>
      <c r="J9" s="265">
        <f t="shared" si="2"/>
        <v>366918.64089100272</v>
      </c>
      <c r="K9" s="232"/>
      <c r="L9" s="67"/>
      <c r="M9" s="67"/>
      <c r="N9" s="67"/>
      <c r="O9" s="67"/>
      <c r="P9" s="70"/>
      <c r="Q9" s="66"/>
      <c r="R9" s="66"/>
      <c r="S9" s="66"/>
    </row>
    <row r="10" spans="2:19" ht="15" customHeight="1">
      <c r="B10" s="200" t="s">
        <v>208</v>
      </c>
      <c r="C10" s="502">
        <f>31200*(2.72%+1)</f>
        <v>32048.640000000003</v>
      </c>
      <c r="D10" s="502"/>
      <c r="E10" s="236" t="s">
        <v>9</v>
      </c>
      <c r="F10" s="237"/>
      <c r="G10" s="97" t="s">
        <v>39</v>
      </c>
      <c r="H10" s="263">
        <f t="shared" si="0"/>
        <v>32048.640000000003</v>
      </c>
      <c r="I10" s="264">
        <f t="shared" si="1"/>
        <v>11.08</v>
      </c>
      <c r="J10" s="265">
        <f t="shared" si="2"/>
        <v>355098.93120000005</v>
      </c>
      <c r="K10" s="232"/>
      <c r="L10" s="67"/>
      <c r="M10" s="67"/>
      <c r="N10" s="67"/>
      <c r="O10" s="67"/>
      <c r="P10" s="70"/>
      <c r="Q10" s="66"/>
      <c r="R10" s="66"/>
      <c r="S10" s="66"/>
    </row>
    <row r="11" spans="2:19" ht="15" customHeight="1" thickBot="1">
      <c r="B11" s="238" t="s">
        <v>40</v>
      </c>
      <c r="C11" s="501">
        <f>31841*(2.72%+1)</f>
        <v>32707.075200000003</v>
      </c>
      <c r="D11" s="510"/>
      <c r="E11" s="236" t="s">
        <v>9</v>
      </c>
      <c r="F11" s="237"/>
      <c r="G11" s="238" t="str">
        <f>B10</f>
        <v>Direct Relief</v>
      </c>
      <c r="H11" s="266">
        <f t="shared" si="0"/>
        <v>32048.640000000003</v>
      </c>
      <c r="I11" s="267">
        <f t="shared" si="1"/>
        <v>1.7041040000000003</v>
      </c>
      <c r="J11" s="268">
        <f t="shared" si="2"/>
        <v>54614.215618560018</v>
      </c>
      <c r="K11" s="232"/>
      <c r="L11" s="67"/>
      <c r="M11" s="67"/>
      <c r="N11" s="67"/>
      <c r="O11" s="67"/>
      <c r="P11" s="70"/>
      <c r="Q11" s="66"/>
      <c r="R11" s="66"/>
      <c r="S11" s="66"/>
    </row>
    <row r="12" spans="2:19" ht="15" customHeight="1" thickBot="1">
      <c r="B12" s="505" t="s">
        <v>20</v>
      </c>
      <c r="C12" s="506"/>
      <c r="D12" s="506"/>
      <c r="E12" s="239"/>
      <c r="F12" s="237"/>
      <c r="G12" s="269" t="s">
        <v>40</v>
      </c>
      <c r="H12" s="270">
        <f t="shared" si="0"/>
        <v>32707.075200000003</v>
      </c>
      <c r="I12" s="271">
        <f t="shared" si="1"/>
        <v>4</v>
      </c>
      <c r="J12" s="272">
        <f t="shared" si="2"/>
        <v>130828.30080000001</v>
      </c>
      <c r="K12" s="232"/>
      <c r="L12" s="67"/>
      <c r="M12" s="67"/>
      <c r="N12" s="67"/>
      <c r="O12" s="67"/>
      <c r="P12" s="70"/>
      <c r="Q12" s="66"/>
      <c r="R12" s="66"/>
      <c r="S12" s="66"/>
    </row>
    <row r="13" spans="2:19" ht="15" customHeight="1">
      <c r="B13" s="240"/>
      <c r="C13" s="241" t="s">
        <v>41</v>
      </c>
      <c r="D13" s="241" t="s">
        <v>42</v>
      </c>
      <c r="E13" s="242"/>
      <c r="F13" s="237"/>
      <c r="G13" s="273" t="s">
        <v>19</v>
      </c>
      <c r="H13" s="274"/>
      <c r="I13" s="275">
        <f>SUM(I5:I12)</f>
        <v>39.451075153846155</v>
      </c>
      <c r="J13" s="276">
        <f>SUM(J5:J12)</f>
        <v>1947978.54067755</v>
      </c>
      <c r="K13" s="232"/>
      <c r="L13" s="67"/>
      <c r="M13" s="67"/>
      <c r="N13" s="67"/>
      <c r="O13" s="67"/>
      <c r="P13" s="70"/>
      <c r="Q13" s="66"/>
      <c r="R13" s="66"/>
      <c r="S13" s="66"/>
    </row>
    <row r="14" spans="2:19" ht="15" customHeight="1">
      <c r="B14" s="243" t="str">
        <f>B4</f>
        <v>Program Manager</v>
      </c>
      <c r="C14" s="447">
        <v>1.3199999999999998</v>
      </c>
      <c r="D14" s="447">
        <v>1.3199999999999998</v>
      </c>
      <c r="E14" s="236" t="s">
        <v>171</v>
      </c>
      <c r="F14" s="237"/>
      <c r="G14" s="29"/>
      <c r="H14" s="277"/>
      <c r="I14" s="28"/>
      <c r="J14" s="278"/>
      <c r="K14" s="232"/>
      <c r="L14" s="67"/>
      <c r="M14" s="67"/>
      <c r="N14" s="67"/>
      <c r="O14" s="67"/>
      <c r="P14" s="70"/>
      <c r="Q14" s="66"/>
      <c r="R14" s="66"/>
      <c r="S14" s="66"/>
    </row>
    <row r="15" spans="2:19" ht="15" customHeight="1" thickBot="1">
      <c r="B15" s="243" t="str">
        <f t="shared" ref="B15:B19" si="3">B5</f>
        <v>MD/Physician Assistant</v>
      </c>
      <c r="C15" s="447">
        <v>1</v>
      </c>
      <c r="D15" s="447">
        <v>1</v>
      </c>
      <c r="E15" s="236" t="s">
        <v>171</v>
      </c>
      <c r="F15" s="237"/>
      <c r="G15" s="279" t="s">
        <v>21</v>
      </c>
      <c r="H15" s="280">
        <f>C25</f>
        <v>0.23</v>
      </c>
      <c r="I15" s="281"/>
      <c r="J15" s="282">
        <f>J13*H15</f>
        <v>448035.06435583654</v>
      </c>
      <c r="K15" s="232"/>
      <c r="L15" s="67"/>
      <c r="M15" s="67"/>
      <c r="N15" s="67"/>
      <c r="O15" s="67"/>
      <c r="P15" s="70"/>
      <c r="Q15" s="66"/>
      <c r="R15" s="66"/>
      <c r="S15" s="66"/>
    </row>
    <row r="16" spans="2:19" ht="15" customHeight="1" thickBot="1">
      <c r="B16" s="243" t="str">
        <f t="shared" si="3"/>
        <v>Nurse Practitioner</v>
      </c>
      <c r="C16" s="447">
        <v>0.71697115384615384</v>
      </c>
      <c r="D16" s="447">
        <v>1.0754567307692307</v>
      </c>
      <c r="E16" s="236" t="s">
        <v>171</v>
      </c>
      <c r="F16" s="237"/>
      <c r="G16" s="283" t="s">
        <v>22</v>
      </c>
      <c r="H16" s="284"/>
      <c r="I16" s="285"/>
      <c r="J16" s="286">
        <f>SUM(J13+J15)</f>
        <v>2396013.6050333865</v>
      </c>
      <c r="K16" s="232"/>
      <c r="L16" s="67"/>
      <c r="M16" s="67"/>
      <c r="N16" s="67"/>
      <c r="O16" s="67"/>
      <c r="P16" s="70"/>
      <c r="Q16" s="66"/>
      <c r="R16" s="66"/>
      <c r="S16" s="66"/>
    </row>
    <row r="17" spans="2:19" ht="15" customHeight="1" thickTop="1">
      <c r="B17" s="243" t="str">
        <f t="shared" si="3"/>
        <v>Medical / Nursing</v>
      </c>
      <c r="C17" s="447">
        <f>10.08+1</f>
        <v>11.08</v>
      </c>
      <c r="D17" s="447">
        <f>13.44+1</f>
        <v>14.44</v>
      </c>
      <c r="E17" s="236" t="s">
        <v>171</v>
      </c>
      <c r="F17" s="237"/>
      <c r="G17" s="29"/>
      <c r="H17" s="287"/>
      <c r="I17" s="39" t="s">
        <v>23</v>
      </c>
      <c r="J17" s="46"/>
      <c r="K17" s="232"/>
      <c r="L17" s="67"/>
      <c r="M17" s="67"/>
      <c r="N17" s="67"/>
      <c r="O17" s="67"/>
      <c r="P17" s="70"/>
      <c r="Q17" s="66"/>
      <c r="R17" s="66"/>
      <c r="S17" s="66"/>
    </row>
    <row r="18" spans="2:19" ht="15" customHeight="1">
      <c r="B18" s="243" t="str">
        <f t="shared" si="3"/>
        <v>Case Manager</v>
      </c>
      <c r="C18" s="447">
        <v>8.5500000000000007</v>
      </c>
      <c r="D18" s="447">
        <v>12.824999999999999</v>
      </c>
      <c r="E18" s="236" t="s">
        <v>171</v>
      </c>
      <c r="F18" s="237"/>
      <c r="G18" s="47" t="s">
        <v>43</v>
      </c>
      <c r="H18" s="288"/>
      <c r="I18" s="289">
        <f>C26</f>
        <v>18.458784000000001</v>
      </c>
      <c r="J18" s="48">
        <f>I18*J3</f>
        <v>202123.68480000002</v>
      </c>
      <c r="K18" s="232"/>
      <c r="L18" s="67"/>
      <c r="M18" s="67"/>
      <c r="N18" s="67"/>
      <c r="O18" s="67"/>
      <c r="P18" s="70"/>
      <c r="Q18" s="66"/>
      <c r="R18" s="66"/>
      <c r="S18" s="66"/>
    </row>
    <row r="19" spans="2:19" ht="15" customHeight="1">
      <c r="B19" s="243" t="str">
        <f t="shared" si="3"/>
        <v>Recovery Specialist</v>
      </c>
      <c r="C19" s="447">
        <f>10.08+1</f>
        <v>11.08</v>
      </c>
      <c r="D19" s="447">
        <f>15.12+1</f>
        <v>16.119999999999997</v>
      </c>
      <c r="E19" s="236" t="s">
        <v>171</v>
      </c>
      <c r="F19" s="237"/>
      <c r="G19" s="24" t="s">
        <v>44</v>
      </c>
      <c r="H19" s="288"/>
      <c r="I19" s="289">
        <f>C27</f>
        <v>12.713089688188882</v>
      </c>
      <c r="J19" s="290">
        <f>I19*J3</f>
        <v>139208.33208566825</v>
      </c>
      <c r="K19" s="232"/>
      <c r="L19" s="67"/>
      <c r="M19" s="67"/>
      <c r="N19" s="67"/>
      <c r="O19" s="67"/>
      <c r="P19" s="70"/>
      <c r="Q19" s="66"/>
      <c r="R19" s="66"/>
      <c r="S19" s="66"/>
    </row>
    <row r="20" spans="2:19" ht="15" customHeight="1">
      <c r="B20" s="200" t="s">
        <v>18</v>
      </c>
      <c r="C20" s="447">
        <f>C19*15.38%</f>
        <v>1.7041040000000003</v>
      </c>
      <c r="D20" s="447">
        <f>D19*15.38%</f>
        <v>2.4792559999999999</v>
      </c>
      <c r="E20" s="236" t="s">
        <v>163</v>
      </c>
      <c r="F20" s="237"/>
      <c r="G20" s="61" t="s">
        <v>45</v>
      </c>
      <c r="H20" s="288"/>
      <c r="I20" s="289">
        <f>C28</f>
        <v>1.7926879413129051</v>
      </c>
      <c r="J20" s="290">
        <f>I20*J3</f>
        <v>19629.93295737631</v>
      </c>
      <c r="K20" s="232"/>
      <c r="L20" s="67"/>
      <c r="M20" s="67"/>
      <c r="N20" s="67"/>
      <c r="O20" s="67"/>
      <c r="P20" s="70"/>
      <c r="Q20" s="66"/>
      <c r="R20" s="66"/>
      <c r="S20" s="66"/>
    </row>
    <row r="21" spans="2:19" ht="15" customHeight="1">
      <c r="B21" s="244" t="str">
        <f>B11</f>
        <v>Support</v>
      </c>
      <c r="C21" s="448">
        <v>4</v>
      </c>
      <c r="D21" s="448">
        <v>4</v>
      </c>
      <c r="E21" s="236" t="s">
        <v>171</v>
      </c>
      <c r="F21" s="237"/>
      <c r="G21" s="291" t="s">
        <v>46</v>
      </c>
      <c r="H21" s="288"/>
      <c r="I21" s="289">
        <f>C29</f>
        <v>2.8814522009613688</v>
      </c>
      <c r="J21" s="292">
        <f>I21*J3</f>
        <v>31551.901600526988</v>
      </c>
      <c r="K21" s="293"/>
      <c r="L21" s="73"/>
      <c r="M21" s="67"/>
      <c r="N21" s="67"/>
      <c r="O21" s="67"/>
      <c r="P21" s="70"/>
      <c r="Q21" s="66"/>
      <c r="R21" s="66"/>
      <c r="S21" s="66"/>
    </row>
    <row r="22" spans="2:19" ht="15" customHeight="1" thickBot="1">
      <c r="B22" s="245" t="s">
        <v>47</v>
      </c>
      <c r="C22" s="449">
        <f>SUM(C14:C21)</f>
        <v>39.451075153846155</v>
      </c>
      <c r="D22" s="449">
        <f>SUM(D14:D21)</f>
        <v>53.25971273076923</v>
      </c>
      <c r="E22" s="246"/>
      <c r="F22" s="237"/>
      <c r="G22" s="291" t="s">
        <v>48</v>
      </c>
      <c r="H22" s="288"/>
      <c r="I22" s="289">
        <f>C30</f>
        <v>6.8213875711391907</v>
      </c>
      <c r="J22" s="294">
        <f>I22*J3</f>
        <v>74694.193903974141</v>
      </c>
      <c r="K22" s="293"/>
      <c r="L22" s="73"/>
      <c r="M22" s="67"/>
      <c r="N22" s="67"/>
      <c r="O22" s="67"/>
      <c r="P22" s="70"/>
      <c r="Q22" s="66"/>
      <c r="R22" s="66"/>
      <c r="S22" s="66"/>
    </row>
    <row r="23" spans="2:19" ht="15" customHeight="1" thickBot="1">
      <c r="B23" s="505" t="s">
        <v>28</v>
      </c>
      <c r="C23" s="506"/>
      <c r="D23" s="506"/>
      <c r="E23" s="239"/>
      <c r="F23" s="237"/>
      <c r="G23" s="37" t="s">
        <v>27</v>
      </c>
      <c r="H23" s="295"/>
      <c r="I23" s="50"/>
      <c r="J23" s="53">
        <f>SUM(J16:J22)</f>
        <v>2863221.6503809323</v>
      </c>
      <c r="K23" s="293"/>
      <c r="L23" s="73"/>
      <c r="M23" s="67"/>
      <c r="N23" s="67"/>
      <c r="O23" s="67"/>
      <c r="P23" s="70"/>
      <c r="Q23" s="66"/>
      <c r="R23" s="66"/>
      <c r="S23" s="66"/>
    </row>
    <row r="24" spans="2:19" ht="15" customHeight="1">
      <c r="B24" s="243"/>
      <c r="C24" s="235" t="s">
        <v>41</v>
      </c>
      <c r="D24" s="235" t="s">
        <v>42</v>
      </c>
      <c r="E24" s="236"/>
      <c r="F24" s="237"/>
      <c r="G24" s="47" t="s">
        <v>31</v>
      </c>
      <c r="H24" s="296">
        <f>C31</f>
        <v>0.12</v>
      </c>
      <c r="I24" s="55"/>
      <c r="J24" s="58">
        <f>J23*H24</f>
        <v>343586.59804571187</v>
      </c>
      <c r="K24" s="293"/>
      <c r="L24" s="73"/>
      <c r="M24" s="67"/>
      <c r="N24" s="67"/>
      <c r="O24" s="67"/>
      <c r="P24" s="70"/>
      <c r="Q24" s="66"/>
      <c r="R24" s="66"/>
      <c r="S24" s="66"/>
    </row>
    <row r="25" spans="2:19" ht="15" customHeight="1">
      <c r="B25" s="243" t="s">
        <v>29</v>
      </c>
      <c r="C25" s="511">
        <v>0.23</v>
      </c>
      <c r="D25" s="511"/>
      <c r="E25" s="236" t="s">
        <v>49</v>
      </c>
      <c r="F25" s="237"/>
      <c r="G25" s="297" t="s">
        <v>50</v>
      </c>
      <c r="H25" s="298">
        <f>C32</f>
        <v>4.9200160000000004</v>
      </c>
      <c r="I25" s="299"/>
      <c r="J25" s="300">
        <f>H25*J3</f>
        <v>53874.175200000005</v>
      </c>
      <c r="K25" s="232"/>
      <c r="L25" s="67"/>
      <c r="M25" s="67"/>
      <c r="N25" s="67"/>
      <c r="O25" s="67"/>
      <c r="P25" s="70"/>
      <c r="Q25" s="66"/>
      <c r="R25" s="66"/>
      <c r="S25" s="66"/>
    </row>
    <row r="26" spans="2:19" ht="15" customHeight="1" thickBot="1">
      <c r="B26" s="247" t="s">
        <v>43</v>
      </c>
      <c r="C26" s="289">
        <f>17.97*(2.72%+1)</f>
        <v>18.458784000000001</v>
      </c>
      <c r="D26" s="289">
        <f>17.97*(2.72%+1)</f>
        <v>18.458784000000001</v>
      </c>
      <c r="E26" s="236" t="s">
        <v>32</v>
      </c>
      <c r="F26" s="248"/>
      <c r="G26" s="215" t="s">
        <v>51</v>
      </c>
      <c r="H26" s="301"/>
      <c r="I26" s="182"/>
      <c r="J26" s="217">
        <f>SUM(J23:J25)</f>
        <v>3260682.4236266441</v>
      </c>
      <c r="K26" s="232"/>
      <c r="L26" s="67"/>
      <c r="M26" s="67"/>
      <c r="N26" s="67"/>
      <c r="O26" s="67"/>
      <c r="P26" s="70"/>
      <c r="Q26" s="66"/>
      <c r="R26" s="66"/>
      <c r="S26" s="66"/>
    </row>
    <row r="27" spans="2:19" ht="15" customHeight="1" thickTop="1">
      <c r="B27" s="247" t="s">
        <v>44</v>
      </c>
      <c r="C27" s="289">
        <f>12.3764502416169*(2.72%+1)</f>
        <v>12.713089688188882</v>
      </c>
      <c r="D27" s="289">
        <f>12.3764502416169*(2.72%+1)</f>
        <v>12.713089688188882</v>
      </c>
      <c r="E27" s="236" t="s">
        <v>32</v>
      </c>
      <c r="F27" s="248"/>
      <c r="G27" s="302" t="str">
        <f>B35</f>
        <v>FY20 Rate Review CAF</v>
      </c>
      <c r="H27" s="303"/>
      <c r="I27" s="304">
        <f>C35</f>
        <v>1.8120393120392975E-2</v>
      </c>
      <c r="J27" s="305">
        <f>J26*(I27+1)</f>
        <v>3319767.2709835148</v>
      </c>
      <c r="K27" s="232"/>
      <c r="L27" s="67"/>
      <c r="M27" s="67"/>
      <c r="N27" s="67"/>
      <c r="O27" s="67"/>
      <c r="P27" s="70"/>
      <c r="Q27" s="66"/>
      <c r="R27" s="66"/>
      <c r="S27" s="66"/>
    </row>
    <row r="28" spans="2:19" ht="15" customHeight="1" thickBot="1">
      <c r="B28" s="247" t="s">
        <v>45</v>
      </c>
      <c r="C28" s="289">
        <f>1.74521801140275*(2.72%+1)</f>
        <v>1.7926879413129051</v>
      </c>
      <c r="D28" s="289">
        <f>1.74521801140275*(2.72%+1)</f>
        <v>1.7926879413129051</v>
      </c>
      <c r="E28" s="236" t="s">
        <v>32</v>
      </c>
      <c r="F28" s="248"/>
      <c r="G28" s="307" t="str">
        <f>B34</f>
        <v>PFMLA Trust Contribution</v>
      </c>
      <c r="H28" s="308"/>
      <c r="I28" s="309">
        <f>C34</f>
        <v>6.3E-3</v>
      </c>
      <c r="J28" s="310">
        <f>J13*(I27+1)*I28</f>
        <v>12494.643069035716</v>
      </c>
      <c r="K28" s="232"/>
      <c r="L28" s="67"/>
      <c r="M28" s="67"/>
      <c r="N28" s="67"/>
      <c r="O28" s="67"/>
      <c r="P28" s="70"/>
      <c r="Q28" s="66"/>
      <c r="R28" s="66"/>
      <c r="S28" s="66"/>
    </row>
    <row r="29" spans="2:19" ht="15" customHeight="1" thickTop="1">
      <c r="B29" s="247" t="s">
        <v>46</v>
      </c>
      <c r="C29" s="289">
        <f>2.80515206479884*(2.72%+1)</f>
        <v>2.8814522009613688</v>
      </c>
      <c r="D29" s="289">
        <f>2.80515206479884*(2.72%+1)</f>
        <v>2.8814522009613688</v>
      </c>
      <c r="E29" s="236" t="s">
        <v>32</v>
      </c>
      <c r="F29" s="248"/>
      <c r="G29" s="195" t="s">
        <v>33</v>
      </c>
      <c r="H29" s="313"/>
      <c r="I29" s="314"/>
      <c r="J29" s="315">
        <f>J27+J28</f>
        <v>3332261.9140525507</v>
      </c>
      <c r="K29" s="232"/>
      <c r="L29" s="67"/>
      <c r="M29" s="67"/>
      <c r="N29" s="67"/>
      <c r="O29" s="67"/>
      <c r="P29" s="70"/>
      <c r="Q29" s="66"/>
      <c r="R29" s="66"/>
      <c r="S29" s="66"/>
    </row>
    <row r="30" spans="2:19" ht="15" customHeight="1" thickBot="1">
      <c r="B30" s="247" t="s">
        <v>48</v>
      </c>
      <c r="C30" s="289">
        <f>6.64075892828971*(2.72%+1)</f>
        <v>6.8213875711391907</v>
      </c>
      <c r="D30" s="289">
        <f>6.64075892828971*(2.72%+1)</f>
        <v>6.8213875711391907</v>
      </c>
      <c r="E30" s="236" t="s">
        <v>32</v>
      </c>
      <c r="F30" s="248"/>
      <c r="G30" s="197" t="s">
        <v>52</v>
      </c>
      <c r="H30" s="316"/>
      <c r="I30" s="317"/>
      <c r="J30" s="318">
        <f>J29/J3</f>
        <v>304.31615653447949</v>
      </c>
      <c r="K30" s="232"/>
      <c r="L30" s="67"/>
      <c r="M30" s="67"/>
      <c r="N30" s="67"/>
      <c r="O30" s="67"/>
      <c r="P30" s="70"/>
      <c r="Q30" s="66"/>
      <c r="R30" s="66"/>
      <c r="S30" s="66"/>
    </row>
    <row r="31" spans="2:19" ht="16.5" thickBot="1">
      <c r="B31" s="243" t="s">
        <v>31</v>
      </c>
      <c r="C31" s="450">
        <v>0.12</v>
      </c>
      <c r="D31" s="450">
        <v>0.1</v>
      </c>
      <c r="E31" s="236" t="s">
        <v>49</v>
      </c>
      <c r="F31" s="248"/>
      <c r="G31" s="319" t="s">
        <v>193</v>
      </c>
      <c r="H31" s="320"/>
      <c r="I31" s="321">
        <f>C33</f>
        <v>0.875</v>
      </c>
      <c r="J31" s="322">
        <f>J30/I31</f>
        <v>347.78989318226229</v>
      </c>
      <c r="K31" s="232"/>
      <c r="L31" s="67"/>
      <c r="M31" s="67"/>
      <c r="N31" s="67"/>
      <c r="O31" s="67"/>
      <c r="P31" s="70"/>
      <c r="Q31" s="66"/>
      <c r="R31" s="66"/>
      <c r="S31" s="66"/>
    </row>
    <row r="32" spans="2:19" ht="15" customHeight="1">
      <c r="B32" s="244" t="s">
        <v>50</v>
      </c>
      <c r="C32" s="512">
        <f>4.78*(2.72%+1)+0.01</f>
        <v>4.9200160000000004</v>
      </c>
      <c r="D32" s="512"/>
      <c r="E32" s="249" t="s">
        <v>32</v>
      </c>
      <c r="F32" s="248"/>
      <c r="K32" s="67"/>
      <c r="L32" s="67"/>
      <c r="M32" s="67"/>
      <c r="N32" s="67"/>
      <c r="O32" s="67"/>
      <c r="P32" s="70"/>
      <c r="Q32" s="66"/>
      <c r="R32" s="66"/>
      <c r="S32" s="66"/>
    </row>
    <row r="33" spans="2:240" ht="16.5" customHeight="1">
      <c r="B33" s="243" t="s">
        <v>193</v>
      </c>
      <c r="C33" s="503">
        <v>0.875</v>
      </c>
      <c r="D33" s="503"/>
      <c r="E33" s="250" t="s">
        <v>49</v>
      </c>
      <c r="F33" s="237"/>
      <c r="J33" s="414"/>
      <c r="K33" s="67"/>
      <c r="L33" s="67"/>
      <c r="M33" s="67"/>
      <c r="N33" s="67"/>
      <c r="O33" s="67"/>
      <c r="P33" s="69"/>
      <c r="Q33" s="66"/>
      <c r="R33" s="66"/>
      <c r="S33" s="66"/>
    </row>
    <row r="34" spans="2:240" ht="15" customHeight="1">
      <c r="B34" s="243" t="s">
        <v>191</v>
      </c>
      <c r="C34" s="513">
        <v>6.3E-3</v>
      </c>
      <c r="D34" s="514"/>
      <c r="E34" s="236" t="s">
        <v>194</v>
      </c>
      <c r="F34" s="237"/>
      <c r="J34" s="174"/>
      <c r="K34" s="67"/>
      <c r="L34" s="67"/>
      <c r="M34" s="68"/>
      <c r="N34" s="74"/>
      <c r="O34" s="68"/>
      <c r="P34" s="70"/>
      <c r="Q34" s="66"/>
      <c r="R34" s="66"/>
      <c r="S34" s="66"/>
    </row>
    <row r="35" spans="2:240" ht="15" customHeight="1" thickBot="1">
      <c r="B35" s="251" t="s">
        <v>176</v>
      </c>
      <c r="C35" s="504">
        <f>CAF!BT24</f>
        <v>1.8120393120392975E-2</v>
      </c>
      <c r="D35" s="504"/>
      <c r="E35" s="252" t="s">
        <v>169</v>
      </c>
      <c r="F35" s="232"/>
      <c r="K35" s="67"/>
      <c r="L35" s="67"/>
      <c r="M35" s="68"/>
      <c r="N35" s="74"/>
      <c r="O35" s="68"/>
      <c r="P35" s="70"/>
      <c r="Q35" s="66"/>
      <c r="R35" s="66"/>
      <c r="S35" s="66"/>
    </row>
    <row r="36" spans="2:240" ht="15" customHeight="1">
      <c r="H36" s="174"/>
      <c r="K36" s="67"/>
      <c r="L36" s="67"/>
      <c r="M36" s="68"/>
      <c r="N36" s="74"/>
      <c r="O36" s="68"/>
      <c r="P36" s="70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</row>
    <row r="37" spans="2:240" ht="15" customHeight="1">
      <c r="H37" s="174"/>
      <c r="K37" s="67"/>
      <c r="L37" s="67"/>
      <c r="M37" s="68"/>
      <c r="N37" s="74"/>
      <c r="O37" s="67"/>
      <c r="P37" s="70"/>
      <c r="Q37" s="66"/>
      <c r="R37" s="66"/>
      <c r="S37" s="66"/>
    </row>
    <row r="38" spans="2:240">
      <c r="K38" s="67"/>
      <c r="L38" s="67"/>
      <c r="M38" s="67"/>
      <c r="N38" s="67"/>
      <c r="O38" s="67"/>
      <c r="Q38" s="66"/>
      <c r="R38" s="66"/>
      <c r="S38" s="66"/>
    </row>
    <row r="39" spans="2:240">
      <c r="K39" s="67"/>
      <c r="L39" s="67"/>
      <c r="M39" s="67"/>
      <c r="N39" s="67"/>
      <c r="O39" s="67"/>
      <c r="Q39" s="66"/>
      <c r="R39" s="66"/>
      <c r="S39" s="66"/>
    </row>
    <row r="40" spans="2:240">
      <c r="K40" s="67"/>
      <c r="L40" s="67"/>
      <c r="M40" s="67"/>
      <c r="N40" s="67"/>
      <c r="O40" s="67"/>
      <c r="Q40" s="66"/>
      <c r="R40" s="66"/>
      <c r="S40" s="66"/>
    </row>
    <row r="41" spans="2:240">
      <c r="K41" s="67"/>
      <c r="L41" s="67"/>
      <c r="M41" s="67"/>
      <c r="N41" s="67"/>
      <c r="O41" s="67"/>
      <c r="Q41" s="66"/>
      <c r="R41" s="66"/>
      <c r="S41" s="66"/>
    </row>
    <row r="42" spans="2:240" ht="15.75" customHeight="1">
      <c r="K42" s="67"/>
      <c r="L42" s="67"/>
      <c r="M42" s="67"/>
      <c r="N42" s="67"/>
      <c r="O42" s="67"/>
      <c r="Q42" s="66"/>
      <c r="R42" s="66"/>
      <c r="S42" s="66"/>
    </row>
    <row r="43" spans="2:240">
      <c r="K43" s="67"/>
      <c r="L43" s="67"/>
      <c r="M43" s="67"/>
      <c r="N43" s="67"/>
      <c r="O43" s="67"/>
      <c r="Q43" s="66"/>
      <c r="R43" s="66"/>
      <c r="S43" s="66"/>
    </row>
    <row r="44" spans="2:240">
      <c r="K44" s="67"/>
      <c r="L44" s="67"/>
      <c r="M44" s="67"/>
      <c r="N44" s="67"/>
      <c r="O44" s="67"/>
      <c r="Q44" s="66"/>
      <c r="R44" s="66"/>
      <c r="S44" s="66"/>
    </row>
    <row r="45" spans="2:240" ht="26.45" customHeight="1">
      <c r="K45" s="76"/>
      <c r="L45" s="76"/>
      <c r="M45" s="67"/>
      <c r="N45" s="67"/>
      <c r="O45" s="67"/>
      <c r="Q45" s="66"/>
      <c r="R45" s="66"/>
      <c r="S45" s="66"/>
    </row>
    <row r="46" spans="2:240" ht="15.75" customHeight="1">
      <c r="K46" s="67"/>
      <c r="L46" s="67"/>
      <c r="M46" s="67"/>
      <c r="N46" s="67"/>
      <c r="O46" s="67"/>
      <c r="Q46" s="66"/>
      <c r="R46" s="66"/>
      <c r="S46" s="66"/>
    </row>
    <row r="47" spans="2:240">
      <c r="K47" s="67"/>
      <c r="L47" s="67"/>
      <c r="M47" s="67"/>
      <c r="N47" s="67"/>
      <c r="O47" s="67"/>
      <c r="Q47" s="66"/>
      <c r="R47" s="66"/>
      <c r="S47" s="66"/>
    </row>
    <row r="48" spans="2:240">
      <c r="K48" s="67"/>
      <c r="L48" s="67"/>
      <c r="M48" s="67"/>
      <c r="N48" s="67"/>
      <c r="O48" s="67"/>
      <c r="Q48" s="66"/>
      <c r="R48" s="66"/>
      <c r="S48" s="66"/>
    </row>
    <row r="49" spans="7:246">
      <c r="K49" s="67"/>
      <c r="L49" s="67"/>
      <c r="M49" s="67"/>
      <c r="N49" s="67"/>
      <c r="O49" s="67"/>
      <c r="Q49" s="66"/>
      <c r="R49" s="66"/>
      <c r="S49" s="66"/>
    </row>
    <row r="50" spans="7:246">
      <c r="K50" s="67"/>
      <c r="L50" s="67"/>
      <c r="M50" s="67"/>
      <c r="N50" s="67"/>
      <c r="O50" s="67"/>
      <c r="Q50" s="66"/>
      <c r="R50" s="66"/>
      <c r="S50" s="66"/>
    </row>
    <row r="51" spans="7:246">
      <c r="K51" s="67"/>
      <c r="L51" s="67"/>
      <c r="M51" s="67"/>
      <c r="N51" s="67"/>
      <c r="O51" s="67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  <c r="DD51" s="69"/>
      <c r="DE51" s="69"/>
      <c r="DF51" s="69"/>
      <c r="DG51" s="69"/>
      <c r="DH51" s="69"/>
      <c r="DI51" s="69"/>
      <c r="DJ51" s="69"/>
      <c r="DK51" s="69"/>
      <c r="DL51" s="69"/>
      <c r="DM51" s="69"/>
      <c r="DN51" s="69"/>
      <c r="DO51" s="69"/>
      <c r="DP51" s="69"/>
      <c r="DQ51" s="69"/>
      <c r="DR51" s="69"/>
      <c r="DS51" s="69"/>
      <c r="DT51" s="69"/>
      <c r="DU51" s="69"/>
      <c r="DV51" s="69"/>
      <c r="DW51" s="69"/>
      <c r="DX51" s="69"/>
      <c r="DY51" s="69"/>
      <c r="DZ51" s="69"/>
      <c r="EA51" s="69"/>
      <c r="EB51" s="69"/>
      <c r="EC51" s="69"/>
      <c r="ED51" s="69"/>
      <c r="EE51" s="69"/>
      <c r="EF51" s="69"/>
      <c r="EG51" s="69"/>
      <c r="EH51" s="69"/>
      <c r="EI51" s="69"/>
      <c r="EJ51" s="69"/>
      <c r="EK51" s="69"/>
      <c r="EL51" s="69"/>
      <c r="EM51" s="69"/>
      <c r="EN51" s="69"/>
      <c r="EO51" s="69"/>
      <c r="EP51" s="69"/>
      <c r="EQ51" s="69"/>
      <c r="ER51" s="69"/>
      <c r="ES51" s="69"/>
      <c r="ET51" s="69"/>
      <c r="EU51" s="69"/>
      <c r="EV51" s="69"/>
      <c r="EW51" s="69"/>
      <c r="EX51" s="69"/>
      <c r="EY51" s="69"/>
      <c r="EZ51" s="69"/>
      <c r="FA51" s="69"/>
      <c r="FB51" s="69"/>
      <c r="FC51" s="69"/>
      <c r="FD51" s="69"/>
      <c r="FE51" s="69"/>
      <c r="FF51" s="69"/>
      <c r="FG51" s="69"/>
      <c r="FH51" s="69"/>
      <c r="FI51" s="69"/>
      <c r="FJ51" s="69"/>
      <c r="FK51" s="69"/>
      <c r="FL51" s="69"/>
      <c r="FM51" s="69"/>
      <c r="FN51" s="69"/>
      <c r="FO51" s="69"/>
      <c r="FP51" s="69"/>
      <c r="FQ51" s="69"/>
      <c r="FR51" s="69"/>
      <c r="FS51" s="69"/>
      <c r="FT51" s="69"/>
      <c r="FU51" s="69"/>
      <c r="FV51" s="69"/>
      <c r="FW51" s="69"/>
      <c r="FX51" s="69"/>
      <c r="FY51" s="69"/>
      <c r="FZ51" s="69"/>
      <c r="GA51" s="69"/>
      <c r="GB51" s="69"/>
      <c r="GC51" s="69"/>
      <c r="GD51" s="69"/>
      <c r="GE51" s="69"/>
      <c r="GF51" s="69"/>
      <c r="GG51" s="69"/>
      <c r="GH51" s="69"/>
      <c r="GI51" s="69"/>
      <c r="GJ51" s="69"/>
      <c r="GK51" s="69"/>
      <c r="GL51" s="69"/>
      <c r="GM51" s="69"/>
      <c r="GN51" s="69"/>
      <c r="GO51" s="69"/>
      <c r="GP51" s="69"/>
      <c r="GQ51" s="69"/>
      <c r="GR51" s="69"/>
      <c r="GS51" s="69"/>
      <c r="GT51" s="69"/>
      <c r="GU51" s="69"/>
      <c r="GV51" s="69"/>
      <c r="GW51" s="69"/>
      <c r="GX51" s="69"/>
      <c r="GY51" s="69"/>
      <c r="GZ51" s="69"/>
      <c r="HA51" s="69"/>
      <c r="HB51" s="69"/>
      <c r="HC51" s="69"/>
      <c r="HD51" s="69"/>
      <c r="HE51" s="69"/>
      <c r="HF51" s="69"/>
      <c r="HG51" s="69"/>
      <c r="HH51" s="69"/>
      <c r="HI51" s="69"/>
      <c r="HJ51" s="69"/>
      <c r="HK51" s="69"/>
      <c r="HL51" s="69"/>
      <c r="HM51" s="69"/>
      <c r="HN51" s="69"/>
      <c r="HO51" s="69"/>
      <c r="HP51" s="69"/>
      <c r="HQ51" s="69"/>
      <c r="HR51" s="69"/>
      <c r="HS51" s="69"/>
      <c r="HT51" s="69"/>
      <c r="HU51" s="69"/>
      <c r="HV51" s="69"/>
      <c r="HW51" s="69"/>
      <c r="HX51" s="69"/>
      <c r="HY51" s="69"/>
      <c r="HZ51" s="69"/>
      <c r="IA51" s="69"/>
      <c r="IB51" s="69"/>
      <c r="IC51" s="69"/>
      <c r="ID51" s="69"/>
      <c r="IE51" s="69"/>
      <c r="IF51" s="69"/>
      <c r="IG51" s="69"/>
      <c r="IH51" s="69"/>
      <c r="II51" s="69"/>
      <c r="IJ51" s="69"/>
      <c r="IK51" s="69"/>
      <c r="IL51" s="69"/>
    </row>
    <row r="52" spans="7:246">
      <c r="K52" s="67"/>
      <c r="L52" s="67"/>
      <c r="M52" s="67"/>
      <c r="N52" s="67"/>
      <c r="O52" s="67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  <c r="DD52" s="69"/>
      <c r="DE52" s="69"/>
      <c r="DF52" s="69"/>
      <c r="DG52" s="69"/>
      <c r="DH52" s="69"/>
      <c r="DI52" s="69"/>
      <c r="DJ52" s="69"/>
      <c r="DK52" s="69"/>
      <c r="DL52" s="69"/>
      <c r="DM52" s="69"/>
      <c r="DN52" s="69"/>
      <c r="DO52" s="69"/>
      <c r="DP52" s="69"/>
      <c r="DQ52" s="69"/>
      <c r="DR52" s="69"/>
      <c r="DS52" s="69"/>
      <c r="DT52" s="69"/>
      <c r="DU52" s="69"/>
      <c r="DV52" s="69"/>
      <c r="DW52" s="69"/>
      <c r="DX52" s="69"/>
      <c r="DY52" s="69"/>
      <c r="DZ52" s="69"/>
      <c r="EA52" s="69"/>
      <c r="EB52" s="69"/>
      <c r="EC52" s="69"/>
      <c r="ED52" s="69"/>
      <c r="EE52" s="69"/>
      <c r="EF52" s="69"/>
      <c r="EG52" s="69"/>
      <c r="EH52" s="69"/>
      <c r="EI52" s="69"/>
      <c r="EJ52" s="69"/>
      <c r="EK52" s="69"/>
      <c r="EL52" s="69"/>
      <c r="EM52" s="69"/>
      <c r="EN52" s="69"/>
      <c r="EO52" s="69"/>
      <c r="EP52" s="69"/>
      <c r="EQ52" s="69"/>
      <c r="ER52" s="69"/>
      <c r="ES52" s="69"/>
      <c r="ET52" s="69"/>
      <c r="EU52" s="69"/>
      <c r="EV52" s="69"/>
      <c r="EW52" s="69"/>
      <c r="EX52" s="69"/>
      <c r="EY52" s="69"/>
      <c r="EZ52" s="69"/>
      <c r="FA52" s="69"/>
      <c r="FB52" s="69"/>
      <c r="FC52" s="69"/>
      <c r="FD52" s="69"/>
      <c r="FE52" s="69"/>
      <c r="FF52" s="69"/>
      <c r="FG52" s="69"/>
      <c r="FH52" s="69"/>
      <c r="FI52" s="69"/>
      <c r="FJ52" s="69"/>
      <c r="FK52" s="69"/>
      <c r="FL52" s="69"/>
      <c r="FM52" s="69"/>
      <c r="FN52" s="69"/>
      <c r="FO52" s="69"/>
      <c r="FP52" s="69"/>
      <c r="FQ52" s="69"/>
      <c r="FR52" s="69"/>
      <c r="FS52" s="69"/>
      <c r="FT52" s="69"/>
      <c r="FU52" s="69"/>
      <c r="FV52" s="69"/>
      <c r="FW52" s="69"/>
      <c r="FX52" s="69"/>
      <c r="FY52" s="69"/>
      <c r="FZ52" s="69"/>
      <c r="GA52" s="69"/>
      <c r="GB52" s="69"/>
      <c r="GC52" s="69"/>
      <c r="GD52" s="69"/>
      <c r="GE52" s="69"/>
      <c r="GF52" s="69"/>
      <c r="GG52" s="69"/>
      <c r="GH52" s="69"/>
      <c r="GI52" s="69"/>
      <c r="GJ52" s="69"/>
      <c r="GK52" s="69"/>
      <c r="GL52" s="69"/>
      <c r="GM52" s="69"/>
      <c r="GN52" s="69"/>
      <c r="GO52" s="69"/>
      <c r="GP52" s="69"/>
      <c r="GQ52" s="69"/>
      <c r="GR52" s="69"/>
      <c r="GS52" s="69"/>
      <c r="GT52" s="69"/>
      <c r="GU52" s="69"/>
      <c r="GV52" s="69"/>
      <c r="GW52" s="69"/>
      <c r="GX52" s="69"/>
      <c r="GY52" s="69"/>
      <c r="GZ52" s="69"/>
      <c r="HA52" s="69"/>
      <c r="HB52" s="69"/>
      <c r="HC52" s="69"/>
      <c r="HD52" s="69"/>
      <c r="HE52" s="69"/>
      <c r="HF52" s="69"/>
      <c r="HG52" s="69"/>
      <c r="HH52" s="69"/>
      <c r="HI52" s="69"/>
      <c r="HJ52" s="69"/>
      <c r="HK52" s="69"/>
      <c r="HL52" s="69"/>
      <c r="HM52" s="69"/>
      <c r="HN52" s="69"/>
      <c r="HO52" s="69"/>
      <c r="HP52" s="69"/>
      <c r="HQ52" s="69"/>
      <c r="HR52" s="69"/>
      <c r="HS52" s="69"/>
      <c r="HT52" s="69"/>
      <c r="HU52" s="69"/>
      <c r="HV52" s="69"/>
      <c r="HW52" s="69"/>
      <c r="HX52" s="69"/>
      <c r="HY52" s="69"/>
      <c r="HZ52" s="69"/>
      <c r="IA52" s="69"/>
      <c r="IB52" s="69"/>
      <c r="IC52" s="69"/>
      <c r="ID52" s="69"/>
      <c r="IE52" s="69"/>
      <c r="IF52" s="69"/>
      <c r="IG52" s="69"/>
      <c r="IH52" s="69"/>
      <c r="II52" s="69"/>
      <c r="IJ52" s="69"/>
      <c r="IK52" s="69"/>
      <c r="IL52" s="69"/>
    </row>
    <row r="53" spans="7:246">
      <c r="K53" s="67"/>
      <c r="L53" s="67"/>
      <c r="M53" s="67"/>
      <c r="N53" s="67"/>
      <c r="O53" s="67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69"/>
      <c r="DS53" s="69"/>
      <c r="DT53" s="69"/>
      <c r="DU53" s="69"/>
      <c r="DV53" s="69"/>
      <c r="DW53" s="69"/>
      <c r="DX53" s="69"/>
      <c r="DY53" s="69"/>
      <c r="DZ53" s="69"/>
      <c r="EA53" s="69"/>
      <c r="EB53" s="69"/>
      <c r="EC53" s="69"/>
      <c r="ED53" s="69"/>
      <c r="EE53" s="69"/>
      <c r="EF53" s="69"/>
      <c r="EG53" s="69"/>
      <c r="EH53" s="69"/>
      <c r="EI53" s="69"/>
      <c r="EJ53" s="69"/>
      <c r="EK53" s="69"/>
      <c r="EL53" s="69"/>
      <c r="EM53" s="69"/>
      <c r="EN53" s="69"/>
      <c r="EO53" s="69"/>
      <c r="EP53" s="69"/>
      <c r="EQ53" s="69"/>
      <c r="ER53" s="69"/>
      <c r="ES53" s="69"/>
      <c r="ET53" s="69"/>
      <c r="EU53" s="69"/>
      <c r="EV53" s="69"/>
      <c r="EW53" s="69"/>
      <c r="EX53" s="69"/>
      <c r="EY53" s="69"/>
      <c r="EZ53" s="69"/>
      <c r="FA53" s="69"/>
      <c r="FB53" s="69"/>
      <c r="FC53" s="69"/>
      <c r="FD53" s="69"/>
      <c r="FE53" s="69"/>
      <c r="FF53" s="69"/>
      <c r="FG53" s="69"/>
      <c r="FH53" s="69"/>
      <c r="FI53" s="69"/>
      <c r="FJ53" s="69"/>
      <c r="FK53" s="69"/>
      <c r="FL53" s="69"/>
      <c r="FM53" s="69"/>
      <c r="FN53" s="69"/>
      <c r="FO53" s="69"/>
      <c r="FP53" s="69"/>
      <c r="FQ53" s="69"/>
      <c r="FR53" s="69"/>
      <c r="FS53" s="69"/>
      <c r="FT53" s="69"/>
      <c r="FU53" s="69"/>
      <c r="FV53" s="69"/>
      <c r="FW53" s="69"/>
      <c r="FX53" s="69"/>
      <c r="FY53" s="69"/>
      <c r="FZ53" s="69"/>
      <c r="GA53" s="69"/>
      <c r="GB53" s="69"/>
      <c r="GC53" s="69"/>
      <c r="GD53" s="69"/>
      <c r="GE53" s="69"/>
      <c r="GF53" s="69"/>
      <c r="GG53" s="69"/>
      <c r="GH53" s="69"/>
      <c r="GI53" s="69"/>
      <c r="GJ53" s="69"/>
      <c r="GK53" s="69"/>
      <c r="GL53" s="69"/>
      <c r="GM53" s="69"/>
      <c r="GN53" s="69"/>
      <c r="GO53" s="69"/>
      <c r="GP53" s="69"/>
      <c r="GQ53" s="69"/>
      <c r="GR53" s="69"/>
      <c r="GS53" s="69"/>
      <c r="GT53" s="69"/>
      <c r="GU53" s="69"/>
      <c r="GV53" s="69"/>
      <c r="GW53" s="69"/>
      <c r="GX53" s="69"/>
      <c r="GY53" s="69"/>
      <c r="GZ53" s="69"/>
      <c r="HA53" s="69"/>
      <c r="HB53" s="69"/>
      <c r="HC53" s="69"/>
      <c r="HD53" s="69"/>
      <c r="HE53" s="69"/>
      <c r="HF53" s="69"/>
      <c r="HG53" s="69"/>
      <c r="HH53" s="69"/>
      <c r="HI53" s="69"/>
      <c r="HJ53" s="69"/>
      <c r="HK53" s="69"/>
      <c r="HL53" s="69"/>
      <c r="HM53" s="69"/>
      <c r="HN53" s="69"/>
      <c r="HO53" s="69"/>
      <c r="HP53" s="69"/>
      <c r="HQ53" s="69"/>
      <c r="HR53" s="69"/>
      <c r="HS53" s="69"/>
      <c r="HT53" s="69"/>
      <c r="HU53" s="69"/>
      <c r="HV53" s="69"/>
      <c r="HW53" s="69"/>
      <c r="HX53" s="69"/>
      <c r="HY53" s="69"/>
      <c r="HZ53" s="69"/>
      <c r="IA53" s="69"/>
      <c r="IB53" s="69"/>
      <c r="IC53" s="69"/>
      <c r="ID53" s="69"/>
      <c r="IE53" s="69"/>
      <c r="IF53" s="69"/>
      <c r="IG53" s="69"/>
      <c r="IH53" s="69"/>
      <c r="II53" s="69"/>
      <c r="IJ53" s="69"/>
      <c r="IK53" s="69"/>
      <c r="IL53" s="69"/>
    </row>
    <row r="54" spans="7:246">
      <c r="K54" s="67"/>
      <c r="L54" s="67"/>
      <c r="M54" s="67"/>
      <c r="N54" s="67"/>
      <c r="O54" s="67"/>
      <c r="Q54" s="66"/>
      <c r="R54" s="66"/>
      <c r="S54" s="66"/>
    </row>
    <row r="55" spans="7:246">
      <c r="K55" s="67"/>
      <c r="L55" s="67"/>
      <c r="M55" s="67"/>
      <c r="N55" s="67"/>
      <c r="O55" s="67"/>
      <c r="Q55" s="66"/>
      <c r="R55" s="66"/>
      <c r="S55" s="66"/>
    </row>
    <row r="56" spans="7:246">
      <c r="K56" s="67"/>
      <c r="L56" s="67"/>
      <c r="M56" s="67"/>
      <c r="N56" s="67"/>
      <c r="O56" s="67"/>
      <c r="Q56" s="66"/>
      <c r="R56" s="66"/>
      <c r="S56" s="66"/>
    </row>
    <row r="57" spans="7:246">
      <c r="K57" s="67"/>
      <c r="L57" s="67"/>
      <c r="M57" s="67"/>
      <c r="N57" s="67"/>
      <c r="O57" s="67"/>
      <c r="Q57" s="66"/>
      <c r="R57" s="66"/>
      <c r="S57" s="66"/>
    </row>
    <row r="58" spans="7:246">
      <c r="K58" s="67"/>
      <c r="L58" s="67"/>
      <c r="M58" s="67"/>
      <c r="N58" s="67"/>
      <c r="O58" s="67"/>
      <c r="Q58" s="66"/>
      <c r="R58" s="66"/>
      <c r="S58" s="66"/>
    </row>
    <row r="59" spans="7:246">
      <c r="K59" s="67"/>
      <c r="L59" s="67"/>
      <c r="M59" s="67"/>
      <c r="N59" s="67"/>
      <c r="O59" s="67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DZ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  <c r="FA59" s="69"/>
      <c r="FB59" s="69"/>
      <c r="FC59" s="69"/>
      <c r="FD59" s="69"/>
      <c r="FE59" s="69"/>
      <c r="FF59" s="69"/>
      <c r="FG59" s="69"/>
      <c r="FH59" s="69"/>
      <c r="FI59" s="69"/>
      <c r="FJ59" s="69"/>
      <c r="FK59" s="69"/>
      <c r="FL59" s="69"/>
      <c r="FM59" s="69"/>
      <c r="FN59" s="69"/>
      <c r="FO59" s="69"/>
      <c r="FP59" s="69"/>
      <c r="FQ59" s="69"/>
      <c r="FR59" s="69"/>
      <c r="FS59" s="69"/>
      <c r="FT59" s="69"/>
      <c r="FU59" s="69"/>
      <c r="FV59" s="69"/>
      <c r="FW59" s="69"/>
      <c r="FX59" s="69"/>
      <c r="FY59" s="69"/>
      <c r="FZ59" s="69"/>
      <c r="GA59" s="69"/>
      <c r="GB59" s="69"/>
      <c r="GC59" s="69"/>
      <c r="GD59" s="69"/>
      <c r="GE59" s="69"/>
      <c r="GF59" s="69"/>
      <c r="GG59" s="69"/>
      <c r="GH59" s="69"/>
      <c r="GI59" s="69"/>
      <c r="GJ59" s="69"/>
      <c r="GK59" s="69"/>
      <c r="GL59" s="69"/>
      <c r="GM59" s="69"/>
      <c r="GN59" s="69"/>
      <c r="GO59" s="69"/>
      <c r="GP59" s="69"/>
      <c r="GQ59" s="69"/>
      <c r="GR59" s="69"/>
      <c r="GS59" s="69"/>
      <c r="GT59" s="69"/>
      <c r="GU59" s="69"/>
      <c r="GV59" s="69"/>
      <c r="GW59" s="69"/>
      <c r="GX59" s="69"/>
      <c r="GY59" s="69"/>
      <c r="GZ59" s="69"/>
      <c r="HA59" s="69"/>
      <c r="HB59" s="69"/>
      <c r="HC59" s="69"/>
      <c r="HD59" s="69"/>
      <c r="HE59" s="69"/>
      <c r="HF59" s="69"/>
      <c r="HG59" s="69"/>
      <c r="HH59" s="69"/>
      <c r="HI59" s="69"/>
      <c r="HJ59" s="69"/>
      <c r="HK59" s="69"/>
      <c r="HL59" s="69"/>
      <c r="HM59" s="69"/>
      <c r="HN59" s="69"/>
      <c r="HO59" s="69"/>
      <c r="HP59" s="69"/>
      <c r="HQ59" s="69"/>
      <c r="HR59" s="69"/>
      <c r="HS59" s="69"/>
      <c r="HT59" s="69"/>
      <c r="HU59" s="69"/>
      <c r="HV59" s="69"/>
      <c r="HW59" s="69"/>
      <c r="HX59" s="69"/>
      <c r="HY59" s="69"/>
      <c r="HZ59" s="69"/>
      <c r="IA59" s="69"/>
      <c r="IB59" s="69"/>
      <c r="IC59" s="69"/>
      <c r="ID59" s="69"/>
      <c r="IE59" s="69"/>
      <c r="IF59" s="69"/>
      <c r="IG59" s="69"/>
      <c r="IH59" s="69"/>
      <c r="II59" s="69"/>
      <c r="IJ59" s="69"/>
      <c r="IK59" s="69"/>
      <c r="IL59" s="69"/>
    </row>
    <row r="60" spans="7:246">
      <c r="G60" s="67"/>
      <c r="H60" s="67"/>
      <c r="I60" s="67"/>
      <c r="J60" s="67"/>
      <c r="K60" s="67"/>
      <c r="L60" s="67"/>
      <c r="M60" s="67"/>
      <c r="N60" s="67"/>
      <c r="O60" s="67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  <c r="EO60" s="69"/>
      <c r="EP60" s="69"/>
      <c r="EQ60" s="69"/>
      <c r="ER60" s="69"/>
      <c r="ES60" s="69"/>
      <c r="ET60" s="69"/>
      <c r="EU60" s="69"/>
      <c r="EV60" s="69"/>
      <c r="EW60" s="69"/>
      <c r="EX60" s="69"/>
      <c r="EY60" s="69"/>
      <c r="EZ60" s="69"/>
      <c r="FA60" s="69"/>
      <c r="FB60" s="69"/>
      <c r="FC60" s="69"/>
      <c r="FD60" s="69"/>
      <c r="FE60" s="69"/>
      <c r="FF60" s="69"/>
      <c r="FG60" s="69"/>
      <c r="FH60" s="69"/>
      <c r="FI60" s="69"/>
      <c r="FJ60" s="69"/>
      <c r="FK60" s="69"/>
      <c r="FL60" s="69"/>
      <c r="FM60" s="69"/>
      <c r="FN60" s="69"/>
      <c r="FO60" s="69"/>
      <c r="FP60" s="69"/>
      <c r="FQ60" s="69"/>
      <c r="FR60" s="69"/>
      <c r="FS60" s="69"/>
      <c r="FT60" s="69"/>
      <c r="FU60" s="69"/>
      <c r="FV60" s="69"/>
      <c r="FW60" s="69"/>
      <c r="FX60" s="69"/>
      <c r="FY60" s="69"/>
      <c r="FZ60" s="69"/>
      <c r="GA60" s="69"/>
      <c r="GB60" s="69"/>
      <c r="GC60" s="69"/>
      <c r="GD60" s="69"/>
      <c r="GE60" s="69"/>
      <c r="GF60" s="69"/>
      <c r="GG60" s="69"/>
      <c r="GH60" s="69"/>
      <c r="GI60" s="69"/>
      <c r="GJ60" s="69"/>
      <c r="GK60" s="69"/>
      <c r="GL60" s="69"/>
      <c r="GM60" s="69"/>
      <c r="GN60" s="69"/>
      <c r="GO60" s="69"/>
      <c r="GP60" s="69"/>
      <c r="GQ60" s="69"/>
      <c r="GR60" s="69"/>
      <c r="GS60" s="69"/>
      <c r="GT60" s="69"/>
      <c r="GU60" s="69"/>
      <c r="GV60" s="69"/>
      <c r="GW60" s="69"/>
      <c r="GX60" s="69"/>
      <c r="GY60" s="69"/>
      <c r="GZ60" s="69"/>
      <c r="HA60" s="69"/>
      <c r="HB60" s="69"/>
      <c r="HC60" s="69"/>
      <c r="HD60" s="69"/>
      <c r="HE60" s="69"/>
      <c r="HF60" s="69"/>
      <c r="HG60" s="69"/>
      <c r="HH60" s="69"/>
      <c r="HI60" s="69"/>
      <c r="HJ60" s="69"/>
      <c r="HK60" s="69"/>
      <c r="HL60" s="69"/>
      <c r="HM60" s="69"/>
      <c r="HN60" s="69"/>
      <c r="HO60" s="69"/>
      <c r="HP60" s="69"/>
      <c r="HQ60" s="69"/>
      <c r="HR60" s="69"/>
      <c r="HS60" s="69"/>
      <c r="HT60" s="69"/>
      <c r="HU60" s="69"/>
      <c r="HV60" s="69"/>
      <c r="HW60" s="69"/>
      <c r="HX60" s="69"/>
      <c r="HY60" s="69"/>
      <c r="HZ60" s="69"/>
      <c r="IA60" s="69"/>
      <c r="IB60" s="69"/>
      <c r="IC60" s="69"/>
      <c r="ID60" s="69"/>
      <c r="IE60" s="69"/>
      <c r="IF60" s="69"/>
      <c r="IG60" s="69"/>
      <c r="IH60" s="69"/>
      <c r="II60" s="69"/>
      <c r="IJ60" s="69"/>
      <c r="IK60" s="69"/>
      <c r="IL60" s="69"/>
    </row>
    <row r="61" spans="7:246">
      <c r="G61" s="67"/>
      <c r="H61" s="67"/>
      <c r="I61" s="67"/>
      <c r="J61" s="67"/>
      <c r="K61" s="67"/>
      <c r="L61" s="67"/>
      <c r="M61" s="67"/>
      <c r="N61" s="67"/>
      <c r="O61" s="67"/>
      <c r="Q61" s="66"/>
      <c r="R61" s="66"/>
      <c r="S61" s="66"/>
    </row>
    <row r="62" spans="7:246">
      <c r="G62" s="67"/>
      <c r="H62" s="67"/>
      <c r="I62" s="67"/>
      <c r="J62" s="67"/>
      <c r="K62" s="67"/>
      <c r="L62" s="67"/>
      <c r="M62" s="67"/>
      <c r="N62" s="67"/>
      <c r="O62" s="67"/>
      <c r="Q62" s="66"/>
      <c r="R62" s="66"/>
      <c r="S62" s="66"/>
    </row>
    <row r="63" spans="7:246">
      <c r="G63" s="67"/>
      <c r="H63" s="67"/>
      <c r="I63" s="67"/>
      <c r="J63" s="67"/>
      <c r="K63" s="67"/>
      <c r="L63" s="67"/>
      <c r="M63" s="67"/>
      <c r="N63" s="67"/>
      <c r="O63" s="67"/>
      <c r="Q63" s="66"/>
      <c r="R63" s="66"/>
      <c r="S63" s="66"/>
    </row>
    <row r="64" spans="7:246">
      <c r="G64" s="67"/>
      <c r="H64" s="67"/>
      <c r="I64" s="67"/>
      <c r="J64" s="67"/>
      <c r="K64" s="67"/>
      <c r="L64" s="67"/>
      <c r="M64" s="67"/>
      <c r="N64" s="67"/>
      <c r="O64" s="67"/>
      <c r="Q64" s="66"/>
      <c r="R64" s="66"/>
      <c r="S64" s="66"/>
    </row>
    <row r="65" spans="7:19">
      <c r="G65" s="67"/>
      <c r="H65" s="67"/>
      <c r="I65" s="67"/>
      <c r="J65" s="67"/>
      <c r="K65" s="67"/>
      <c r="L65" s="67"/>
      <c r="M65" s="67"/>
      <c r="N65" s="67"/>
      <c r="O65" s="67"/>
      <c r="Q65" s="66"/>
      <c r="R65" s="66"/>
      <c r="S65" s="66"/>
    </row>
    <row r="66" spans="7:19">
      <c r="G66" s="67"/>
      <c r="H66" s="67"/>
      <c r="I66" s="67"/>
      <c r="J66" s="67"/>
      <c r="K66" s="67"/>
      <c r="L66" s="67"/>
      <c r="M66" s="67"/>
      <c r="N66" s="67"/>
      <c r="O66" s="67"/>
      <c r="Q66" s="66"/>
      <c r="R66" s="66"/>
      <c r="S66" s="66"/>
    </row>
    <row r="67" spans="7:19">
      <c r="G67" s="67"/>
      <c r="H67" s="67"/>
      <c r="I67" s="67"/>
      <c r="J67" s="67"/>
      <c r="K67" s="67"/>
      <c r="L67" s="67"/>
      <c r="M67" s="67"/>
      <c r="N67" s="67"/>
      <c r="O67" s="67"/>
      <c r="Q67" s="66"/>
      <c r="R67" s="66"/>
      <c r="S67" s="66"/>
    </row>
    <row r="68" spans="7:19">
      <c r="G68" s="67"/>
      <c r="H68" s="67"/>
      <c r="I68" s="67"/>
      <c r="J68" s="67"/>
      <c r="K68" s="67"/>
      <c r="L68" s="67"/>
      <c r="M68" s="67"/>
      <c r="N68" s="67"/>
      <c r="O68" s="67"/>
      <c r="Q68" s="66"/>
      <c r="R68" s="66"/>
      <c r="S68" s="66"/>
    </row>
    <row r="69" spans="7:19">
      <c r="G69" s="67"/>
      <c r="H69" s="67"/>
      <c r="I69" s="67"/>
      <c r="J69" s="67"/>
      <c r="K69" s="67"/>
      <c r="L69" s="67"/>
      <c r="M69" s="67"/>
      <c r="N69" s="67"/>
      <c r="O69" s="67"/>
      <c r="Q69" s="66"/>
      <c r="R69" s="66"/>
      <c r="S69" s="66"/>
    </row>
    <row r="70" spans="7:19">
      <c r="G70" s="67"/>
      <c r="H70" s="67"/>
      <c r="I70" s="67"/>
      <c r="J70" s="67"/>
      <c r="K70" s="67"/>
      <c r="L70" s="67"/>
      <c r="M70" s="67"/>
      <c r="N70" s="67"/>
      <c r="O70" s="67"/>
      <c r="Q70" s="66"/>
      <c r="R70" s="66"/>
      <c r="S70" s="66"/>
    </row>
    <row r="71" spans="7:19">
      <c r="G71" s="67"/>
      <c r="H71" s="67"/>
      <c r="I71" s="67"/>
      <c r="J71" s="67"/>
      <c r="K71" s="67"/>
      <c r="L71" s="67"/>
      <c r="M71" s="67"/>
      <c r="N71" s="67"/>
      <c r="O71" s="67"/>
      <c r="Q71" s="66"/>
      <c r="R71" s="66"/>
      <c r="S71" s="66"/>
    </row>
    <row r="72" spans="7:19">
      <c r="G72" s="67"/>
      <c r="H72" s="67"/>
      <c r="I72" s="67"/>
      <c r="J72" s="67"/>
      <c r="K72" s="67"/>
      <c r="L72" s="67"/>
      <c r="M72" s="67"/>
      <c r="N72" s="67"/>
      <c r="O72" s="67"/>
      <c r="Q72" s="66"/>
      <c r="R72" s="66"/>
      <c r="S72" s="66"/>
    </row>
    <row r="73" spans="7:19">
      <c r="G73" s="67"/>
      <c r="H73" s="67"/>
      <c r="I73" s="67"/>
      <c r="J73" s="67"/>
      <c r="K73" s="67"/>
      <c r="L73" s="67"/>
      <c r="M73" s="67"/>
      <c r="N73" s="67"/>
      <c r="O73" s="67"/>
      <c r="Q73" s="66"/>
      <c r="R73" s="66"/>
      <c r="S73" s="66"/>
    </row>
    <row r="74" spans="7:19">
      <c r="G74" s="67"/>
      <c r="H74" s="67"/>
      <c r="I74" s="67"/>
      <c r="J74" s="67"/>
      <c r="K74" s="67"/>
      <c r="L74" s="67"/>
      <c r="M74" s="67"/>
      <c r="N74" s="67"/>
      <c r="O74" s="67"/>
      <c r="Q74" s="66"/>
      <c r="R74" s="66"/>
      <c r="S74" s="66"/>
    </row>
    <row r="75" spans="7:19">
      <c r="G75" s="67"/>
      <c r="H75" s="67"/>
      <c r="I75" s="67"/>
      <c r="J75" s="67"/>
      <c r="K75" s="67"/>
      <c r="L75" s="67"/>
      <c r="M75" s="67"/>
      <c r="N75" s="67"/>
      <c r="O75" s="67"/>
      <c r="Q75" s="66"/>
      <c r="R75" s="66"/>
      <c r="S75" s="66"/>
    </row>
    <row r="76" spans="7:19">
      <c r="G76" s="67"/>
      <c r="H76" s="67"/>
      <c r="I76" s="67"/>
      <c r="J76" s="67"/>
      <c r="K76" s="67"/>
      <c r="L76" s="67"/>
      <c r="M76" s="67"/>
      <c r="N76" s="67"/>
      <c r="O76" s="67"/>
      <c r="Q76" s="66"/>
      <c r="R76" s="66"/>
      <c r="S76" s="66"/>
    </row>
    <row r="77" spans="7:19">
      <c r="G77" s="67"/>
      <c r="H77" s="67"/>
      <c r="I77" s="67"/>
      <c r="J77" s="67"/>
      <c r="K77" s="67"/>
      <c r="L77" s="67"/>
      <c r="M77" s="67"/>
      <c r="N77" s="67"/>
      <c r="O77" s="67"/>
      <c r="Q77" s="66"/>
      <c r="R77" s="66"/>
      <c r="S77" s="66"/>
    </row>
    <row r="78" spans="7:19">
      <c r="G78" s="67"/>
      <c r="H78" s="67"/>
      <c r="I78" s="67"/>
      <c r="J78" s="67"/>
      <c r="K78" s="67"/>
      <c r="L78" s="67"/>
      <c r="M78" s="67"/>
      <c r="N78" s="67"/>
      <c r="O78" s="67"/>
      <c r="Q78" s="66"/>
      <c r="R78" s="66"/>
      <c r="S78" s="66"/>
    </row>
    <row r="79" spans="7:19">
      <c r="G79" s="67"/>
      <c r="H79" s="67"/>
      <c r="I79" s="67"/>
      <c r="J79" s="67"/>
      <c r="K79" s="67"/>
      <c r="L79" s="67"/>
      <c r="M79" s="67"/>
      <c r="N79" s="67"/>
      <c r="O79" s="67"/>
      <c r="Q79" s="66"/>
      <c r="R79" s="66"/>
      <c r="S79" s="66"/>
    </row>
    <row r="80" spans="7:19">
      <c r="G80" s="67"/>
      <c r="H80" s="67"/>
      <c r="I80" s="67"/>
      <c r="J80" s="67"/>
      <c r="K80" s="67"/>
      <c r="L80" s="67"/>
      <c r="M80" s="67"/>
      <c r="N80" s="67"/>
      <c r="O80" s="67"/>
      <c r="Q80" s="66"/>
      <c r="R80" s="66"/>
      <c r="S80" s="66"/>
    </row>
    <row r="81" spans="7:19">
      <c r="G81" s="67"/>
      <c r="H81" s="67"/>
      <c r="I81" s="67"/>
      <c r="J81" s="67"/>
      <c r="K81" s="67"/>
      <c r="L81" s="67"/>
      <c r="M81" s="67"/>
      <c r="N81" s="67"/>
      <c r="O81" s="67"/>
      <c r="Q81" s="66"/>
      <c r="R81" s="66"/>
      <c r="S81" s="66"/>
    </row>
    <row r="82" spans="7:19">
      <c r="G82" s="67"/>
      <c r="H82" s="67"/>
      <c r="I82" s="67"/>
      <c r="J82" s="67"/>
      <c r="K82" s="67"/>
      <c r="L82" s="67"/>
      <c r="M82" s="67"/>
      <c r="N82" s="67"/>
      <c r="O82" s="67"/>
      <c r="Q82" s="66"/>
      <c r="R82" s="66"/>
      <c r="S82" s="66"/>
    </row>
    <row r="83" spans="7:19">
      <c r="G83" s="67"/>
      <c r="H83" s="67"/>
      <c r="I83" s="67"/>
      <c r="J83" s="67"/>
      <c r="K83" s="67"/>
      <c r="L83" s="67"/>
      <c r="M83" s="67"/>
      <c r="N83" s="67"/>
      <c r="O83" s="67"/>
      <c r="Q83" s="66"/>
      <c r="R83" s="66"/>
      <c r="S83" s="66"/>
    </row>
    <row r="84" spans="7:19">
      <c r="G84" s="67"/>
      <c r="H84" s="67"/>
      <c r="I84" s="67"/>
      <c r="J84" s="67"/>
      <c r="K84" s="67"/>
      <c r="L84" s="67"/>
      <c r="M84" s="67"/>
      <c r="N84" s="67"/>
      <c r="O84" s="67"/>
      <c r="Q84" s="66"/>
      <c r="R84" s="66"/>
      <c r="S84" s="66"/>
    </row>
    <row r="85" spans="7:19">
      <c r="G85" s="67"/>
      <c r="H85" s="67"/>
      <c r="I85" s="67"/>
      <c r="J85" s="67"/>
      <c r="K85" s="67"/>
      <c r="L85" s="67"/>
      <c r="M85" s="67"/>
      <c r="N85" s="67"/>
      <c r="O85" s="67"/>
      <c r="Q85" s="66"/>
      <c r="R85" s="66"/>
      <c r="S85" s="66"/>
    </row>
    <row r="86" spans="7:19">
      <c r="G86" s="67"/>
      <c r="H86" s="67"/>
      <c r="I86" s="67"/>
      <c r="J86" s="67"/>
      <c r="K86" s="67"/>
      <c r="L86" s="67"/>
      <c r="M86" s="67"/>
      <c r="N86" s="67"/>
      <c r="O86" s="67"/>
      <c r="Q86" s="66"/>
      <c r="R86" s="66"/>
      <c r="S86" s="66"/>
    </row>
    <row r="87" spans="7:19">
      <c r="G87" s="67"/>
      <c r="H87" s="67"/>
      <c r="I87" s="67"/>
      <c r="J87" s="67"/>
      <c r="K87" s="67"/>
      <c r="L87" s="67"/>
      <c r="M87" s="67"/>
      <c r="N87" s="67"/>
      <c r="O87" s="67"/>
      <c r="Q87" s="66"/>
      <c r="R87" s="66"/>
      <c r="S87" s="66"/>
    </row>
    <row r="88" spans="7:19">
      <c r="G88" s="67"/>
      <c r="H88" s="67"/>
      <c r="I88" s="67"/>
      <c r="J88" s="67"/>
      <c r="K88" s="67"/>
      <c r="L88" s="67"/>
      <c r="M88" s="67"/>
      <c r="N88" s="67"/>
      <c r="O88" s="67"/>
      <c r="Q88" s="66"/>
      <c r="R88" s="66"/>
      <c r="S88" s="66"/>
    </row>
    <row r="89" spans="7:19">
      <c r="G89" s="67"/>
      <c r="H89" s="67"/>
      <c r="I89" s="67"/>
      <c r="J89" s="67"/>
      <c r="K89" s="67"/>
      <c r="L89" s="67"/>
      <c r="M89" s="67"/>
      <c r="N89" s="67"/>
      <c r="O89" s="67"/>
      <c r="Q89" s="66"/>
      <c r="R89" s="66"/>
      <c r="S89" s="66"/>
    </row>
    <row r="90" spans="7:19">
      <c r="G90" s="67"/>
      <c r="H90" s="67"/>
      <c r="I90" s="67"/>
      <c r="J90" s="67"/>
      <c r="K90" s="67"/>
      <c r="L90" s="67"/>
      <c r="M90" s="67"/>
      <c r="N90" s="67"/>
      <c r="O90" s="67"/>
      <c r="Q90" s="66"/>
      <c r="R90" s="66"/>
      <c r="S90" s="66"/>
    </row>
    <row r="91" spans="7:19">
      <c r="G91" s="67"/>
      <c r="H91" s="67"/>
      <c r="I91" s="67"/>
      <c r="J91" s="67"/>
      <c r="K91" s="67"/>
      <c r="L91" s="67"/>
      <c r="M91" s="67"/>
      <c r="N91" s="67"/>
      <c r="O91" s="67"/>
      <c r="Q91" s="66"/>
      <c r="R91" s="66"/>
      <c r="S91" s="66"/>
    </row>
    <row r="92" spans="7:19">
      <c r="G92" s="67"/>
      <c r="H92" s="67"/>
      <c r="I92" s="67"/>
      <c r="J92" s="67"/>
      <c r="K92" s="67"/>
      <c r="L92" s="67"/>
      <c r="M92" s="67"/>
      <c r="N92" s="67"/>
      <c r="O92" s="67"/>
      <c r="Q92" s="66"/>
      <c r="R92" s="66"/>
      <c r="S92" s="66"/>
    </row>
    <row r="93" spans="7:19">
      <c r="G93" s="67"/>
      <c r="H93" s="67"/>
      <c r="I93" s="67"/>
      <c r="J93" s="67"/>
      <c r="K93" s="67"/>
      <c r="L93" s="67"/>
      <c r="M93" s="67"/>
      <c r="N93" s="67"/>
      <c r="O93" s="67"/>
      <c r="Q93" s="66"/>
      <c r="R93" s="66"/>
      <c r="S93" s="66"/>
    </row>
    <row r="94" spans="7:19">
      <c r="G94" s="67"/>
      <c r="H94" s="67"/>
      <c r="I94" s="67"/>
      <c r="J94" s="67"/>
      <c r="K94" s="67"/>
      <c r="L94" s="67"/>
      <c r="M94" s="67"/>
      <c r="N94" s="67"/>
      <c r="O94" s="67"/>
      <c r="Q94" s="66"/>
      <c r="R94" s="66"/>
      <c r="S94" s="66"/>
    </row>
    <row r="95" spans="7:19">
      <c r="G95" s="67"/>
      <c r="H95" s="67"/>
      <c r="I95" s="67"/>
      <c r="J95" s="67"/>
      <c r="K95" s="67"/>
      <c r="L95" s="67"/>
      <c r="M95" s="67"/>
      <c r="N95" s="67"/>
      <c r="O95" s="67"/>
      <c r="Q95" s="66"/>
      <c r="R95" s="66"/>
      <c r="S95" s="66"/>
    </row>
    <row r="96" spans="7:19">
      <c r="G96" s="67"/>
      <c r="H96" s="67"/>
      <c r="I96" s="67"/>
      <c r="J96" s="67"/>
      <c r="K96" s="67"/>
      <c r="L96" s="67"/>
      <c r="M96" s="67"/>
      <c r="N96" s="67"/>
      <c r="O96" s="67"/>
      <c r="Q96" s="66"/>
      <c r="R96" s="66"/>
      <c r="S96" s="66"/>
    </row>
    <row r="97" spans="7:19">
      <c r="G97" s="67"/>
      <c r="H97" s="67"/>
      <c r="I97" s="67"/>
      <c r="J97" s="67"/>
      <c r="K97" s="67"/>
      <c r="L97" s="67"/>
      <c r="M97" s="67"/>
      <c r="N97" s="67"/>
      <c r="O97" s="67"/>
      <c r="Q97" s="66"/>
      <c r="R97" s="66"/>
      <c r="S97" s="66"/>
    </row>
    <row r="98" spans="7:19">
      <c r="K98" s="67"/>
      <c r="L98" s="67"/>
      <c r="M98" s="67"/>
      <c r="N98" s="67"/>
      <c r="O98" s="67"/>
      <c r="Q98" s="66"/>
      <c r="R98" s="66"/>
      <c r="S98" s="66"/>
    </row>
    <row r="99" spans="7:19">
      <c r="K99" s="67"/>
      <c r="L99" s="67"/>
      <c r="M99" s="67"/>
      <c r="N99" s="67"/>
      <c r="O99" s="67"/>
      <c r="Q99" s="66"/>
      <c r="R99" s="66"/>
      <c r="S99" s="66"/>
    </row>
    <row r="100" spans="7:19">
      <c r="K100" s="67"/>
      <c r="L100" s="67"/>
      <c r="M100" s="67"/>
      <c r="N100" s="67"/>
      <c r="O100" s="67"/>
      <c r="Q100" s="66"/>
      <c r="R100" s="66"/>
      <c r="S100" s="66"/>
    </row>
    <row r="101" spans="7:19">
      <c r="K101" s="67"/>
      <c r="L101" s="67"/>
      <c r="M101" s="67"/>
      <c r="N101" s="67"/>
      <c r="O101" s="67"/>
      <c r="Q101" s="66"/>
      <c r="R101" s="66"/>
      <c r="S101" s="66"/>
    </row>
  </sheetData>
  <mergeCells count="18">
    <mergeCell ref="G2:J2"/>
    <mergeCell ref="C6:D6"/>
    <mergeCell ref="C7:D7"/>
    <mergeCell ref="C8:D8"/>
    <mergeCell ref="C9:D9"/>
    <mergeCell ref="B2:E2"/>
    <mergeCell ref="B3:D3"/>
    <mergeCell ref="C4:D4"/>
    <mergeCell ref="C5:D5"/>
    <mergeCell ref="C33:D33"/>
    <mergeCell ref="C35:D35"/>
    <mergeCell ref="B12:D12"/>
    <mergeCell ref="C11:D11"/>
    <mergeCell ref="B23:D23"/>
    <mergeCell ref="C25:D25"/>
    <mergeCell ref="C32:D32"/>
    <mergeCell ref="C10:D10"/>
    <mergeCell ref="C34:D34"/>
  </mergeCells>
  <pageMargins left="0.2" right="0.2" top="0.25" bottom="0.25" header="0.3" footer="0.3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8"/>
  <sheetViews>
    <sheetView topLeftCell="D1" zoomScale="85" zoomScaleNormal="85" workbookViewId="0">
      <selection activeCell="O27" sqref="O27"/>
    </sheetView>
  </sheetViews>
  <sheetFormatPr defaultColWidth="9.140625" defaultRowHeight="15" customHeight="1"/>
  <cols>
    <col min="1" max="1" width="9.140625" style="2"/>
    <col min="2" max="2" width="33.85546875" style="2" customWidth="1"/>
    <col min="3" max="3" width="10.42578125" style="2" customWidth="1"/>
    <col min="4" max="4" width="11.5703125" style="2" customWidth="1"/>
    <col min="5" max="5" width="10.7109375" style="2" customWidth="1"/>
    <col min="6" max="6" width="17.7109375" style="2" customWidth="1"/>
    <col min="7" max="7" width="26" style="2" customWidth="1"/>
    <col min="8" max="8" width="7.140625" style="2" customWidth="1"/>
    <col min="9" max="9" width="16.7109375" style="2" customWidth="1"/>
    <col min="10" max="10" width="10.5703125" style="2" customWidth="1"/>
    <col min="11" max="11" width="11.28515625" style="42" customWidth="1"/>
    <col min="12" max="12" width="11.85546875" style="42" customWidth="1"/>
    <col min="13" max="13" width="2.42578125" style="42" customWidth="1"/>
    <col min="14" max="14" width="23.42578125" style="42" customWidth="1"/>
    <col min="15" max="15" width="10.85546875" style="2" customWidth="1"/>
    <col min="16" max="16" width="9.7109375" style="2" customWidth="1"/>
    <col min="17" max="17" width="12.7109375" style="2" customWidth="1"/>
    <col min="18" max="18" width="10.7109375" style="2" customWidth="1"/>
    <col min="19" max="19" width="12.7109375" style="2" customWidth="1"/>
    <col min="20" max="20" width="2.5703125" style="3" customWidth="1"/>
    <col min="21" max="21" width="33.42578125" style="2" customWidth="1"/>
    <col min="22" max="22" width="12.42578125" style="2" customWidth="1"/>
    <col min="23" max="23" width="13.140625" style="131" customWidth="1"/>
    <col min="24" max="16384" width="9.140625" style="2"/>
  </cols>
  <sheetData>
    <row r="1" spans="2:21" ht="15" customHeight="1" thickBot="1">
      <c r="I1" s="65"/>
      <c r="K1" s="1"/>
      <c r="L1" s="2"/>
      <c r="M1" s="2"/>
      <c r="N1" s="2"/>
      <c r="U1" s="1"/>
    </row>
    <row r="2" spans="2:21" ht="15" customHeight="1" thickBot="1">
      <c r="B2" s="518" t="s">
        <v>0</v>
      </c>
      <c r="C2" s="519"/>
      <c r="D2" s="519"/>
      <c r="E2" s="519"/>
      <c r="F2" s="519"/>
      <c r="G2" s="520"/>
      <c r="I2" s="524" t="s">
        <v>160</v>
      </c>
      <c r="J2" s="525"/>
      <c r="K2" s="525"/>
      <c r="L2" s="526"/>
      <c r="M2" s="164"/>
      <c r="N2" s="524" t="s">
        <v>161</v>
      </c>
      <c r="O2" s="525"/>
      <c r="P2" s="525"/>
      <c r="Q2" s="526"/>
      <c r="T2" s="4"/>
    </row>
    <row r="3" spans="2:21" ht="15" customHeight="1" thickBot="1">
      <c r="B3" s="521" t="s">
        <v>3</v>
      </c>
      <c r="C3" s="522"/>
      <c r="D3" s="521" t="s">
        <v>4</v>
      </c>
      <c r="E3" s="522"/>
      <c r="F3" s="522"/>
      <c r="G3" s="523"/>
      <c r="H3" s="147"/>
      <c r="I3" s="7" t="s">
        <v>1</v>
      </c>
      <c r="J3" s="5">
        <v>30</v>
      </c>
      <c r="K3" s="6" t="s">
        <v>2</v>
      </c>
      <c r="L3" s="8">
        <v>10950</v>
      </c>
      <c r="M3" s="164"/>
      <c r="N3" s="7" t="s">
        <v>1</v>
      </c>
      <c r="O3" s="133">
        <v>30</v>
      </c>
      <c r="P3" s="133" t="s">
        <v>159</v>
      </c>
      <c r="Q3" s="8">
        <f>30*365</f>
        <v>10950</v>
      </c>
      <c r="T3" s="9"/>
    </row>
    <row r="4" spans="2:21" ht="15" customHeight="1">
      <c r="B4" s="15" t="s">
        <v>8</v>
      </c>
      <c r="C4" s="451">
        <f>69231.3197919733*(2.72%+1)</f>
        <v>71114.411690314984</v>
      </c>
      <c r="D4" s="452" t="s">
        <v>9</v>
      </c>
      <c r="E4" s="145"/>
      <c r="F4" s="145"/>
      <c r="G4" s="151"/>
      <c r="H4" s="175"/>
      <c r="I4" s="12"/>
      <c r="J4" s="10" t="s">
        <v>5</v>
      </c>
      <c r="K4" s="11" t="s">
        <v>6</v>
      </c>
      <c r="L4" s="13" t="s">
        <v>7</v>
      </c>
      <c r="M4" s="164"/>
      <c r="N4" s="127" t="s">
        <v>62</v>
      </c>
      <c r="O4" s="128" t="s">
        <v>5</v>
      </c>
      <c r="P4" s="129" t="s">
        <v>6</v>
      </c>
      <c r="Q4" s="130" t="s">
        <v>7</v>
      </c>
      <c r="T4" s="14"/>
    </row>
    <row r="5" spans="2:21" ht="15" customHeight="1">
      <c r="B5" s="21" t="s">
        <v>10</v>
      </c>
      <c r="C5" s="453">
        <f>60362.0012181389*(2.72%+1)</f>
        <v>62003.847651272285</v>
      </c>
      <c r="D5" s="452" t="s">
        <v>9</v>
      </c>
      <c r="E5" s="145"/>
      <c r="F5" s="145"/>
      <c r="G5" s="151"/>
      <c r="H5" s="175"/>
      <c r="I5" s="18" t="s">
        <v>8</v>
      </c>
      <c r="J5" s="16">
        <f>C4</f>
        <v>71114.411690314984</v>
      </c>
      <c r="K5" s="19">
        <f>C15</f>
        <v>1</v>
      </c>
      <c r="L5" s="20">
        <f>J5*K5</f>
        <v>71114.411690314984</v>
      </c>
      <c r="M5" s="164"/>
      <c r="N5" s="134" t="s">
        <v>12</v>
      </c>
      <c r="O5" s="135">
        <f>C7</f>
        <v>53967.033600000002</v>
      </c>
      <c r="P5" s="136">
        <f>C18</f>
        <v>1</v>
      </c>
      <c r="Q5" s="137">
        <f>O5*P5</f>
        <v>53967.033600000002</v>
      </c>
      <c r="T5" s="17"/>
    </row>
    <row r="6" spans="2:21" ht="15" customHeight="1">
      <c r="B6" s="454" t="s">
        <v>11</v>
      </c>
      <c r="C6" s="455">
        <f>74065.2542159734*(2.72%+1)</f>
        <v>76079.829130647879</v>
      </c>
      <c r="D6" s="456" t="s">
        <v>9</v>
      </c>
      <c r="E6" s="146"/>
      <c r="F6" s="146"/>
      <c r="G6" s="152"/>
      <c r="H6" s="175"/>
      <c r="I6" s="99" t="s">
        <v>10</v>
      </c>
      <c r="J6" s="17">
        <f>C5</f>
        <v>62003.847651272285</v>
      </c>
      <c r="K6" s="22">
        <f>C16</f>
        <v>1</v>
      </c>
      <c r="L6" s="23">
        <f t="shared" ref="L6:L12" si="0">J6*K6</f>
        <v>62003.847651272285</v>
      </c>
      <c r="M6" s="164"/>
      <c r="N6" s="134" t="s">
        <v>64</v>
      </c>
      <c r="O6" s="135">
        <f>C8</f>
        <v>35059.363200000007</v>
      </c>
      <c r="P6" s="136">
        <f>C19</f>
        <v>0.5</v>
      </c>
      <c r="Q6" s="137">
        <f>O6*P6</f>
        <v>17529.681600000004</v>
      </c>
      <c r="T6" s="17"/>
    </row>
    <row r="7" spans="2:21" ht="15" customHeight="1">
      <c r="B7" s="454" t="s">
        <v>12</v>
      </c>
      <c r="C7" s="455">
        <f>52538*(2.72%+1)</f>
        <v>53967.033600000002</v>
      </c>
      <c r="D7" s="456" t="s">
        <v>13</v>
      </c>
      <c r="E7" s="146"/>
      <c r="F7" s="146"/>
      <c r="G7" s="152"/>
      <c r="H7" s="175"/>
      <c r="I7" s="25" t="s">
        <v>11</v>
      </c>
      <c r="J7" s="17">
        <f>C6</f>
        <v>76079.829130647879</v>
      </c>
      <c r="K7" s="22">
        <f>C17</f>
        <v>2.4</v>
      </c>
      <c r="L7" s="23">
        <f t="shared" si="0"/>
        <v>182591.5899135549</v>
      </c>
      <c r="M7" s="30"/>
      <c r="N7" s="100" t="s">
        <v>19</v>
      </c>
      <c r="O7" s="140"/>
      <c r="P7" s="132">
        <f>SUM(P5:P6)</f>
        <v>1.5</v>
      </c>
      <c r="Q7" s="101">
        <f>SUM(Q5:Q6)</f>
        <v>71496.715200000006</v>
      </c>
      <c r="T7" s="17"/>
    </row>
    <row r="8" spans="2:21" ht="15" customHeight="1">
      <c r="B8" s="454" t="s">
        <v>64</v>
      </c>
      <c r="C8" s="455">
        <f>34131*(2.72%+1)</f>
        <v>35059.363200000007</v>
      </c>
      <c r="D8" s="456" t="s">
        <v>65</v>
      </c>
      <c r="E8" s="146"/>
      <c r="F8" s="146"/>
      <c r="G8" s="152"/>
      <c r="H8" s="175"/>
      <c r="I8" s="89" t="s">
        <v>14</v>
      </c>
      <c r="J8" s="17">
        <f>C9</f>
        <v>36813.650259836169</v>
      </c>
      <c r="K8" s="22">
        <f>C20</f>
        <v>9.9499999999999993</v>
      </c>
      <c r="L8" s="23">
        <f t="shared" si="0"/>
        <v>366295.82008536987</v>
      </c>
      <c r="M8" s="30"/>
      <c r="N8" s="134"/>
      <c r="O8" s="138"/>
      <c r="P8" s="138"/>
      <c r="Q8" s="139"/>
      <c r="T8" s="17"/>
    </row>
    <row r="9" spans="2:21" ht="15" customHeight="1">
      <c r="B9" s="96" t="s">
        <v>14</v>
      </c>
      <c r="C9" s="455">
        <f>35838.8339756972*(2.72%+1)</f>
        <v>36813.650259836169</v>
      </c>
      <c r="D9" s="456" t="s">
        <v>9</v>
      </c>
      <c r="E9" s="146"/>
      <c r="F9" s="146"/>
      <c r="G9" s="152"/>
      <c r="H9" s="175"/>
      <c r="I9" s="89" t="s">
        <v>15</v>
      </c>
      <c r="J9" s="17">
        <f>C10</f>
        <v>33584.227489950354</v>
      </c>
      <c r="K9" s="22">
        <f>C21</f>
        <v>2.5099999999999998</v>
      </c>
      <c r="L9" s="23">
        <f t="shared" si="0"/>
        <v>84296.410999775384</v>
      </c>
      <c r="M9" s="30"/>
      <c r="N9" s="134" t="s">
        <v>29</v>
      </c>
      <c r="O9" s="141">
        <f>C26</f>
        <v>0.21709999999999999</v>
      </c>
      <c r="P9" s="138"/>
      <c r="Q9" s="137">
        <f>Q7*O9</f>
        <v>15521.93686992</v>
      </c>
      <c r="T9" s="17"/>
    </row>
    <row r="10" spans="2:21" ht="15" customHeight="1">
      <c r="B10" s="96" t="s">
        <v>15</v>
      </c>
      <c r="C10" s="455">
        <f>32694.9255159174*(2.72%+1)</f>
        <v>33584.227489950354</v>
      </c>
      <c r="D10" s="456" t="s">
        <v>9</v>
      </c>
      <c r="E10" s="146"/>
      <c r="F10" s="146"/>
      <c r="G10" s="152"/>
      <c r="H10" s="175"/>
      <c r="I10" s="89" t="s">
        <v>16</v>
      </c>
      <c r="J10" s="17">
        <f>C11</f>
        <v>32048.640000000003</v>
      </c>
      <c r="K10" s="22">
        <f>C22</f>
        <v>11.62</v>
      </c>
      <c r="L10" s="23">
        <f t="shared" si="0"/>
        <v>372405.19680000003</v>
      </c>
      <c r="M10" s="164"/>
      <c r="N10" s="100" t="s">
        <v>22</v>
      </c>
      <c r="O10" s="142"/>
      <c r="P10" s="88"/>
      <c r="Q10" s="101">
        <f>Q7+Q9</f>
        <v>87018.652069920005</v>
      </c>
      <c r="R10" s="171"/>
      <c r="T10" s="17"/>
    </row>
    <row r="11" spans="2:21" ht="15" customHeight="1" thickBot="1">
      <c r="B11" s="96" t="s">
        <v>16</v>
      </c>
      <c r="C11" s="455">
        <f>31200*(2.72%+1)</f>
        <v>32048.640000000003</v>
      </c>
      <c r="D11" s="456" t="s">
        <v>24</v>
      </c>
      <c r="E11" s="146"/>
      <c r="F11" s="146"/>
      <c r="G11" s="152"/>
      <c r="H11" s="175"/>
      <c r="I11" s="89" t="s">
        <v>17</v>
      </c>
      <c r="J11" s="17">
        <f>C12</f>
        <v>31200.172800000004</v>
      </c>
      <c r="K11" s="22">
        <f>C23</f>
        <v>4</v>
      </c>
      <c r="L11" s="23">
        <f t="shared" si="0"/>
        <v>124800.69120000002</v>
      </c>
      <c r="M11" s="164"/>
      <c r="N11" s="183" t="s">
        <v>31</v>
      </c>
      <c r="O11" s="184">
        <f>C33</f>
        <v>0.1198</v>
      </c>
      <c r="P11" s="182"/>
      <c r="Q11" s="185">
        <f>Q10*O11</f>
        <v>10424.834517976416</v>
      </c>
      <c r="R11" s="171"/>
      <c r="T11" s="17"/>
    </row>
    <row r="12" spans="2:21" ht="15" customHeight="1" thickTop="1">
      <c r="B12" s="96" t="s">
        <v>17</v>
      </c>
      <c r="C12" s="455">
        <f>30374*(2.72%+1)</f>
        <v>31200.172800000004</v>
      </c>
      <c r="D12" s="456" t="s">
        <v>173</v>
      </c>
      <c r="E12" s="146"/>
      <c r="F12" s="146"/>
      <c r="G12" s="152"/>
      <c r="H12" s="175"/>
      <c r="I12" s="90" t="s">
        <v>18</v>
      </c>
      <c r="J12" s="84">
        <f>C13</f>
        <v>32048.640000000003</v>
      </c>
      <c r="K12" s="85">
        <f>C24</f>
        <v>3.7035040000000001</v>
      </c>
      <c r="L12" s="91">
        <f t="shared" si="0"/>
        <v>118692.26643456002</v>
      </c>
      <c r="M12" s="164"/>
      <c r="N12" s="204" t="s">
        <v>33</v>
      </c>
      <c r="O12" s="205"/>
      <c r="P12" s="190"/>
      <c r="Q12" s="191">
        <f>Q10+Q11</f>
        <v>97443.486587896419</v>
      </c>
      <c r="R12" s="171"/>
      <c r="T12" s="17"/>
    </row>
    <row r="13" spans="2:21" ht="15" customHeight="1">
      <c r="B13" s="148" t="s">
        <v>18</v>
      </c>
      <c r="C13" s="455">
        <f>31200*(2.72%+1)</f>
        <v>32048.640000000003</v>
      </c>
      <c r="D13" s="456" t="s">
        <v>24</v>
      </c>
      <c r="E13" s="146"/>
      <c r="F13" s="146"/>
      <c r="G13" s="152"/>
      <c r="H13" s="175"/>
      <c r="I13" s="92" t="s">
        <v>19</v>
      </c>
      <c r="J13" s="31"/>
      <c r="K13" s="86">
        <f>SUM(K5:K12)</f>
        <v>36.183503999999999</v>
      </c>
      <c r="L13" s="93">
        <f>SUM(L5:L12)</f>
        <v>1382200.2347748475</v>
      </c>
      <c r="M13" s="164"/>
      <c r="N13" s="208" t="str">
        <f>I26</f>
        <v>FY20 Rate Review CAF</v>
      </c>
      <c r="O13" s="206">
        <f>C35</f>
        <v>1.8120393120392975E-2</v>
      </c>
      <c r="P13" s="207"/>
      <c r="Q13" s="209">
        <f>Q12*(O13+1)</f>
        <v>99209.200871890847</v>
      </c>
      <c r="R13" s="171"/>
      <c r="T13" s="26"/>
    </row>
    <row r="14" spans="2:21" ht="15" customHeight="1" thickBot="1">
      <c r="B14" s="527" t="s">
        <v>20</v>
      </c>
      <c r="C14" s="528"/>
      <c r="D14" s="457"/>
      <c r="E14" s="156"/>
      <c r="F14" s="156"/>
      <c r="G14" s="158"/>
      <c r="H14" s="175"/>
      <c r="I14" s="94"/>
      <c r="J14" s="27"/>
      <c r="K14" s="87"/>
      <c r="L14" s="95"/>
      <c r="M14" s="164"/>
      <c r="N14" s="188" t="str">
        <f>B32</f>
        <v>PFMLA Trust Contribution</v>
      </c>
      <c r="O14" s="192">
        <f>J27</f>
        <v>6.3E-3</v>
      </c>
      <c r="P14" s="189"/>
      <c r="Q14" s="193">
        <f>Q7*(O13+1)*O14</f>
        <v>458.59126185331695</v>
      </c>
      <c r="R14" s="171"/>
      <c r="S14" s="171"/>
      <c r="T14" s="30"/>
    </row>
    <row r="15" spans="2:21" ht="15" customHeight="1" thickTop="1">
      <c r="B15" s="32" t="s">
        <v>8</v>
      </c>
      <c r="C15" s="458">
        <v>1</v>
      </c>
      <c r="D15" s="459" t="s">
        <v>174</v>
      </c>
      <c r="E15" s="160"/>
      <c r="F15" s="160"/>
      <c r="G15" s="161"/>
      <c r="H15" s="175"/>
      <c r="I15" s="35" t="s">
        <v>21</v>
      </c>
      <c r="J15" s="33">
        <f>C26</f>
        <v>0.21709999999999999</v>
      </c>
      <c r="K15" s="34"/>
      <c r="L15" s="38">
        <f>J15*L13</f>
        <v>300075.67096961936</v>
      </c>
      <c r="M15" s="164"/>
      <c r="N15" s="200" t="s">
        <v>33</v>
      </c>
      <c r="O15" s="180"/>
      <c r="P15" s="30"/>
      <c r="Q15" s="201">
        <f>Q13+Q14</f>
        <v>99667.792133744166</v>
      </c>
      <c r="R15" s="171"/>
      <c r="S15" s="171"/>
      <c r="T15" s="17"/>
    </row>
    <row r="16" spans="2:21" ht="15" customHeight="1">
      <c r="B16" s="97" t="s">
        <v>10</v>
      </c>
      <c r="C16" s="458">
        <v>1</v>
      </c>
      <c r="D16" s="460" t="s">
        <v>174</v>
      </c>
      <c r="E16" s="146"/>
      <c r="F16" s="146"/>
      <c r="G16" s="152"/>
      <c r="H16" s="175"/>
      <c r="I16" s="37" t="s">
        <v>22</v>
      </c>
      <c r="J16" s="40"/>
      <c r="K16" s="36"/>
      <c r="L16" s="41">
        <f>SUM(L13+L15)</f>
        <v>1682275.9057444669</v>
      </c>
      <c r="M16" s="164"/>
      <c r="N16" s="186" t="s">
        <v>52</v>
      </c>
      <c r="O16" s="187"/>
      <c r="P16" s="181"/>
      <c r="Q16" s="202">
        <f>Q15/Q3</f>
        <v>9.1020814734012934</v>
      </c>
      <c r="R16" s="171"/>
      <c r="S16" s="171"/>
      <c r="T16" s="26"/>
    </row>
    <row r="17" spans="2:23" ht="15" customHeight="1" thickBot="1">
      <c r="B17" s="454" t="s">
        <v>11</v>
      </c>
      <c r="C17" s="458">
        <v>2.4</v>
      </c>
      <c r="D17" s="460" t="s">
        <v>174</v>
      </c>
      <c r="E17" s="146"/>
      <c r="F17" s="146"/>
      <c r="G17" s="152"/>
      <c r="H17" s="175"/>
      <c r="I17" s="29"/>
      <c r="J17" s="45"/>
      <c r="K17" s="39" t="s">
        <v>23</v>
      </c>
      <c r="L17" s="46"/>
      <c r="M17" s="164"/>
      <c r="N17" s="197" t="str">
        <f>B34</f>
        <v>Updated Utilization Rate</v>
      </c>
      <c r="O17" s="198">
        <f>C34</f>
        <v>0.87543000000000004</v>
      </c>
      <c r="P17" s="199"/>
      <c r="Q17" s="203">
        <f>Q16/O17</f>
        <v>10.397269311539807</v>
      </c>
      <c r="R17" s="171"/>
      <c r="S17" s="171"/>
      <c r="T17" s="14"/>
    </row>
    <row r="18" spans="2:23" ht="15" customHeight="1">
      <c r="B18" s="454" t="s">
        <v>12</v>
      </c>
      <c r="C18" s="458">
        <v>1</v>
      </c>
      <c r="D18" s="460" t="s">
        <v>24</v>
      </c>
      <c r="E18" s="146"/>
      <c r="F18" s="146"/>
      <c r="G18" s="152"/>
      <c r="H18" s="175"/>
      <c r="I18" s="43" t="str">
        <f>B27</f>
        <v>Consultant, per bed day</v>
      </c>
      <c r="J18" s="30"/>
      <c r="K18" s="49">
        <f>C27</f>
        <v>2.4361061365093528</v>
      </c>
      <c r="L18" s="48">
        <f>K18*$L$3</f>
        <v>26675.362194777412</v>
      </c>
      <c r="M18" s="164"/>
      <c r="N18" s="163"/>
      <c r="O18" s="163"/>
      <c r="P18" s="163"/>
      <c r="Q18" s="163"/>
      <c r="R18" s="171"/>
      <c r="S18" s="171"/>
      <c r="T18" s="44"/>
    </row>
    <row r="19" spans="2:23" ht="15" customHeight="1">
      <c r="B19" s="454" t="s">
        <v>64</v>
      </c>
      <c r="C19" s="458">
        <v>0.5</v>
      </c>
      <c r="D19" s="460" t="s">
        <v>24</v>
      </c>
      <c r="E19" s="146"/>
      <c r="F19" s="146"/>
      <c r="G19" s="152"/>
      <c r="H19" s="175"/>
      <c r="I19" s="43" t="str">
        <f>B28</f>
        <v>Occupancy, per bed day</v>
      </c>
      <c r="J19" s="30"/>
      <c r="K19" s="49">
        <f>C28</f>
        <v>18.458784000000001</v>
      </c>
      <c r="L19" s="48">
        <f>K19*$L$3</f>
        <v>202123.68480000002</v>
      </c>
      <c r="M19" s="164"/>
      <c r="N19" s="170"/>
      <c r="O19" s="163"/>
      <c r="P19" s="60"/>
      <c r="Q19" s="60"/>
      <c r="R19" s="171"/>
      <c r="S19" s="171"/>
      <c r="T19" s="44"/>
    </row>
    <row r="20" spans="2:23" ht="15" customHeight="1">
      <c r="B20" s="96" t="s">
        <v>14</v>
      </c>
      <c r="C20" s="458">
        <v>9.9499999999999993</v>
      </c>
      <c r="D20" s="460" t="s">
        <v>174</v>
      </c>
      <c r="E20" s="146"/>
      <c r="F20" s="146"/>
      <c r="G20" s="152"/>
      <c r="H20" s="175"/>
      <c r="I20" s="43" t="str">
        <f>B29</f>
        <v>Meals, per bed-day</v>
      </c>
      <c r="J20" s="30"/>
      <c r="K20" s="49">
        <f>C29</f>
        <v>12.713089688188882</v>
      </c>
      <c r="L20" s="48">
        <f>K20*$L$3</f>
        <v>139208.33208566825</v>
      </c>
      <c r="M20" s="164"/>
      <c r="N20" s="170"/>
      <c r="O20" s="163"/>
      <c r="P20" s="60"/>
      <c r="Q20" s="417"/>
      <c r="R20" s="171"/>
      <c r="S20" s="171"/>
      <c r="T20" s="44"/>
    </row>
    <row r="21" spans="2:23" ht="15" customHeight="1">
      <c r="B21" s="96" t="s">
        <v>15</v>
      </c>
      <c r="C21" s="458">
        <v>2.5099999999999998</v>
      </c>
      <c r="D21" s="460" t="s">
        <v>174</v>
      </c>
      <c r="E21" s="146"/>
      <c r="F21" s="146"/>
      <c r="G21" s="152"/>
      <c r="H21" s="175"/>
      <c r="I21" s="43" t="str">
        <f>B30</f>
        <v>Transportation, per bed day</v>
      </c>
      <c r="J21" s="30"/>
      <c r="K21" s="49">
        <f>C30</f>
        <v>1.7926879413129051</v>
      </c>
      <c r="L21" s="48">
        <f>K21*$L$3</f>
        <v>19629.93295737631</v>
      </c>
      <c r="M21" s="164"/>
      <c r="N21" s="170"/>
      <c r="O21" s="163"/>
      <c r="P21" s="163"/>
      <c r="Q21" s="170"/>
      <c r="R21" s="171"/>
      <c r="S21" s="171"/>
      <c r="T21" s="44"/>
      <c r="U21" s="163"/>
      <c r="V21" s="163"/>
      <c r="W21" s="138"/>
    </row>
    <row r="22" spans="2:23" ht="15" customHeight="1">
      <c r="B22" s="96" t="s">
        <v>16</v>
      </c>
      <c r="C22" s="458">
        <f>10.62+1</f>
        <v>11.62</v>
      </c>
      <c r="D22" s="460" t="s">
        <v>174</v>
      </c>
      <c r="E22" s="146"/>
      <c r="F22" s="146"/>
      <c r="G22" s="152"/>
      <c r="H22" s="175"/>
      <c r="I22" s="43" t="str">
        <f>B31</f>
        <v>Other Program Expense, per bed day</v>
      </c>
      <c r="J22" s="30"/>
      <c r="K22" s="49">
        <f>C31</f>
        <v>4.6054437321358481</v>
      </c>
      <c r="L22" s="48">
        <f>K22*$L$3</f>
        <v>50429.608866887538</v>
      </c>
      <c r="M22" s="164"/>
      <c r="N22" s="170"/>
      <c r="O22" s="163"/>
      <c r="P22" s="163"/>
      <c r="Q22" s="163"/>
      <c r="R22" s="171"/>
      <c r="S22" s="171"/>
      <c r="T22" s="44"/>
    </row>
    <row r="23" spans="2:23" ht="15" customHeight="1">
      <c r="B23" s="96" t="s">
        <v>17</v>
      </c>
      <c r="C23" s="458">
        <v>4</v>
      </c>
      <c r="D23" s="460" t="s">
        <v>174</v>
      </c>
      <c r="E23" s="146"/>
      <c r="F23" s="146"/>
      <c r="G23" s="152"/>
      <c r="H23" s="175"/>
      <c r="I23" s="37" t="s">
        <v>27</v>
      </c>
      <c r="J23" s="52"/>
      <c r="K23" s="50"/>
      <c r="L23" s="53">
        <f>SUM(L16:L22)</f>
        <v>2120342.8266491764</v>
      </c>
      <c r="M23" s="164"/>
      <c r="N23" s="170"/>
      <c r="O23" s="163"/>
      <c r="P23" s="163"/>
      <c r="Q23" s="163"/>
      <c r="R23" s="171"/>
      <c r="S23" s="171"/>
      <c r="T23" s="51"/>
    </row>
    <row r="24" spans="2:23" ht="15" customHeight="1">
      <c r="B24" s="461" t="s">
        <v>18</v>
      </c>
      <c r="C24" s="458">
        <f>15.38%*SUM(C20:C22)</f>
        <v>3.7035040000000001</v>
      </c>
      <c r="D24" s="462" t="s">
        <v>26</v>
      </c>
      <c r="E24" s="150"/>
      <c r="F24" s="150"/>
      <c r="G24" s="153"/>
      <c r="H24" s="175"/>
      <c r="I24" s="47" t="s">
        <v>31</v>
      </c>
      <c r="J24" s="54">
        <f>C33</f>
        <v>0.1198</v>
      </c>
      <c r="K24" s="55"/>
      <c r="L24" s="58">
        <f>L23*J24</f>
        <v>254017.07063257135</v>
      </c>
      <c r="M24" s="164"/>
      <c r="N24" s="164"/>
      <c r="O24" s="163"/>
      <c r="P24" s="163"/>
      <c r="Q24" s="163"/>
      <c r="R24" s="171"/>
      <c r="S24" s="171"/>
      <c r="T24" s="51"/>
    </row>
    <row r="25" spans="2:23" ht="15" customHeight="1" thickBot="1">
      <c r="B25" s="527" t="s">
        <v>28</v>
      </c>
      <c r="C25" s="528"/>
      <c r="D25" s="460"/>
      <c r="E25" s="3"/>
      <c r="F25" s="157"/>
      <c r="G25" s="159"/>
      <c r="H25" s="175"/>
      <c r="I25" s="215" t="s">
        <v>33</v>
      </c>
      <c r="J25" s="216"/>
      <c r="K25" s="182"/>
      <c r="L25" s="217">
        <f>SUM(L23:L24)</f>
        <v>2374359.8972817478</v>
      </c>
      <c r="M25" s="164"/>
      <c r="N25" s="144"/>
      <c r="O25" s="3"/>
      <c r="R25" s="171"/>
      <c r="S25" s="171"/>
      <c r="T25" s="56"/>
    </row>
    <row r="26" spans="2:23" ht="15" customHeight="1" thickTop="1">
      <c r="B26" s="463" t="s">
        <v>29</v>
      </c>
      <c r="C26" s="464">
        <v>0.21709999999999999</v>
      </c>
      <c r="D26" s="459" t="s">
        <v>30</v>
      </c>
      <c r="E26" s="160"/>
      <c r="F26" s="146"/>
      <c r="G26" s="152"/>
      <c r="H26" s="175"/>
      <c r="I26" s="212" t="str">
        <f>B35</f>
        <v>FY20 Rate Review CAF</v>
      </c>
      <c r="J26" s="194">
        <f>C35</f>
        <v>1.8120393120392975E-2</v>
      </c>
      <c r="K26" s="164"/>
      <c r="L26" s="196">
        <f>L25*(J26+1)</f>
        <v>2417384.2320297891</v>
      </c>
      <c r="M26" s="164"/>
      <c r="N26" s="2"/>
      <c r="O26" s="3"/>
      <c r="R26" s="171"/>
      <c r="S26" s="171"/>
      <c r="T26" s="57"/>
    </row>
    <row r="27" spans="2:23" ht="15" customHeight="1" thickBot="1">
      <c r="B27" s="454" t="s">
        <v>66</v>
      </c>
      <c r="C27" s="465">
        <f>2.37159865314384*(2.72%+1)</f>
        <v>2.4361061365093528</v>
      </c>
      <c r="D27" s="460" t="s">
        <v>32</v>
      </c>
      <c r="E27" s="146"/>
      <c r="F27" s="146"/>
      <c r="G27" s="152"/>
      <c r="H27" s="176"/>
      <c r="I27" s="213" t="str">
        <f>B32</f>
        <v>PFMLA Trust Contribution</v>
      </c>
      <c r="J27" s="210">
        <f>C32</f>
        <v>6.3E-3</v>
      </c>
      <c r="K27" s="211"/>
      <c r="L27" s="214">
        <f>L13*(J26+1)*J27</f>
        <v>8865.6513523204248</v>
      </c>
      <c r="M27" s="164"/>
      <c r="R27" s="171"/>
      <c r="S27" s="171"/>
      <c r="T27" s="59"/>
    </row>
    <row r="28" spans="2:23" ht="15" customHeight="1" thickTop="1">
      <c r="B28" s="98" t="s">
        <v>34</v>
      </c>
      <c r="C28" s="465">
        <f>17.97*(2.72%+1)</f>
        <v>18.458784000000001</v>
      </c>
      <c r="D28" s="456" t="s">
        <v>67</v>
      </c>
      <c r="E28" s="146"/>
      <c r="F28" s="146"/>
      <c r="G28" s="152"/>
      <c r="H28" s="176"/>
      <c r="I28" s="195" t="s">
        <v>33</v>
      </c>
      <c r="J28" s="194"/>
      <c r="K28" s="164"/>
      <c r="L28" s="196">
        <f>L26+L27</f>
        <v>2426249.8833821095</v>
      </c>
      <c r="M28" s="164"/>
      <c r="N28" s="177"/>
      <c r="P28" s="178"/>
      <c r="R28" s="171"/>
      <c r="S28" s="171"/>
      <c r="T28" s="62"/>
    </row>
    <row r="29" spans="2:23" ht="15" customHeight="1">
      <c r="B29" s="454" t="s">
        <v>25</v>
      </c>
      <c r="C29" s="289">
        <f>12.3764502416169*(2.72%+1)</f>
        <v>12.713089688188882</v>
      </c>
      <c r="D29" s="456" t="s">
        <v>67</v>
      </c>
      <c r="E29" s="146"/>
      <c r="F29" s="146"/>
      <c r="G29" s="152"/>
      <c r="H29" s="176"/>
      <c r="I29" s="186" t="s">
        <v>52</v>
      </c>
      <c r="J29" s="187"/>
      <c r="K29" s="181"/>
      <c r="L29" s="202">
        <f>L28/L3</f>
        <v>221.57533181571776</v>
      </c>
      <c r="M29" s="164"/>
      <c r="N29" s="144"/>
      <c r="O29" s="144"/>
      <c r="P29" s="179"/>
      <c r="R29" s="171"/>
      <c r="S29" s="171"/>
      <c r="T29" s="60"/>
    </row>
    <row r="30" spans="2:23" ht="15" customHeight="1" thickBot="1">
      <c r="B30" s="98" t="s">
        <v>68</v>
      </c>
      <c r="C30" s="289">
        <f>1.74521801140275*(2.72%+1)</f>
        <v>1.7926879413129051</v>
      </c>
      <c r="D30" s="456" t="s">
        <v>67</v>
      </c>
      <c r="E30" s="146"/>
      <c r="F30" s="146"/>
      <c r="G30" s="152"/>
      <c r="H30" s="176"/>
      <c r="I30" s="197" t="str">
        <f>B34</f>
        <v>Updated Utilization Rate</v>
      </c>
      <c r="J30" s="198">
        <f>C34</f>
        <v>0.87543000000000004</v>
      </c>
      <c r="K30" s="199"/>
      <c r="L30" s="203">
        <f>L29/J30</f>
        <v>253.10456783034365</v>
      </c>
      <c r="M30" s="164"/>
      <c r="N30" s="2"/>
      <c r="R30" s="171"/>
      <c r="S30" s="171"/>
    </row>
    <row r="31" spans="2:23" ht="15" customHeight="1">
      <c r="B31" s="61" t="s">
        <v>36</v>
      </c>
      <c r="C31" s="465">
        <f>4.48349272988303*(2.72%+1)</f>
        <v>4.6054437321358481</v>
      </c>
      <c r="D31" s="456" t="s">
        <v>32</v>
      </c>
      <c r="E31" s="146"/>
      <c r="F31" s="146"/>
      <c r="G31" s="152"/>
      <c r="H31" s="176"/>
      <c r="I31" s="415"/>
      <c r="J31" s="416"/>
      <c r="K31" s="60"/>
      <c r="L31" s="60"/>
      <c r="M31" s="164"/>
      <c r="N31" s="2"/>
      <c r="P31" s="3"/>
      <c r="Q31" s="171"/>
      <c r="R31" s="171"/>
      <c r="S31" s="171"/>
    </row>
    <row r="32" spans="2:23" ht="15" customHeight="1">
      <c r="B32" s="72" t="s">
        <v>191</v>
      </c>
      <c r="C32" s="472">
        <v>6.3E-3</v>
      </c>
      <c r="D32" s="71" t="s">
        <v>192</v>
      </c>
      <c r="E32" s="146"/>
      <c r="F32" s="146"/>
      <c r="G32" s="152"/>
      <c r="H32" s="175"/>
      <c r="I32" s="415"/>
      <c r="J32" s="416"/>
      <c r="K32" s="60"/>
      <c r="L32" s="60"/>
      <c r="M32" s="164"/>
      <c r="N32" s="2"/>
      <c r="P32" s="3"/>
      <c r="Q32" s="171"/>
      <c r="R32" s="171"/>
      <c r="S32" s="171"/>
    </row>
    <row r="33" spans="2:23" ht="15" customHeight="1">
      <c r="B33" s="466" t="s">
        <v>31</v>
      </c>
      <c r="C33" s="467">
        <v>0.1198</v>
      </c>
      <c r="D33" s="468" t="s">
        <v>175</v>
      </c>
      <c r="E33" s="150"/>
      <c r="F33" s="150"/>
      <c r="G33" s="153"/>
      <c r="H33" s="175"/>
      <c r="I33" s="415"/>
      <c r="J33" s="416"/>
      <c r="K33" s="60"/>
      <c r="L33" s="417"/>
      <c r="M33" s="164"/>
      <c r="N33" s="2"/>
      <c r="P33" s="3"/>
      <c r="Q33" s="171"/>
      <c r="R33" s="171"/>
    </row>
    <row r="34" spans="2:23" ht="15" customHeight="1">
      <c r="B34" s="463" t="s">
        <v>157</v>
      </c>
      <c r="C34" s="469">
        <v>0.87543000000000004</v>
      </c>
      <c r="D34" s="456" t="s">
        <v>67</v>
      </c>
      <c r="E34" s="146"/>
      <c r="F34" s="146"/>
      <c r="G34" s="152"/>
      <c r="H34" s="175"/>
      <c r="I34" s="415"/>
      <c r="J34" s="416"/>
      <c r="K34" s="60"/>
      <c r="L34" s="60"/>
      <c r="M34" s="164"/>
      <c r="N34" s="2"/>
      <c r="P34" s="3"/>
      <c r="Q34" s="171"/>
      <c r="R34" s="171"/>
    </row>
    <row r="35" spans="2:23" ht="15" customHeight="1" thickBot="1">
      <c r="B35" s="470" t="s">
        <v>176</v>
      </c>
      <c r="C35" s="473">
        <f>CAF!BT24</f>
        <v>1.8120393120392975E-2</v>
      </c>
      <c r="D35" s="471" t="s">
        <v>169</v>
      </c>
      <c r="E35" s="154"/>
      <c r="F35" s="154"/>
      <c r="G35" s="155"/>
      <c r="H35" s="175"/>
      <c r="I35" s="146"/>
      <c r="J35" s="3"/>
      <c r="K35" s="30"/>
      <c r="L35" s="143"/>
      <c r="M35" s="30"/>
      <c r="N35" s="30"/>
      <c r="O35" s="3"/>
      <c r="P35" s="3"/>
      <c r="Q35" s="171"/>
      <c r="R35" s="171"/>
    </row>
    <row r="36" spans="2:23" ht="15" customHeight="1">
      <c r="B36" s="146"/>
      <c r="C36" s="149"/>
      <c r="D36" s="146"/>
      <c r="E36" s="146"/>
      <c r="F36" s="146"/>
      <c r="G36" s="146"/>
      <c r="H36" s="146"/>
      <c r="I36" s="474"/>
      <c r="J36" s="165"/>
      <c r="K36" s="166"/>
      <c r="L36" s="166"/>
      <c r="M36" s="166"/>
      <c r="N36" s="165"/>
      <c r="O36" s="165"/>
      <c r="P36" s="3"/>
      <c r="Q36" s="171"/>
      <c r="R36" s="171"/>
    </row>
    <row r="37" spans="2:23" ht="15" customHeight="1">
      <c r="B37" s="146"/>
      <c r="C37" s="146"/>
      <c r="D37" s="146"/>
      <c r="F37" s="164"/>
      <c r="G37" s="42"/>
      <c r="H37" s="172"/>
      <c r="I37" s="167"/>
      <c r="J37" s="167"/>
      <c r="K37" s="166"/>
      <c r="L37" s="166"/>
      <c r="M37" s="166"/>
      <c r="N37" s="165"/>
      <c r="O37" s="165"/>
      <c r="P37" s="171"/>
      <c r="Q37" s="171"/>
      <c r="R37" s="173"/>
    </row>
    <row r="38" spans="2:23" ht="15" customHeight="1">
      <c r="I38" s="167"/>
      <c r="J38" s="167"/>
      <c r="K38" s="166"/>
      <c r="L38" s="166"/>
      <c r="M38" s="166"/>
      <c r="N38" s="165"/>
      <c r="O38" s="165"/>
      <c r="R38" s="131"/>
    </row>
    <row r="39" spans="2:23" ht="15" customHeight="1">
      <c r="I39" s="167"/>
      <c r="J39" s="165"/>
      <c r="K39" s="166"/>
      <c r="L39" s="166"/>
      <c r="M39" s="166"/>
      <c r="N39" s="165"/>
      <c r="O39" s="165"/>
      <c r="R39" s="131"/>
    </row>
    <row r="40" spans="2:23" ht="15" customHeight="1">
      <c r="I40" s="475"/>
      <c r="J40" s="167"/>
      <c r="K40" s="166"/>
      <c r="L40" s="166"/>
      <c r="M40" s="166"/>
      <c r="N40" s="165"/>
      <c r="O40" s="165"/>
      <c r="Q40" s="2" t="s">
        <v>158</v>
      </c>
      <c r="R40" s="131"/>
    </row>
    <row r="41" spans="2:23" ht="15" customHeight="1">
      <c r="I41" s="167"/>
      <c r="J41" s="168"/>
      <c r="K41" s="167"/>
      <c r="L41" s="169"/>
      <c r="M41" s="169"/>
      <c r="N41" s="165"/>
      <c r="O41" s="165"/>
      <c r="R41" s="131"/>
      <c r="T41" s="2"/>
      <c r="W41" s="2"/>
    </row>
    <row r="42" spans="2:23" ht="15" customHeight="1">
      <c r="I42" s="167"/>
      <c r="J42" s="167"/>
      <c r="K42" s="169"/>
      <c r="L42" s="169"/>
      <c r="M42" s="169"/>
      <c r="N42" s="165"/>
      <c r="O42" s="165"/>
      <c r="R42" s="131"/>
      <c r="T42" s="2"/>
      <c r="W42" s="2"/>
    </row>
    <row r="43" spans="2:23" ht="15" customHeight="1">
      <c r="I43" s="163"/>
      <c r="J43" s="163"/>
      <c r="K43" s="163"/>
      <c r="L43" s="163"/>
      <c r="M43" s="163"/>
      <c r="N43" s="163"/>
      <c r="O43" s="3"/>
      <c r="R43" s="131"/>
      <c r="T43" s="2"/>
      <c r="W43" s="2"/>
    </row>
    <row r="44" spans="2:23" ht="15" customHeight="1">
      <c r="K44" s="2"/>
      <c r="L44" s="2"/>
      <c r="M44" s="2"/>
      <c r="N44" s="2"/>
      <c r="O44" s="3"/>
      <c r="R44" s="131"/>
      <c r="T44" s="2"/>
      <c r="W44" s="2"/>
    </row>
    <row r="45" spans="2:23" ht="15" customHeight="1">
      <c r="K45" s="2"/>
      <c r="L45" s="2"/>
      <c r="M45" s="2"/>
      <c r="N45" s="2"/>
      <c r="O45" s="3"/>
      <c r="R45" s="131"/>
      <c r="T45" s="2"/>
      <c r="W45" s="2"/>
    </row>
    <row r="46" spans="2:23" ht="15" customHeight="1">
      <c r="K46" s="162"/>
      <c r="L46" s="144"/>
      <c r="M46" s="2"/>
      <c r="N46" s="2"/>
      <c r="O46" s="3"/>
      <c r="R46" s="131"/>
      <c r="T46" s="2"/>
      <c r="W46" s="2"/>
    </row>
    <row r="47" spans="2:23" ht="15" customHeight="1">
      <c r="K47" s="2"/>
      <c r="L47" s="2"/>
      <c r="M47" s="2"/>
      <c r="N47" s="2"/>
      <c r="O47" s="3"/>
      <c r="R47" s="131"/>
      <c r="T47" s="2"/>
      <c r="W47" s="2"/>
    </row>
    <row r="48" spans="2:23" ht="15" customHeight="1">
      <c r="K48" s="2"/>
      <c r="L48" s="144"/>
      <c r="M48" s="2"/>
      <c r="N48" s="2"/>
      <c r="O48" s="3"/>
      <c r="R48" s="131"/>
      <c r="T48" s="2"/>
      <c r="W48" s="2"/>
    </row>
    <row r="49" spans="11:23" ht="15" customHeight="1">
      <c r="K49" s="2"/>
      <c r="L49" s="144"/>
      <c r="M49" s="2"/>
      <c r="N49" s="2"/>
      <c r="O49" s="3"/>
      <c r="R49" s="131"/>
      <c r="T49" s="2"/>
      <c r="W49" s="2"/>
    </row>
    <row r="50" spans="11:23" ht="15" customHeight="1">
      <c r="K50" s="2"/>
      <c r="L50" s="2"/>
      <c r="M50" s="2"/>
      <c r="N50" s="2"/>
      <c r="O50" s="3"/>
      <c r="R50" s="131"/>
      <c r="T50" s="2"/>
      <c r="W50" s="2"/>
    </row>
    <row r="51" spans="11:23" ht="15" customHeight="1">
      <c r="K51" s="2"/>
      <c r="L51" s="144"/>
      <c r="M51" s="2"/>
      <c r="N51" s="2"/>
      <c r="O51" s="3"/>
      <c r="R51" s="131"/>
      <c r="T51" s="2"/>
      <c r="W51" s="2"/>
    </row>
    <row r="52" spans="11:23" ht="15" customHeight="1">
      <c r="K52" s="2"/>
      <c r="L52" s="144"/>
      <c r="M52" s="2"/>
      <c r="N52" s="2"/>
      <c r="O52" s="3"/>
      <c r="R52" s="131"/>
      <c r="T52" s="2"/>
      <c r="W52" s="2"/>
    </row>
    <row r="53" spans="11:23" ht="15" customHeight="1">
      <c r="K53" s="2"/>
      <c r="L53" s="144"/>
      <c r="M53" s="2"/>
      <c r="N53" s="2"/>
      <c r="O53" s="3"/>
      <c r="R53" s="131"/>
      <c r="T53" s="2"/>
      <c r="W53" s="2"/>
    </row>
    <row r="54" spans="11:23" ht="15" customHeight="1">
      <c r="K54" s="2"/>
      <c r="L54" s="144"/>
      <c r="M54" s="2"/>
      <c r="N54" s="2"/>
      <c r="O54" s="3"/>
      <c r="R54" s="131"/>
      <c r="T54" s="2"/>
      <c r="W54" s="2"/>
    </row>
    <row r="55" spans="11:23" ht="15" customHeight="1">
      <c r="K55" s="2"/>
      <c r="L55" s="144"/>
      <c r="M55" s="2"/>
      <c r="N55" s="2"/>
      <c r="O55" s="3"/>
      <c r="R55" s="131"/>
      <c r="T55" s="2"/>
      <c r="W55" s="2"/>
    </row>
    <row r="56" spans="11:23" ht="15" customHeight="1">
      <c r="K56" s="2"/>
      <c r="L56" s="2"/>
      <c r="M56" s="2"/>
      <c r="N56" s="2"/>
      <c r="O56" s="3"/>
      <c r="R56" s="131"/>
      <c r="T56" s="2"/>
      <c r="W56" s="2"/>
    </row>
    <row r="57" spans="11:23" ht="15" customHeight="1">
      <c r="K57" s="3"/>
      <c r="L57" s="2"/>
      <c r="M57" s="2"/>
      <c r="N57" s="2"/>
      <c r="O57" s="3"/>
      <c r="R57" s="131"/>
      <c r="T57" s="2"/>
      <c r="W57" s="2"/>
    </row>
    <row r="58" spans="11:23" ht="15" customHeight="1">
      <c r="K58" s="3"/>
      <c r="L58" s="2"/>
      <c r="M58" s="2"/>
      <c r="N58" s="2"/>
      <c r="O58" s="3"/>
      <c r="R58" s="131"/>
      <c r="T58" s="2"/>
      <c r="W58" s="2"/>
    </row>
    <row r="59" spans="11:23" ht="15" customHeight="1">
      <c r="K59" s="3"/>
      <c r="L59" s="2"/>
      <c r="M59" s="2"/>
      <c r="N59" s="2"/>
      <c r="O59" s="3"/>
      <c r="R59" s="131"/>
      <c r="T59" s="2"/>
      <c r="W59" s="2"/>
    </row>
    <row r="60" spans="11:23" ht="15" customHeight="1">
      <c r="K60" s="3"/>
      <c r="L60" s="2"/>
      <c r="M60" s="2"/>
      <c r="N60" s="2"/>
      <c r="O60" s="3"/>
      <c r="R60" s="131"/>
      <c r="T60" s="2"/>
      <c r="W60" s="2"/>
    </row>
    <row r="61" spans="11:23" ht="15" customHeight="1">
      <c r="K61" s="3"/>
      <c r="L61" s="2"/>
      <c r="M61" s="2"/>
      <c r="N61" s="2"/>
      <c r="O61" s="3"/>
      <c r="T61" s="2"/>
      <c r="W61" s="2"/>
    </row>
    <row r="62" spans="11:23" ht="15" customHeight="1">
      <c r="K62" s="3"/>
      <c r="L62" s="2"/>
      <c r="M62" s="2"/>
      <c r="N62" s="2"/>
      <c r="O62" s="3"/>
      <c r="T62" s="2"/>
      <c r="W62" s="2"/>
    </row>
    <row r="63" spans="11:23" ht="15" customHeight="1">
      <c r="K63" s="163"/>
      <c r="L63" s="3"/>
      <c r="M63" s="2"/>
      <c r="N63" s="2"/>
      <c r="O63" s="3"/>
      <c r="T63" s="2"/>
      <c r="W63" s="2"/>
    </row>
    <row r="64" spans="11:23" ht="15" customHeight="1">
      <c r="K64" s="131"/>
      <c r="L64" s="2"/>
      <c r="M64" s="2"/>
      <c r="N64" s="131"/>
      <c r="T64" s="2"/>
      <c r="W64" s="2"/>
    </row>
    <row r="65" spans="3:23" ht="15" customHeight="1">
      <c r="K65" s="131"/>
      <c r="L65" s="2"/>
      <c r="M65" s="2"/>
      <c r="N65" s="131"/>
      <c r="T65" s="2"/>
      <c r="W65" s="2"/>
    </row>
    <row r="66" spans="3:23" ht="15" customHeight="1">
      <c r="K66" s="2"/>
      <c r="L66" s="3"/>
      <c r="M66" s="2"/>
      <c r="N66" s="131"/>
      <c r="T66" s="2"/>
      <c r="W66" s="2"/>
    </row>
    <row r="67" spans="3:23" ht="15" customHeight="1">
      <c r="F67" s="163"/>
      <c r="K67" s="2"/>
      <c r="L67" s="3"/>
      <c r="M67" s="2"/>
      <c r="N67" s="131"/>
      <c r="T67" s="2"/>
      <c r="W67" s="2"/>
    </row>
    <row r="68" spans="3:23" ht="15" customHeight="1">
      <c r="C68" s="42"/>
      <c r="L68" s="2"/>
      <c r="M68" s="2"/>
      <c r="N68" s="131"/>
      <c r="T68" s="2"/>
      <c r="W68" s="2"/>
    </row>
    <row r="69" spans="3:23" ht="15" customHeight="1">
      <c r="C69" s="42"/>
      <c r="L69" s="2"/>
      <c r="M69" s="2"/>
      <c r="N69" s="131"/>
      <c r="T69" s="2"/>
      <c r="W69" s="2"/>
    </row>
    <row r="70" spans="3:23" ht="15" customHeight="1">
      <c r="D70" s="144"/>
      <c r="L70" s="2"/>
      <c r="M70" s="2"/>
      <c r="N70" s="2"/>
      <c r="O70" s="131"/>
      <c r="T70" s="2"/>
      <c r="W70" s="2"/>
    </row>
    <row r="71" spans="3:23" ht="15" customHeight="1">
      <c r="F71" s="144"/>
      <c r="L71" s="2"/>
      <c r="M71" s="2"/>
      <c r="N71" s="2"/>
      <c r="T71" s="2"/>
      <c r="W71" s="2"/>
    </row>
    <row r="72" spans="3:23" ht="15" customHeight="1">
      <c r="M72" s="2"/>
      <c r="N72" s="2"/>
      <c r="P72" s="3"/>
      <c r="S72" s="131"/>
      <c r="T72" s="2"/>
      <c r="W72" s="2"/>
    </row>
    <row r="73" spans="3:23" ht="15" customHeight="1">
      <c r="M73" s="2"/>
      <c r="N73" s="2"/>
      <c r="O73" s="131"/>
      <c r="P73" s="3"/>
      <c r="S73" s="131"/>
      <c r="T73" s="2"/>
      <c r="W73" s="2"/>
    </row>
    <row r="74" spans="3:23" ht="15" customHeight="1">
      <c r="M74" s="2"/>
      <c r="N74" s="2"/>
      <c r="O74" s="131"/>
      <c r="P74" s="3"/>
      <c r="S74" s="131"/>
      <c r="T74" s="2"/>
      <c r="W74" s="2"/>
    </row>
    <row r="75" spans="3:23" ht="15" customHeight="1">
      <c r="M75" s="2"/>
      <c r="N75" s="2"/>
      <c r="P75" s="3"/>
      <c r="S75" s="131"/>
      <c r="T75" s="2"/>
      <c r="W75" s="2"/>
    </row>
    <row r="76" spans="3:23" ht="15" customHeight="1">
      <c r="M76" s="2"/>
      <c r="N76" s="2"/>
    </row>
    <row r="77" spans="3:23" ht="15" customHeight="1">
      <c r="M77" s="2"/>
      <c r="N77" s="2"/>
    </row>
    <row r="78" spans="3:23" ht="15" customHeight="1">
      <c r="M78" s="2"/>
      <c r="N78" s="2"/>
    </row>
  </sheetData>
  <mergeCells count="7">
    <mergeCell ref="B2:G2"/>
    <mergeCell ref="D3:G3"/>
    <mergeCell ref="N2:Q2"/>
    <mergeCell ref="B25:C25"/>
    <mergeCell ref="I2:L2"/>
    <mergeCell ref="B3:C3"/>
    <mergeCell ref="B14:C14"/>
  </mergeCells>
  <pageMargins left="0.2" right="0.2" top="0.25" bottom="0.25" header="0.3" footer="0.3"/>
  <pageSetup scale="59" orientation="landscape" r:id="rId1"/>
  <ignoredErrors>
    <ignoredError sqref="C2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zoomScale="85" zoomScaleNormal="85" workbookViewId="0">
      <selection activeCell="D30" sqref="D30"/>
    </sheetView>
  </sheetViews>
  <sheetFormatPr defaultColWidth="9.140625" defaultRowHeight="15.75"/>
  <cols>
    <col min="1" max="1" width="4.140625" style="83" customWidth="1"/>
    <col min="2" max="2" width="37.140625" style="83" bestFit="1" customWidth="1"/>
    <col min="3" max="3" width="10.7109375" style="83" customWidth="1"/>
    <col min="4" max="4" width="56.7109375" style="83" customWidth="1"/>
    <col min="5" max="5" width="3.7109375" style="83" customWidth="1"/>
    <col min="6" max="6" width="24.85546875" style="67" customWidth="1"/>
    <col min="7" max="7" width="15" style="67" customWidth="1"/>
    <col min="8" max="8" width="12.7109375" style="67" customWidth="1"/>
    <col min="9" max="9" width="16.7109375" style="67" customWidth="1"/>
    <col min="10" max="10" width="30.28515625" style="67" customWidth="1"/>
    <col min="11" max="11" width="12.7109375" style="67" customWidth="1"/>
    <col min="12" max="12" width="10.7109375" style="67" customWidth="1"/>
    <col min="13" max="13" width="12.7109375" style="67" customWidth="1"/>
    <col min="14" max="14" width="6.140625" style="67" customWidth="1"/>
    <col min="15" max="15" width="30.140625" style="67" customWidth="1"/>
    <col min="16" max="16" width="12.7109375" style="67" customWidth="1"/>
    <col min="17" max="17" width="13.5703125" style="67" customWidth="1"/>
    <col min="18" max="18" width="14.5703125" style="67" customWidth="1"/>
    <col min="19" max="19" width="3.28515625" style="73" customWidth="1"/>
    <col min="20" max="20" width="30.140625" style="67" customWidth="1"/>
    <col min="21" max="21" width="12.7109375" style="67" customWidth="1"/>
    <col min="22" max="22" width="13.5703125" style="67" customWidth="1"/>
    <col min="23" max="23" width="14.5703125" style="67" customWidth="1"/>
    <col min="24" max="24" width="6" style="67" customWidth="1"/>
    <col min="25" max="25" width="29.28515625" style="67" customWidth="1"/>
    <col min="26" max="26" width="12" style="67" customWidth="1"/>
    <col min="27" max="27" width="56.42578125" style="67" customWidth="1"/>
    <col min="28" max="16384" width="9.140625" style="67"/>
  </cols>
  <sheetData>
    <row r="1" spans="1:19" ht="15.95" customHeight="1" thickBot="1">
      <c r="A1" s="73"/>
      <c r="B1" s="293"/>
      <c r="C1" s="293"/>
      <c r="D1" s="293"/>
      <c r="E1" s="293"/>
      <c r="F1" s="253"/>
      <c r="G1" s="232"/>
      <c r="H1" s="232"/>
      <c r="I1" s="232"/>
      <c r="J1" s="232"/>
    </row>
    <row r="2" spans="1:19" ht="15.95" customHeight="1" thickBot="1">
      <c r="A2" s="73"/>
      <c r="B2" s="536" t="s">
        <v>53</v>
      </c>
      <c r="C2" s="537"/>
      <c r="D2" s="538"/>
      <c r="E2" s="293"/>
      <c r="F2" s="533" t="s">
        <v>69</v>
      </c>
      <c r="G2" s="534"/>
      <c r="H2" s="534"/>
      <c r="I2" s="535"/>
      <c r="J2" s="232"/>
      <c r="O2" s="73"/>
      <c r="S2" s="67"/>
    </row>
    <row r="3" spans="1:19" ht="15.95" customHeight="1">
      <c r="A3" s="73"/>
      <c r="B3" s="529" t="s">
        <v>3</v>
      </c>
      <c r="C3" s="530"/>
      <c r="D3" s="323" t="s">
        <v>4</v>
      </c>
      <c r="E3" s="293"/>
      <c r="F3" s="324" t="s">
        <v>54</v>
      </c>
      <c r="G3" s="325">
        <v>33</v>
      </c>
      <c r="H3" s="258" t="s">
        <v>2</v>
      </c>
      <c r="I3" s="326">
        <v>12045</v>
      </c>
      <c r="J3" s="232"/>
      <c r="O3" s="73"/>
      <c r="S3" s="67"/>
    </row>
    <row r="4" spans="1:19" ht="15.95" customHeight="1">
      <c r="A4" s="67"/>
      <c r="B4" s="327" t="s">
        <v>55</v>
      </c>
      <c r="C4" s="476">
        <f>56899.6050031618*(2.72%+1)</f>
        <v>58447.27425924781</v>
      </c>
      <c r="D4" s="328" t="s">
        <v>9</v>
      </c>
      <c r="E4" s="329"/>
      <c r="F4" s="330"/>
      <c r="G4" s="331" t="s">
        <v>5</v>
      </c>
      <c r="H4" s="332" t="s">
        <v>6</v>
      </c>
      <c r="I4" s="333" t="s">
        <v>7</v>
      </c>
      <c r="J4" s="232"/>
      <c r="O4" s="73"/>
      <c r="S4" s="67"/>
    </row>
    <row r="5" spans="1:19" ht="15.95" customHeight="1">
      <c r="A5" s="67"/>
      <c r="B5" s="99" t="s">
        <v>11</v>
      </c>
      <c r="C5" s="476">
        <f>60078.5540375671*(2.72%+1)</f>
        <v>61712.690707388931</v>
      </c>
      <c r="D5" s="334" t="s">
        <v>9</v>
      </c>
      <c r="E5" s="329"/>
      <c r="F5" s="18" t="s">
        <v>55</v>
      </c>
      <c r="G5" s="335">
        <f t="shared" ref="G5:G10" si="0">C4</f>
        <v>58447.27425924781</v>
      </c>
      <c r="H5" s="336">
        <f>C11</f>
        <v>1</v>
      </c>
      <c r="I5" s="23">
        <f>G5*H5</f>
        <v>58447.27425924781</v>
      </c>
      <c r="J5" s="232"/>
      <c r="O5" s="73"/>
      <c r="S5" s="67"/>
    </row>
    <row r="6" spans="1:19" ht="15.95" customHeight="1">
      <c r="A6" s="67"/>
      <c r="B6" s="99" t="s">
        <v>10</v>
      </c>
      <c r="C6" s="476">
        <f>60362*(2.72%+1)</f>
        <v>62003.846400000009</v>
      </c>
      <c r="D6" s="337" t="s">
        <v>56</v>
      </c>
      <c r="E6" s="329"/>
      <c r="F6" s="99" t="s">
        <v>11</v>
      </c>
      <c r="G6" s="335">
        <f t="shared" si="0"/>
        <v>61712.690707388931</v>
      </c>
      <c r="H6" s="336">
        <f>C13</f>
        <v>0.8</v>
      </c>
      <c r="I6" s="23">
        <f>G6*H6</f>
        <v>49370.15256591115</v>
      </c>
      <c r="J6" s="232"/>
      <c r="O6" s="73"/>
      <c r="S6" s="67"/>
    </row>
    <row r="7" spans="1:19" ht="15.95" customHeight="1">
      <c r="A7" s="67"/>
      <c r="B7" s="477" t="s">
        <v>166</v>
      </c>
      <c r="C7" s="476">
        <f>31200*(2.72%+1)</f>
        <v>32048.640000000003</v>
      </c>
      <c r="D7" s="337" t="s">
        <v>24</v>
      </c>
      <c r="E7" s="329"/>
      <c r="F7" s="99" t="s">
        <v>57</v>
      </c>
      <c r="G7" s="335">
        <f t="shared" si="0"/>
        <v>62003.846400000009</v>
      </c>
      <c r="H7" s="336">
        <f>C12</f>
        <v>1</v>
      </c>
      <c r="I7" s="23">
        <f>G7*H7</f>
        <v>62003.846400000009</v>
      </c>
      <c r="J7" s="232"/>
      <c r="O7" s="73"/>
      <c r="S7" s="67"/>
    </row>
    <row r="8" spans="1:19" ht="15.95" customHeight="1">
      <c r="A8" s="67"/>
      <c r="B8" s="445" t="s">
        <v>164</v>
      </c>
      <c r="C8" s="476">
        <f>31200*(2.72%+1)</f>
        <v>32048.640000000003</v>
      </c>
      <c r="D8" s="337" t="s">
        <v>165</v>
      </c>
      <c r="E8" s="329"/>
      <c r="F8" s="25" t="str">
        <f>B7</f>
        <v>Direct Care</v>
      </c>
      <c r="G8" s="335">
        <f t="shared" si="0"/>
        <v>32048.640000000003</v>
      </c>
      <c r="H8" s="336">
        <f>C14</f>
        <v>20.399999999999999</v>
      </c>
      <c r="I8" s="23">
        <f t="shared" ref="I8:I10" si="1">G8*H8</f>
        <v>653792.25600000005</v>
      </c>
      <c r="J8" s="232"/>
      <c r="O8" s="73"/>
      <c r="S8" s="67"/>
    </row>
    <row r="9" spans="1:19" ht="15.95" customHeight="1">
      <c r="A9" s="67"/>
      <c r="B9" s="445" t="s">
        <v>40</v>
      </c>
      <c r="C9" s="478">
        <f>30374*(2.72%+1)</f>
        <v>31200.172800000004</v>
      </c>
      <c r="D9" s="446" t="s">
        <v>9</v>
      </c>
      <c r="E9" s="329"/>
      <c r="F9" s="340" t="str">
        <f>B8</f>
        <v>Relief</v>
      </c>
      <c r="G9" s="335">
        <f t="shared" si="0"/>
        <v>32048.640000000003</v>
      </c>
      <c r="H9" s="336">
        <f>C16</f>
        <v>3.1375200000000003</v>
      </c>
      <c r="I9" s="23">
        <f>G9*H9</f>
        <v>100553.24897280002</v>
      </c>
      <c r="J9" s="232"/>
      <c r="O9" s="73"/>
      <c r="S9" s="67"/>
    </row>
    <row r="10" spans="1:19" ht="15.95" customHeight="1">
      <c r="A10" s="67"/>
      <c r="B10" s="529" t="s">
        <v>20</v>
      </c>
      <c r="C10" s="530"/>
      <c r="D10" s="341"/>
      <c r="E10" s="232"/>
      <c r="F10" s="339" t="s">
        <v>40</v>
      </c>
      <c r="G10" s="342">
        <f t="shared" si="0"/>
        <v>31200.172800000004</v>
      </c>
      <c r="H10" s="343">
        <f>C15</f>
        <v>4</v>
      </c>
      <c r="I10" s="91">
        <f t="shared" si="1"/>
        <v>124800.69120000002</v>
      </c>
      <c r="J10" s="232"/>
      <c r="O10" s="73"/>
      <c r="S10" s="67"/>
    </row>
    <row r="11" spans="1:19" ht="15.95" customHeight="1">
      <c r="A11" s="67"/>
      <c r="B11" s="327" t="s">
        <v>55</v>
      </c>
      <c r="C11" s="336">
        <v>1</v>
      </c>
      <c r="D11" s="337" t="s">
        <v>24</v>
      </c>
      <c r="E11" s="232"/>
      <c r="F11" s="273" t="s">
        <v>19</v>
      </c>
      <c r="G11" s="31"/>
      <c r="H11" s="275">
        <f>SUM(H5:H10)</f>
        <v>30.337519999999998</v>
      </c>
      <c r="I11" s="276">
        <f>SUM(I5:I10)</f>
        <v>1048967.4693979591</v>
      </c>
      <c r="J11" s="232"/>
      <c r="O11" s="73"/>
      <c r="S11" s="67"/>
    </row>
    <row r="12" spans="1:19" ht="15.95" customHeight="1">
      <c r="A12" s="67"/>
      <c r="B12" s="327" t="s">
        <v>10</v>
      </c>
      <c r="C12" s="336">
        <v>1</v>
      </c>
      <c r="D12" s="337" t="s">
        <v>24</v>
      </c>
      <c r="E12" s="232"/>
      <c r="F12" s="29"/>
      <c r="G12" s="27"/>
      <c r="H12" s="28"/>
      <c r="I12" s="278"/>
      <c r="J12" s="232"/>
      <c r="O12" s="73"/>
      <c r="S12" s="67"/>
    </row>
    <row r="13" spans="1:19" ht="15.95" customHeight="1">
      <c r="A13" s="67"/>
      <c r="B13" s="99" t="s">
        <v>11</v>
      </c>
      <c r="C13" s="336">
        <v>0.8</v>
      </c>
      <c r="D13" s="334" t="s">
        <v>171</v>
      </c>
      <c r="E13" s="232"/>
      <c r="F13" s="35" t="s">
        <v>21</v>
      </c>
      <c r="G13" s="33">
        <f>C18</f>
        <v>0.21833750650873651</v>
      </c>
      <c r="H13" s="34"/>
      <c r="I13" s="38">
        <f>G13*I11</f>
        <v>229028.94167712977</v>
      </c>
      <c r="J13" s="232"/>
      <c r="O13" s="73"/>
      <c r="S13" s="67"/>
    </row>
    <row r="14" spans="1:19" ht="15.95" customHeight="1">
      <c r="A14" s="67"/>
      <c r="B14" s="477" t="s">
        <v>168</v>
      </c>
      <c r="C14" s="336">
        <v>20.399999999999999</v>
      </c>
      <c r="D14" s="334" t="s">
        <v>171</v>
      </c>
      <c r="E14" s="232"/>
      <c r="F14" s="37" t="s">
        <v>22</v>
      </c>
      <c r="G14" s="344"/>
      <c r="H14" s="36"/>
      <c r="I14" s="41">
        <f>I11+I13</f>
        <v>1277996.4110750889</v>
      </c>
      <c r="J14" s="232"/>
      <c r="O14" s="73"/>
      <c r="S14" s="67"/>
    </row>
    <row r="15" spans="1:19" ht="15.95" customHeight="1">
      <c r="A15" s="67"/>
      <c r="B15" s="339" t="s">
        <v>40</v>
      </c>
      <c r="C15" s="343">
        <v>4</v>
      </c>
      <c r="D15" s="334" t="s">
        <v>171</v>
      </c>
      <c r="E15" s="232"/>
      <c r="F15" s="29"/>
      <c r="G15" s="287"/>
      <c r="H15" s="39" t="s">
        <v>23</v>
      </c>
      <c r="I15" s="46"/>
      <c r="J15" s="232"/>
      <c r="O15" s="73"/>
      <c r="S15" s="67"/>
    </row>
    <row r="16" spans="1:19" ht="15.95" customHeight="1">
      <c r="A16" s="67"/>
      <c r="B16" s="338" t="s">
        <v>164</v>
      </c>
      <c r="C16" s="343">
        <f>C14*15.38%</f>
        <v>3.1375200000000003</v>
      </c>
      <c r="D16" s="236" t="s">
        <v>167</v>
      </c>
      <c r="E16" s="232"/>
      <c r="F16" s="43" t="s">
        <v>58</v>
      </c>
      <c r="G16" s="164"/>
      <c r="H16" s="345">
        <f>C19</f>
        <v>13.291968000000001</v>
      </c>
      <c r="I16" s="48">
        <f>H16*I3</f>
        <v>160101.75456</v>
      </c>
      <c r="J16" s="232"/>
      <c r="O16" s="73"/>
      <c r="S16" s="67"/>
    </row>
    <row r="17" spans="1:21" ht="15.95" customHeight="1">
      <c r="A17" s="67"/>
      <c r="B17" s="531" t="s">
        <v>28</v>
      </c>
      <c r="C17" s="532"/>
      <c r="D17" s="346"/>
      <c r="E17" s="232"/>
      <c r="F17" s="347" t="s">
        <v>59</v>
      </c>
      <c r="G17" s="164"/>
      <c r="H17" s="348">
        <f>C20</f>
        <v>13.672032000000002</v>
      </c>
      <c r="I17" s="349">
        <f>H17*I3</f>
        <v>164679.62544000003</v>
      </c>
      <c r="J17" s="232"/>
      <c r="O17" s="73"/>
      <c r="S17" s="67"/>
    </row>
    <row r="18" spans="1:21" ht="15.95" customHeight="1">
      <c r="A18" s="67"/>
      <c r="B18" s="350" t="s">
        <v>29</v>
      </c>
      <c r="C18" s="479">
        <v>0.21833750650873651</v>
      </c>
      <c r="D18" s="328" t="s">
        <v>60</v>
      </c>
      <c r="E18" s="232"/>
      <c r="F18" s="351" t="s">
        <v>27</v>
      </c>
      <c r="G18" s="352"/>
      <c r="H18" s="353"/>
      <c r="I18" s="354">
        <f>SUM(I14:I17)</f>
        <v>1602777.791075089</v>
      </c>
      <c r="J18" s="232"/>
      <c r="O18" s="73"/>
      <c r="S18" s="67"/>
    </row>
    <row r="19" spans="1:21" ht="15.95" customHeight="1">
      <c r="A19" s="67"/>
      <c r="B19" s="247" t="s">
        <v>43</v>
      </c>
      <c r="C19" s="480">
        <f>12.94*(2.72%+1)</f>
        <v>13.291968000000001</v>
      </c>
      <c r="D19" s="334" t="s">
        <v>32</v>
      </c>
      <c r="E19" s="355"/>
      <c r="F19" s="356" t="s">
        <v>31</v>
      </c>
      <c r="G19" s="357">
        <f>C22</f>
        <v>0.1226</v>
      </c>
      <c r="H19" s="28"/>
      <c r="I19" s="358">
        <f>G19*I18</f>
        <v>196500.55718580593</v>
      </c>
      <c r="J19" s="232"/>
      <c r="O19" s="73"/>
      <c r="S19" s="67"/>
    </row>
    <row r="20" spans="1:21" ht="15.95" customHeight="1" thickBot="1">
      <c r="A20" s="67"/>
      <c r="B20" s="247" t="s">
        <v>61</v>
      </c>
      <c r="C20" s="480">
        <f>13.31*(2.72%+1)</f>
        <v>13.672032000000002</v>
      </c>
      <c r="D20" s="334" t="s">
        <v>32</v>
      </c>
      <c r="E20" s="355"/>
      <c r="F20" s="215" t="s">
        <v>33</v>
      </c>
      <c r="G20" s="216"/>
      <c r="H20" s="182"/>
      <c r="I20" s="217">
        <f>I18+I19</f>
        <v>1799278.3482608949</v>
      </c>
      <c r="J20" s="232"/>
      <c r="O20" s="73"/>
      <c r="S20" s="67"/>
    </row>
    <row r="21" spans="1:21" ht="15.95" customHeight="1" thickTop="1">
      <c r="A21" s="67"/>
      <c r="B21" s="243" t="s">
        <v>191</v>
      </c>
      <c r="C21" s="472">
        <v>6.3E-3</v>
      </c>
      <c r="D21" s="236" t="s">
        <v>194</v>
      </c>
      <c r="E21" s="232"/>
      <c r="F21" s="186" t="str">
        <f>B24</f>
        <v>FY 20 Rate Review CAF</v>
      </c>
      <c r="G21" s="187">
        <f>C24</f>
        <v>1.8120393120392975E-2</v>
      </c>
      <c r="H21" s="181"/>
      <c r="I21" s="306">
        <f>I20*(G21+1)</f>
        <v>1831881.9792643937</v>
      </c>
      <c r="J21" s="232"/>
      <c r="O21" s="73"/>
      <c r="S21" s="67"/>
    </row>
    <row r="22" spans="1:21" ht="15.95" customHeight="1" thickBot="1">
      <c r="A22" s="67"/>
      <c r="B22" s="359" t="s">
        <v>31</v>
      </c>
      <c r="C22" s="481">
        <v>0.1226</v>
      </c>
      <c r="D22" s="341" t="s">
        <v>60</v>
      </c>
      <c r="E22" s="232"/>
      <c r="F22" s="311" t="str">
        <f>B21</f>
        <v>PFMLA Trust Contribution</v>
      </c>
      <c r="G22" s="184">
        <f>C21</f>
        <v>6.3E-3</v>
      </c>
      <c r="H22" s="182"/>
      <c r="I22" s="312">
        <f>I11*(G21+1)*G22</f>
        <v>6728.2435855779104</v>
      </c>
      <c r="J22" s="232"/>
      <c r="O22" s="73"/>
      <c r="S22" s="67"/>
    </row>
    <row r="23" spans="1:21" ht="15.95" customHeight="1" thickTop="1">
      <c r="A23" s="67"/>
      <c r="B23" s="350" t="s">
        <v>35</v>
      </c>
      <c r="C23" s="482">
        <v>0.95</v>
      </c>
      <c r="D23" s="328" t="s">
        <v>24</v>
      </c>
      <c r="E23" s="232"/>
      <c r="F23" s="360" t="s">
        <v>33</v>
      </c>
      <c r="G23" s="187"/>
      <c r="H23" s="181"/>
      <c r="I23" s="361">
        <f>I21+I22</f>
        <v>1838610.2228499716</v>
      </c>
      <c r="J23" s="232"/>
      <c r="O23" s="73"/>
      <c r="S23" s="67"/>
    </row>
    <row r="24" spans="1:21" ht="15.95" customHeight="1" thickBot="1">
      <c r="A24" s="67"/>
      <c r="B24" s="362" t="s">
        <v>195</v>
      </c>
      <c r="C24" s="483">
        <f>CAF!BT24</f>
        <v>1.8120393120392975E-2</v>
      </c>
      <c r="D24" s="363" t="s">
        <v>37</v>
      </c>
      <c r="E24" s="232"/>
      <c r="F24" s="186" t="s">
        <v>52</v>
      </c>
      <c r="G24" s="187"/>
      <c r="H24" s="181"/>
      <c r="I24" s="202">
        <f>I23/I3</f>
        <v>152.64509944790134</v>
      </c>
      <c r="J24" s="232"/>
      <c r="O24" s="73"/>
      <c r="S24" s="67"/>
    </row>
    <row r="25" spans="1:21" ht="15.95" customHeight="1" thickBot="1">
      <c r="A25" s="67"/>
      <c r="B25" s="232"/>
      <c r="C25" s="232"/>
      <c r="D25" s="232"/>
      <c r="E25" s="232"/>
      <c r="F25" s="364" t="s">
        <v>35</v>
      </c>
      <c r="G25" s="413">
        <f>C23</f>
        <v>0.95</v>
      </c>
      <c r="H25" s="63"/>
      <c r="I25" s="365">
        <f>I24/G25</f>
        <v>160.67905205042248</v>
      </c>
      <c r="J25" s="232"/>
      <c r="O25" s="73"/>
      <c r="S25" s="67"/>
    </row>
    <row r="26" spans="1:21" ht="15.95" customHeight="1">
      <c r="A26" s="77"/>
      <c r="B26" s="64"/>
      <c r="C26" s="232"/>
      <c r="D26" s="232"/>
      <c r="E26" s="366"/>
      <c r="F26" s="164"/>
      <c r="G26" s="367"/>
      <c r="H26" s="60"/>
      <c r="I26" s="60"/>
      <c r="J26" s="232"/>
      <c r="O26" s="73"/>
      <c r="S26" s="67"/>
    </row>
    <row r="27" spans="1:21" ht="15.95" customHeight="1">
      <c r="A27" s="78"/>
      <c r="B27" s="78"/>
      <c r="C27" s="78"/>
      <c r="D27" s="78"/>
      <c r="E27" s="78"/>
      <c r="I27" s="418"/>
      <c r="O27" s="73"/>
      <c r="S27" s="67"/>
    </row>
    <row r="28" spans="1:21" ht="15.95" customHeight="1">
      <c r="A28" s="79"/>
      <c r="B28" s="80"/>
      <c r="C28" s="80"/>
      <c r="D28" s="80"/>
      <c r="E28" s="79"/>
      <c r="I28" s="218"/>
      <c r="O28" s="73"/>
      <c r="S28" s="67"/>
      <c r="U28" s="64"/>
    </row>
    <row r="29" spans="1:21" ht="15.95" customHeight="1">
      <c r="A29" s="78"/>
      <c r="B29" s="80"/>
      <c r="C29" s="80"/>
      <c r="D29" s="80"/>
      <c r="E29" s="78"/>
      <c r="O29" s="73"/>
      <c r="S29" s="67"/>
    </row>
    <row r="30" spans="1:21" ht="15.95" customHeight="1">
      <c r="A30" s="80"/>
      <c r="B30" s="81"/>
      <c r="C30" s="81"/>
      <c r="D30" s="81"/>
      <c r="E30" s="80"/>
      <c r="O30" s="73"/>
      <c r="S30" s="67"/>
    </row>
    <row r="31" spans="1:21" ht="15.95" customHeight="1">
      <c r="A31" s="80"/>
      <c r="B31" s="82"/>
      <c r="C31" s="82"/>
      <c r="D31" s="82"/>
      <c r="E31" s="80"/>
      <c r="O31" s="73"/>
      <c r="S31" s="67"/>
    </row>
    <row r="32" spans="1:21">
      <c r="A32" s="81"/>
      <c r="B32" s="82"/>
      <c r="C32" s="82"/>
      <c r="D32" s="82"/>
      <c r="E32" s="81"/>
      <c r="O32" s="73"/>
      <c r="S32" s="67"/>
    </row>
    <row r="33" spans="1:19">
      <c r="A33" s="82"/>
      <c r="B33" s="82"/>
      <c r="C33" s="82"/>
      <c r="D33" s="82"/>
      <c r="E33" s="82"/>
      <c r="O33" s="73"/>
      <c r="S33" s="67"/>
    </row>
    <row r="34" spans="1:19">
      <c r="A34" s="82"/>
      <c r="B34" s="78"/>
      <c r="C34" s="102"/>
      <c r="D34" s="78"/>
      <c r="E34" s="82"/>
      <c r="O34" s="73"/>
      <c r="S34" s="67"/>
    </row>
    <row r="35" spans="1:19" ht="15.75" customHeight="1">
      <c r="A35" s="82"/>
      <c r="B35" s="78"/>
      <c r="C35" s="78"/>
      <c r="D35" s="78"/>
      <c r="E35" s="82"/>
      <c r="O35" s="73"/>
      <c r="S35" s="67"/>
    </row>
    <row r="36" spans="1:19">
      <c r="A36" s="78"/>
      <c r="B36" s="78"/>
      <c r="C36" s="78"/>
      <c r="D36" s="78"/>
      <c r="E36" s="78"/>
      <c r="O36" s="73"/>
      <c r="S36" s="67"/>
    </row>
    <row r="37" spans="1:19">
      <c r="A37" s="78"/>
      <c r="B37" s="78"/>
      <c r="C37" s="78"/>
      <c r="D37" s="78"/>
      <c r="E37" s="78"/>
      <c r="O37" s="73"/>
      <c r="S37" s="67"/>
    </row>
    <row r="38" spans="1:19">
      <c r="A38" s="78"/>
      <c r="B38" s="78"/>
      <c r="C38" s="78"/>
      <c r="D38" s="78"/>
      <c r="E38" s="78"/>
      <c r="O38" s="73"/>
      <c r="S38" s="67"/>
    </row>
    <row r="39" spans="1:19">
      <c r="A39" s="78"/>
      <c r="B39" s="78"/>
      <c r="C39" s="78"/>
      <c r="D39" s="78"/>
      <c r="E39" s="78"/>
      <c r="O39" s="73"/>
      <c r="S39" s="67"/>
    </row>
    <row r="40" spans="1:19">
      <c r="A40" s="78"/>
      <c r="E40" s="78"/>
      <c r="O40" s="73"/>
      <c r="S40" s="67"/>
    </row>
    <row r="41" spans="1:19">
      <c r="A41" s="78"/>
      <c r="E41" s="78"/>
      <c r="O41" s="73"/>
      <c r="S41" s="67"/>
    </row>
    <row r="42" spans="1:19">
      <c r="O42" s="73"/>
      <c r="S42" s="67"/>
    </row>
    <row r="43" spans="1:19">
      <c r="O43" s="73"/>
      <c r="S43" s="67"/>
    </row>
    <row r="44" spans="1:19">
      <c r="O44" s="73"/>
      <c r="S44" s="67"/>
    </row>
    <row r="45" spans="1:19">
      <c r="O45" s="73"/>
      <c r="S45" s="67"/>
    </row>
    <row r="46" spans="1:19">
      <c r="O46" s="73"/>
      <c r="S46" s="67"/>
    </row>
    <row r="47" spans="1:19">
      <c r="O47" s="73"/>
      <c r="S47" s="67"/>
    </row>
  </sheetData>
  <mergeCells count="5">
    <mergeCell ref="B10:C10"/>
    <mergeCell ref="B17:C17"/>
    <mergeCell ref="F2:I2"/>
    <mergeCell ref="B2:D2"/>
    <mergeCell ref="B3:C3"/>
  </mergeCells>
  <pageMargins left="0.2" right="0.2" top="0.25" bottom="0.25" header="0.3" footer="0.3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4"/>
  <sheetViews>
    <sheetView zoomScale="96" zoomScaleNormal="96" workbookViewId="0">
      <selection activeCell="B29" sqref="B29"/>
    </sheetView>
  </sheetViews>
  <sheetFormatPr defaultRowHeight="15" customHeight="1"/>
  <cols>
    <col min="1" max="1" width="3.28515625" customWidth="1"/>
    <col min="2" max="2" width="33.85546875" customWidth="1"/>
    <col min="3" max="3" width="10.42578125" customWidth="1"/>
    <col min="4" max="4" width="56.28515625" customWidth="1"/>
    <col min="5" max="5" width="2.28515625" customWidth="1"/>
    <col min="6" max="6" width="20.85546875" customWidth="1"/>
    <col min="7" max="7" width="12.7109375" customWidth="1"/>
    <col min="8" max="8" width="12.85546875" customWidth="1"/>
    <col min="9" max="9" width="16.7109375" customWidth="1"/>
    <col min="18" max="18" width="24.85546875" customWidth="1"/>
    <col min="19" max="19" width="10.85546875" customWidth="1"/>
    <col min="20" max="20" width="9.7109375" customWidth="1"/>
    <col min="21" max="21" width="12.7109375" customWidth="1"/>
  </cols>
  <sheetData>
    <row r="1" spans="2:10" ht="15" customHeight="1" thickBot="1">
      <c r="B1" s="368"/>
      <c r="C1" s="368"/>
      <c r="D1" s="368"/>
      <c r="E1" s="368"/>
      <c r="F1" s="65"/>
      <c r="G1" s="368"/>
      <c r="H1" s="368"/>
      <c r="I1" s="368"/>
      <c r="J1" s="368"/>
    </row>
    <row r="2" spans="2:10" ht="15" customHeight="1" thickBot="1">
      <c r="B2" s="539" t="s">
        <v>196</v>
      </c>
      <c r="C2" s="540"/>
      <c r="D2" s="541"/>
      <c r="E2" s="368"/>
      <c r="F2" s="542" t="s">
        <v>197</v>
      </c>
      <c r="G2" s="543"/>
      <c r="H2" s="543"/>
      <c r="I2" s="544"/>
      <c r="J2" s="368"/>
    </row>
    <row r="3" spans="2:10" ht="15" customHeight="1" thickBot="1">
      <c r="B3" s="545" t="s">
        <v>3</v>
      </c>
      <c r="C3" s="546"/>
      <c r="D3" s="369" t="s">
        <v>4</v>
      </c>
      <c r="E3" s="368"/>
      <c r="F3" s="370" t="s">
        <v>1</v>
      </c>
      <c r="G3" s="371">
        <v>30</v>
      </c>
      <c r="H3" s="371" t="s">
        <v>159</v>
      </c>
      <c r="I3" s="372">
        <v>10950</v>
      </c>
      <c r="J3" s="368"/>
    </row>
    <row r="4" spans="2:10" ht="15" customHeight="1">
      <c r="B4" s="373" t="s">
        <v>8</v>
      </c>
      <c r="C4" s="485">
        <f>'CSS - 4931'!C4</f>
        <v>71114.411690314984</v>
      </c>
      <c r="D4" s="374" t="s">
        <v>198</v>
      </c>
      <c r="E4" s="368"/>
      <c r="F4" s="421" t="s">
        <v>62</v>
      </c>
      <c r="G4" s="422" t="s">
        <v>5</v>
      </c>
      <c r="H4" s="423" t="s">
        <v>6</v>
      </c>
      <c r="I4" s="424" t="s">
        <v>7</v>
      </c>
      <c r="J4" s="368"/>
    </row>
    <row r="5" spans="2:10" ht="15" customHeight="1">
      <c r="B5" s="486" t="s">
        <v>11</v>
      </c>
      <c r="C5" s="487">
        <f>'CSS - 4931'!C6</f>
        <v>76079.829130647879</v>
      </c>
      <c r="D5" s="375" t="s">
        <v>9</v>
      </c>
      <c r="E5" s="368"/>
      <c r="F5" s="425" t="s">
        <v>8</v>
      </c>
      <c r="G5" s="426">
        <f>C4</f>
        <v>71114.411690314984</v>
      </c>
      <c r="H5" s="427">
        <f>C11</f>
        <v>0.3</v>
      </c>
      <c r="I5" s="428">
        <f>G5*H5</f>
        <v>21334.323507094494</v>
      </c>
      <c r="J5" s="368"/>
    </row>
    <row r="6" spans="2:10" ht="15" customHeight="1">
      <c r="B6" s="376" t="s">
        <v>14</v>
      </c>
      <c r="C6" s="487">
        <f>'CSS - 4931'!C9</f>
        <v>36813.650259836169</v>
      </c>
      <c r="D6" s="375" t="s">
        <v>9</v>
      </c>
      <c r="E6" s="368"/>
      <c r="F6" s="429" t="s">
        <v>11</v>
      </c>
      <c r="G6" s="426">
        <f t="shared" ref="G6:G10" si="0">C5</f>
        <v>76079.829130647879</v>
      </c>
      <c r="H6" s="427">
        <f t="shared" ref="H6:H10" si="1">C12</f>
        <v>1</v>
      </c>
      <c r="I6" s="428">
        <f t="shared" ref="I6:I10" si="2">G6*H6</f>
        <v>76079.829130647879</v>
      </c>
      <c r="J6" s="368"/>
    </row>
    <row r="7" spans="2:10" ht="15" customHeight="1">
      <c r="B7" s="376" t="s">
        <v>15</v>
      </c>
      <c r="C7" s="487">
        <f>'CSS - 4931'!C10</f>
        <v>33584.227489950354</v>
      </c>
      <c r="D7" s="375" t="s">
        <v>9</v>
      </c>
      <c r="E7" s="368"/>
      <c r="F7" s="430" t="s">
        <v>14</v>
      </c>
      <c r="G7" s="426">
        <f t="shared" si="0"/>
        <v>36813.650259836169</v>
      </c>
      <c r="H7" s="427">
        <f t="shared" si="1"/>
        <v>1</v>
      </c>
      <c r="I7" s="428">
        <f t="shared" si="2"/>
        <v>36813.650259836169</v>
      </c>
      <c r="J7" s="368"/>
    </row>
    <row r="8" spans="2:10" ht="15" customHeight="1">
      <c r="B8" s="376" t="s">
        <v>16</v>
      </c>
      <c r="C8" s="487">
        <f>'CSS - 4931'!C11</f>
        <v>32048.640000000003</v>
      </c>
      <c r="D8" s="375" t="s">
        <v>24</v>
      </c>
      <c r="E8" s="368"/>
      <c r="F8" s="430" t="s">
        <v>15</v>
      </c>
      <c r="G8" s="426">
        <f t="shared" si="0"/>
        <v>33584.227489950354</v>
      </c>
      <c r="H8" s="427">
        <f t="shared" si="1"/>
        <v>1</v>
      </c>
      <c r="I8" s="428">
        <f t="shared" si="2"/>
        <v>33584.227489950354</v>
      </c>
      <c r="J8" s="368"/>
    </row>
    <row r="9" spans="2:10" ht="15" customHeight="1">
      <c r="B9" s="376" t="s">
        <v>17</v>
      </c>
      <c r="C9" s="487">
        <f>'TSS - 3434'!C9</f>
        <v>31200.172800000004</v>
      </c>
      <c r="D9" s="375" t="s">
        <v>177</v>
      </c>
      <c r="E9" s="368"/>
      <c r="F9" s="430" t="s">
        <v>16</v>
      </c>
      <c r="G9" s="426">
        <f t="shared" si="0"/>
        <v>32048.640000000003</v>
      </c>
      <c r="H9" s="427">
        <f t="shared" si="1"/>
        <v>1</v>
      </c>
      <c r="I9" s="428">
        <f t="shared" si="2"/>
        <v>32048.640000000003</v>
      </c>
      <c r="J9" s="368"/>
    </row>
    <row r="10" spans="2:10" ht="15" customHeight="1">
      <c r="B10" s="547" t="s">
        <v>20</v>
      </c>
      <c r="C10" s="548"/>
      <c r="D10" s="377"/>
      <c r="E10" s="368"/>
      <c r="F10" s="430" t="s">
        <v>17</v>
      </c>
      <c r="G10" s="426">
        <f t="shared" si="0"/>
        <v>31200.172800000004</v>
      </c>
      <c r="H10" s="427">
        <f t="shared" si="1"/>
        <v>0.52</v>
      </c>
      <c r="I10" s="428">
        <f t="shared" si="2"/>
        <v>16224.089856000002</v>
      </c>
      <c r="J10" s="368"/>
    </row>
    <row r="11" spans="2:10" ht="15" customHeight="1">
      <c r="B11" s="378" t="s">
        <v>8</v>
      </c>
      <c r="C11" s="488">
        <v>0.3</v>
      </c>
      <c r="D11" s="377" t="s">
        <v>24</v>
      </c>
      <c r="E11" s="368"/>
      <c r="F11" s="379" t="s">
        <v>19</v>
      </c>
      <c r="G11" s="380"/>
      <c r="H11" s="381">
        <f>SUM(H5:H10)</f>
        <v>4.82</v>
      </c>
      <c r="I11" s="382">
        <f>SUM(I5:I10)</f>
        <v>216084.7602435289</v>
      </c>
      <c r="J11" s="368"/>
    </row>
    <row r="12" spans="2:10" ht="15" customHeight="1">
      <c r="B12" s="486" t="s">
        <v>11</v>
      </c>
      <c r="C12" s="488">
        <v>1</v>
      </c>
      <c r="D12" s="375" t="s">
        <v>24</v>
      </c>
      <c r="E12" s="368"/>
      <c r="F12" s="383"/>
      <c r="G12" s="384"/>
      <c r="H12" s="384"/>
      <c r="I12" s="385"/>
      <c r="J12" s="368"/>
    </row>
    <row r="13" spans="2:10" ht="15" customHeight="1">
      <c r="B13" s="376" t="s">
        <v>14</v>
      </c>
      <c r="C13" s="488">
        <v>1</v>
      </c>
      <c r="D13" s="375" t="s">
        <v>24</v>
      </c>
      <c r="E13" s="368"/>
      <c r="F13" s="383" t="s">
        <v>29</v>
      </c>
      <c r="G13" s="386">
        <f>C18</f>
        <v>0.21709999999999999</v>
      </c>
      <c r="H13" s="384"/>
      <c r="I13" s="387">
        <f>G13*I11</f>
        <v>46912.00144887012</v>
      </c>
      <c r="J13" s="368"/>
    </row>
    <row r="14" spans="2:10" ht="15" customHeight="1">
      <c r="B14" s="376" t="s">
        <v>15</v>
      </c>
      <c r="C14" s="488">
        <v>1</v>
      </c>
      <c r="D14" s="375" t="s">
        <v>24</v>
      </c>
      <c r="E14" s="368"/>
      <c r="F14" s="379" t="s">
        <v>22</v>
      </c>
      <c r="G14" s="388"/>
      <c r="H14" s="389"/>
      <c r="I14" s="382">
        <f>I11+I13</f>
        <v>262996.76169239904</v>
      </c>
      <c r="J14" s="368"/>
    </row>
    <row r="15" spans="2:10" ht="15" customHeight="1">
      <c r="B15" s="376" t="s">
        <v>16</v>
      </c>
      <c r="C15" s="488">
        <v>1</v>
      </c>
      <c r="D15" s="375" t="s">
        <v>24</v>
      </c>
      <c r="E15" s="368"/>
      <c r="F15" s="390"/>
      <c r="G15" s="391"/>
      <c r="H15" s="391" t="s">
        <v>23</v>
      </c>
      <c r="I15" s="392"/>
      <c r="J15" s="368"/>
    </row>
    <row r="16" spans="2:10" ht="15" customHeight="1">
      <c r="B16" s="376" t="s">
        <v>17</v>
      </c>
      <c r="C16" s="488">
        <v>0.52</v>
      </c>
      <c r="D16" s="375" t="s">
        <v>24</v>
      </c>
      <c r="E16" s="368"/>
      <c r="F16" s="431" t="s">
        <v>68</v>
      </c>
      <c r="G16" s="393"/>
      <c r="H16" s="437">
        <f>C20</f>
        <v>1.7926879413129051</v>
      </c>
      <c r="I16" s="438">
        <f>H16*I3</f>
        <v>19629.93295737631</v>
      </c>
      <c r="J16" s="368"/>
    </row>
    <row r="17" spans="2:10" ht="15" customHeight="1">
      <c r="B17" s="547" t="s">
        <v>28</v>
      </c>
      <c r="C17" s="549"/>
      <c r="D17" s="395"/>
      <c r="E17" s="368"/>
      <c r="F17" s="431" t="s">
        <v>66</v>
      </c>
      <c r="G17" s="393"/>
      <c r="H17" s="439">
        <f>C19</f>
        <v>2.4361061365093528</v>
      </c>
      <c r="I17" s="440">
        <f>H17*I3</f>
        <v>26675.362194777412</v>
      </c>
      <c r="J17" s="368"/>
    </row>
    <row r="18" spans="2:10" ht="15" customHeight="1">
      <c r="B18" s="489" t="s">
        <v>29</v>
      </c>
      <c r="C18" s="490">
        <f>'CSS - 4931'!C26</f>
        <v>0.21709999999999999</v>
      </c>
      <c r="D18" s="377" t="s">
        <v>30</v>
      </c>
      <c r="E18" s="368"/>
      <c r="F18" s="390" t="s">
        <v>27</v>
      </c>
      <c r="G18" s="391"/>
      <c r="H18" s="394">
        <f>SUM(H16:H17)</f>
        <v>4.2287940778222577</v>
      </c>
      <c r="I18" s="392">
        <f>SUM(I16:I17)</f>
        <v>46305.295152153718</v>
      </c>
      <c r="J18" s="368"/>
    </row>
    <row r="19" spans="2:10" ht="15" customHeight="1" thickBot="1">
      <c r="B19" s="486" t="s">
        <v>66</v>
      </c>
      <c r="C19" s="491">
        <f>'CSS - 4931'!C27</f>
        <v>2.4361061365093528</v>
      </c>
      <c r="D19" s="375" t="s">
        <v>198</v>
      </c>
      <c r="E19" s="368"/>
      <c r="F19" s="397" t="s">
        <v>199</v>
      </c>
      <c r="G19" s="398"/>
      <c r="H19" s="399"/>
      <c r="I19" s="400">
        <f>I14+I18</f>
        <v>309302.05684455275</v>
      </c>
      <c r="J19" s="368"/>
    </row>
    <row r="20" spans="2:10" ht="15" customHeight="1" thickTop="1">
      <c r="B20" s="396" t="s">
        <v>68</v>
      </c>
      <c r="C20" s="491">
        <f>'ATS - 3395'!D28</f>
        <v>1.7926879413129051</v>
      </c>
      <c r="D20" s="375" t="s">
        <v>67</v>
      </c>
      <c r="E20" s="368"/>
      <c r="F20" s="402" t="s">
        <v>31</v>
      </c>
      <c r="G20" s="403">
        <f>C22</f>
        <v>0.1198</v>
      </c>
      <c r="H20" s="404"/>
      <c r="I20" s="405">
        <f>G20*I19</f>
        <v>37054.386409977422</v>
      </c>
      <c r="J20" s="368"/>
    </row>
    <row r="21" spans="2:10" ht="15" customHeight="1" thickBot="1">
      <c r="B21" s="442" t="s">
        <v>191</v>
      </c>
      <c r="C21" s="492">
        <f>'ATS - 3395'!C34:D34</f>
        <v>6.3E-3</v>
      </c>
      <c r="D21" s="375" t="s">
        <v>194</v>
      </c>
      <c r="E21" s="368"/>
      <c r="F21" s="433" t="s">
        <v>33</v>
      </c>
      <c r="G21" s="434"/>
      <c r="H21" s="435"/>
      <c r="I21" s="436">
        <f>I19+I20</f>
        <v>346356.4432545302</v>
      </c>
      <c r="J21" s="368"/>
    </row>
    <row r="22" spans="2:10" ht="15" customHeight="1" thickTop="1">
      <c r="B22" s="493" t="s">
        <v>31</v>
      </c>
      <c r="C22" s="494">
        <f>'CSS - 4931'!C33</f>
        <v>0.1198</v>
      </c>
      <c r="D22" s="401" t="s">
        <v>178</v>
      </c>
      <c r="E22" s="368"/>
      <c r="F22" s="432" t="str">
        <f>B24</f>
        <v>FY20 Rate Review CAF</v>
      </c>
      <c r="G22" s="497">
        <f>C24</f>
        <v>1.8120393120392975E-2</v>
      </c>
      <c r="H22" s="498"/>
      <c r="I22" s="441">
        <f>I21*(G22+1)</f>
        <v>352632.55816608341</v>
      </c>
      <c r="J22" s="368"/>
    </row>
    <row r="23" spans="2:10" ht="15" customHeight="1" thickBot="1">
      <c r="B23" s="489" t="s">
        <v>157</v>
      </c>
      <c r="C23" s="495">
        <f>'ATS - 3395'!C33:D33</f>
        <v>0.875</v>
      </c>
      <c r="D23" s="375" t="s">
        <v>67</v>
      </c>
      <c r="E23" s="368"/>
      <c r="F23" s="444" t="str">
        <f>B21</f>
        <v>PFMLA Trust Contribution</v>
      </c>
      <c r="G23" s="499">
        <f>C21</f>
        <v>6.3E-3</v>
      </c>
      <c r="H23" s="500"/>
      <c r="I23" s="436">
        <f>I11*(G22+1)*G23</f>
        <v>1386.0018965927454</v>
      </c>
      <c r="J23" s="368"/>
    </row>
    <row r="24" spans="2:10" ht="15" customHeight="1" thickTop="1" thickBot="1">
      <c r="B24" s="484" t="s">
        <v>176</v>
      </c>
      <c r="C24" s="496">
        <f>CAF!BT24</f>
        <v>1.8120393120392975E-2</v>
      </c>
      <c r="D24" s="412" t="s">
        <v>169</v>
      </c>
      <c r="E24" s="368"/>
      <c r="F24" s="432" t="s">
        <v>33</v>
      </c>
      <c r="G24" s="406"/>
      <c r="H24" s="407"/>
      <c r="I24" s="441">
        <f>I22+I23</f>
        <v>354018.56006267614</v>
      </c>
      <c r="J24" s="368"/>
    </row>
    <row r="25" spans="2:10" ht="15" customHeight="1" thickBot="1">
      <c r="B25" s="368"/>
      <c r="C25" s="368"/>
      <c r="D25" s="368"/>
      <c r="E25" s="368"/>
      <c r="F25" s="432" t="s">
        <v>52</v>
      </c>
      <c r="G25" s="406"/>
      <c r="H25" s="407"/>
      <c r="I25" s="408">
        <f>I24/I3</f>
        <v>32.33046210618047</v>
      </c>
      <c r="J25" s="368"/>
    </row>
    <row r="26" spans="2:10" ht="15" customHeight="1" thickBot="1">
      <c r="B26" s="368"/>
      <c r="C26" s="368"/>
      <c r="D26" s="368"/>
      <c r="E26" s="368"/>
      <c r="F26" s="443" t="s">
        <v>200</v>
      </c>
      <c r="G26" s="409">
        <f>C23</f>
        <v>0.875</v>
      </c>
      <c r="H26" s="410"/>
      <c r="I26" s="411">
        <f>I25/G26</f>
        <v>36.94909954992054</v>
      </c>
      <c r="J26" s="368"/>
    </row>
    <row r="27" spans="2:10" ht="15" customHeight="1">
      <c r="B27" s="368"/>
      <c r="C27" s="368"/>
      <c r="D27" s="368"/>
      <c r="E27" s="368"/>
      <c r="F27" s="368"/>
      <c r="G27" s="368"/>
      <c r="H27" s="368"/>
      <c r="I27" s="368"/>
      <c r="J27" s="368"/>
    </row>
    <row r="28" spans="2:10" ht="15" customHeight="1">
      <c r="B28" s="368"/>
      <c r="C28" s="368"/>
      <c r="D28" s="368"/>
      <c r="I28" s="419"/>
    </row>
    <row r="29" spans="2:10" ht="15" customHeight="1">
      <c r="I29" s="420"/>
    </row>
    <row r="34" spans="4:4" ht="15" customHeight="1">
      <c r="D34" t="s">
        <v>206</v>
      </c>
    </row>
  </sheetData>
  <mergeCells count="5">
    <mergeCell ref="B2:D2"/>
    <mergeCell ref="F2:I2"/>
    <mergeCell ref="B3:C3"/>
    <mergeCell ref="B10:C10"/>
    <mergeCell ref="B17:C17"/>
  </mergeCells>
  <pageMargins left="0.7" right="0.7" top="0.75" bottom="0.75" header="0.3" footer="0.3"/>
  <pageSetup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25"/>
  <sheetViews>
    <sheetView topLeftCell="BE4" workbookViewId="0">
      <selection activeCell="BM32" sqref="BM32"/>
    </sheetView>
  </sheetViews>
  <sheetFormatPr defaultRowHeight="12.75"/>
  <cols>
    <col min="1" max="59" width="9.140625" style="221"/>
    <col min="60" max="60" width="7.42578125" style="221" bestFit="1" customWidth="1"/>
    <col min="61" max="61" width="9.140625" style="221"/>
    <col min="62" max="62" width="11.42578125" style="221" customWidth="1"/>
    <col min="63" max="315" width="9.140625" style="221"/>
    <col min="316" max="316" width="7.42578125" style="221" bestFit="1" customWidth="1"/>
    <col min="317" max="317" width="9.140625" style="221"/>
    <col min="318" max="318" width="11.42578125" style="221" customWidth="1"/>
    <col min="319" max="571" width="9.140625" style="221"/>
    <col min="572" max="572" width="7.42578125" style="221" bestFit="1" customWidth="1"/>
    <col min="573" max="573" width="9.140625" style="221"/>
    <col min="574" max="574" width="11.42578125" style="221" customWidth="1"/>
    <col min="575" max="827" width="9.140625" style="221"/>
    <col min="828" max="828" width="7.42578125" style="221" bestFit="1" customWidth="1"/>
    <col min="829" max="829" width="9.140625" style="221"/>
    <col min="830" max="830" width="11.42578125" style="221" customWidth="1"/>
    <col min="831" max="1083" width="9.140625" style="221"/>
    <col min="1084" max="1084" width="7.42578125" style="221" bestFit="1" customWidth="1"/>
    <col min="1085" max="1085" width="9.140625" style="221"/>
    <col min="1086" max="1086" width="11.42578125" style="221" customWidth="1"/>
    <col min="1087" max="1339" width="9.140625" style="221"/>
    <col min="1340" max="1340" width="7.42578125" style="221" bestFit="1" customWidth="1"/>
    <col min="1341" max="1341" width="9.140625" style="221"/>
    <col min="1342" max="1342" width="11.42578125" style="221" customWidth="1"/>
    <col min="1343" max="1595" width="9.140625" style="221"/>
    <col min="1596" max="1596" width="7.42578125" style="221" bestFit="1" customWidth="1"/>
    <col min="1597" max="1597" width="9.140625" style="221"/>
    <col min="1598" max="1598" width="11.42578125" style="221" customWidth="1"/>
    <col min="1599" max="1851" width="9.140625" style="221"/>
    <col min="1852" max="1852" width="7.42578125" style="221" bestFit="1" customWidth="1"/>
    <col min="1853" max="1853" width="9.140625" style="221"/>
    <col min="1854" max="1854" width="11.42578125" style="221" customWidth="1"/>
    <col min="1855" max="2107" width="9.140625" style="221"/>
    <col min="2108" max="2108" width="7.42578125" style="221" bestFit="1" customWidth="1"/>
    <col min="2109" max="2109" width="9.140625" style="221"/>
    <col min="2110" max="2110" width="11.42578125" style="221" customWidth="1"/>
    <col min="2111" max="2363" width="9.140625" style="221"/>
    <col min="2364" max="2364" width="7.42578125" style="221" bestFit="1" customWidth="1"/>
    <col min="2365" max="2365" width="9.140625" style="221"/>
    <col min="2366" max="2366" width="11.42578125" style="221" customWidth="1"/>
    <col min="2367" max="2619" width="9.140625" style="221"/>
    <col min="2620" max="2620" width="7.42578125" style="221" bestFit="1" customWidth="1"/>
    <col min="2621" max="2621" width="9.140625" style="221"/>
    <col min="2622" max="2622" width="11.42578125" style="221" customWidth="1"/>
    <col min="2623" max="2875" width="9.140625" style="221"/>
    <col min="2876" max="2876" width="7.42578125" style="221" bestFit="1" customWidth="1"/>
    <col min="2877" max="2877" width="9.140625" style="221"/>
    <col min="2878" max="2878" width="11.42578125" style="221" customWidth="1"/>
    <col min="2879" max="3131" width="9.140625" style="221"/>
    <col min="3132" max="3132" width="7.42578125" style="221" bestFit="1" customWidth="1"/>
    <col min="3133" max="3133" width="9.140625" style="221"/>
    <col min="3134" max="3134" width="11.42578125" style="221" customWidth="1"/>
    <col min="3135" max="3387" width="9.140625" style="221"/>
    <col min="3388" max="3388" width="7.42578125" style="221" bestFit="1" customWidth="1"/>
    <col min="3389" max="3389" width="9.140625" style="221"/>
    <col min="3390" max="3390" width="11.42578125" style="221" customWidth="1"/>
    <col min="3391" max="3643" width="9.140625" style="221"/>
    <col min="3644" max="3644" width="7.42578125" style="221" bestFit="1" customWidth="1"/>
    <col min="3645" max="3645" width="9.140625" style="221"/>
    <col min="3646" max="3646" width="11.42578125" style="221" customWidth="1"/>
    <col min="3647" max="3899" width="9.140625" style="221"/>
    <col min="3900" max="3900" width="7.42578125" style="221" bestFit="1" customWidth="1"/>
    <col min="3901" max="3901" width="9.140625" style="221"/>
    <col min="3902" max="3902" width="11.42578125" style="221" customWidth="1"/>
    <col min="3903" max="4155" width="9.140625" style="221"/>
    <col min="4156" max="4156" width="7.42578125" style="221" bestFit="1" customWidth="1"/>
    <col min="4157" max="4157" width="9.140625" style="221"/>
    <col min="4158" max="4158" width="11.42578125" style="221" customWidth="1"/>
    <col min="4159" max="4411" width="9.140625" style="221"/>
    <col min="4412" max="4412" width="7.42578125" style="221" bestFit="1" customWidth="1"/>
    <col min="4413" max="4413" width="9.140625" style="221"/>
    <col min="4414" max="4414" width="11.42578125" style="221" customWidth="1"/>
    <col min="4415" max="4667" width="9.140625" style="221"/>
    <col min="4668" max="4668" width="7.42578125" style="221" bestFit="1" customWidth="1"/>
    <col min="4669" max="4669" width="9.140625" style="221"/>
    <col min="4670" max="4670" width="11.42578125" style="221" customWidth="1"/>
    <col min="4671" max="4923" width="9.140625" style="221"/>
    <col min="4924" max="4924" width="7.42578125" style="221" bestFit="1" customWidth="1"/>
    <col min="4925" max="4925" width="9.140625" style="221"/>
    <col min="4926" max="4926" width="11.42578125" style="221" customWidth="1"/>
    <col min="4927" max="5179" width="9.140625" style="221"/>
    <col min="5180" max="5180" width="7.42578125" style="221" bestFit="1" customWidth="1"/>
    <col min="5181" max="5181" width="9.140625" style="221"/>
    <col min="5182" max="5182" width="11.42578125" style="221" customWidth="1"/>
    <col min="5183" max="5435" width="9.140625" style="221"/>
    <col min="5436" max="5436" width="7.42578125" style="221" bestFit="1" customWidth="1"/>
    <col min="5437" max="5437" width="9.140625" style="221"/>
    <col min="5438" max="5438" width="11.42578125" style="221" customWidth="1"/>
    <col min="5439" max="5691" width="9.140625" style="221"/>
    <col min="5692" max="5692" width="7.42578125" style="221" bestFit="1" customWidth="1"/>
    <col min="5693" max="5693" width="9.140625" style="221"/>
    <col min="5694" max="5694" width="11.42578125" style="221" customWidth="1"/>
    <col min="5695" max="5947" width="9.140625" style="221"/>
    <col min="5948" max="5948" width="7.42578125" style="221" bestFit="1" customWidth="1"/>
    <col min="5949" max="5949" width="9.140625" style="221"/>
    <col min="5950" max="5950" width="11.42578125" style="221" customWidth="1"/>
    <col min="5951" max="6203" width="9.140625" style="221"/>
    <col min="6204" max="6204" width="7.42578125" style="221" bestFit="1" customWidth="1"/>
    <col min="6205" max="6205" width="9.140625" style="221"/>
    <col min="6206" max="6206" width="11.42578125" style="221" customWidth="1"/>
    <col min="6207" max="6459" width="9.140625" style="221"/>
    <col min="6460" max="6460" width="7.42578125" style="221" bestFit="1" customWidth="1"/>
    <col min="6461" max="6461" width="9.140625" style="221"/>
    <col min="6462" max="6462" width="11.42578125" style="221" customWidth="1"/>
    <col min="6463" max="6715" width="9.140625" style="221"/>
    <col min="6716" max="6716" width="7.42578125" style="221" bestFit="1" customWidth="1"/>
    <col min="6717" max="6717" width="9.140625" style="221"/>
    <col min="6718" max="6718" width="11.42578125" style="221" customWidth="1"/>
    <col min="6719" max="6971" width="9.140625" style="221"/>
    <col min="6972" max="6972" width="7.42578125" style="221" bestFit="1" customWidth="1"/>
    <col min="6973" max="6973" width="9.140625" style="221"/>
    <col min="6974" max="6974" width="11.42578125" style="221" customWidth="1"/>
    <col min="6975" max="7227" width="9.140625" style="221"/>
    <col min="7228" max="7228" width="7.42578125" style="221" bestFit="1" customWidth="1"/>
    <col min="7229" max="7229" width="9.140625" style="221"/>
    <col min="7230" max="7230" width="11.42578125" style="221" customWidth="1"/>
    <col min="7231" max="7483" width="9.140625" style="221"/>
    <col min="7484" max="7484" width="7.42578125" style="221" bestFit="1" customWidth="1"/>
    <col min="7485" max="7485" width="9.140625" style="221"/>
    <col min="7486" max="7486" width="11.42578125" style="221" customWidth="1"/>
    <col min="7487" max="7739" width="9.140625" style="221"/>
    <col min="7740" max="7740" width="7.42578125" style="221" bestFit="1" customWidth="1"/>
    <col min="7741" max="7741" width="9.140625" style="221"/>
    <col min="7742" max="7742" width="11.42578125" style="221" customWidth="1"/>
    <col min="7743" max="7995" width="9.140625" style="221"/>
    <col min="7996" max="7996" width="7.42578125" style="221" bestFit="1" customWidth="1"/>
    <col min="7997" max="7997" width="9.140625" style="221"/>
    <col min="7998" max="7998" width="11.42578125" style="221" customWidth="1"/>
    <col min="7999" max="8251" width="9.140625" style="221"/>
    <col min="8252" max="8252" width="7.42578125" style="221" bestFit="1" customWidth="1"/>
    <col min="8253" max="8253" width="9.140625" style="221"/>
    <col min="8254" max="8254" width="11.42578125" style="221" customWidth="1"/>
    <col min="8255" max="8507" width="9.140625" style="221"/>
    <col min="8508" max="8508" width="7.42578125" style="221" bestFit="1" customWidth="1"/>
    <col min="8509" max="8509" width="9.140625" style="221"/>
    <col min="8510" max="8510" width="11.42578125" style="221" customWidth="1"/>
    <col min="8511" max="8763" width="9.140625" style="221"/>
    <col min="8764" max="8764" width="7.42578125" style="221" bestFit="1" customWidth="1"/>
    <col min="8765" max="8765" width="9.140625" style="221"/>
    <col min="8766" max="8766" width="11.42578125" style="221" customWidth="1"/>
    <col min="8767" max="9019" width="9.140625" style="221"/>
    <col min="9020" max="9020" width="7.42578125" style="221" bestFit="1" customWidth="1"/>
    <col min="9021" max="9021" width="9.140625" style="221"/>
    <col min="9022" max="9022" width="11.42578125" style="221" customWidth="1"/>
    <col min="9023" max="9275" width="9.140625" style="221"/>
    <col min="9276" max="9276" width="7.42578125" style="221" bestFit="1" customWidth="1"/>
    <col min="9277" max="9277" width="9.140625" style="221"/>
    <col min="9278" max="9278" width="11.42578125" style="221" customWidth="1"/>
    <col min="9279" max="9531" width="9.140625" style="221"/>
    <col min="9532" max="9532" width="7.42578125" style="221" bestFit="1" customWidth="1"/>
    <col min="9533" max="9533" width="9.140625" style="221"/>
    <col min="9534" max="9534" width="11.42578125" style="221" customWidth="1"/>
    <col min="9535" max="9787" width="9.140625" style="221"/>
    <col min="9788" max="9788" width="7.42578125" style="221" bestFit="1" customWidth="1"/>
    <col min="9789" max="9789" width="9.140625" style="221"/>
    <col min="9790" max="9790" width="11.42578125" style="221" customWidth="1"/>
    <col min="9791" max="10043" width="9.140625" style="221"/>
    <col min="10044" max="10044" width="7.42578125" style="221" bestFit="1" customWidth="1"/>
    <col min="10045" max="10045" width="9.140625" style="221"/>
    <col min="10046" max="10046" width="11.42578125" style="221" customWidth="1"/>
    <col min="10047" max="10299" width="9.140625" style="221"/>
    <col min="10300" max="10300" width="7.42578125" style="221" bestFit="1" customWidth="1"/>
    <col min="10301" max="10301" width="9.140625" style="221"/>
    <col min="10302" max="10302" width="11.42578125" style="221" customWidth="1"/>
    <col min="10303" max="10555" width="9.140625" style="221"/>
    <col min="10556" max="10556" width="7.42578125" style="221" bestFit="1" customWidth="1"/>
    <col min="10557" max="10557" width="9.140625" style="221"/>
    <col min="10558" max="10558" width="11.42578125" style="221" customWidth="1"/>
    <col min="10559" max="10811" width="9.140625" style="221"/>
    <col min="10812" max="10812" width="7.42578125" style="221" bestFit="1" customWidth="1"/>
    <col min="10813" max="10813" width="9.140625" style="221"/>
    <col min="10814" max="10814" width="11.42578125" style="221" customWidth="1"/>
    <col min="10815" max="11067" width="9.140625" style="221"/>
    <col min="11068" max="11068" width="7.42578125" style="221" bestFit="1" customWidth="1"/>
    <col min="11069" max="11069" width="9.140625" style="221"/>
    <col min="11070" max="11070" width="11.42578125" style="221" customWidth="1"/>
    <col min="11071" max="11323" width="9.140625" style="221"/>
    <col min="11324" max="11324" width="7.42578125" style="221" bestFit="1" customWidth="1"/>
    <col min="11325" max="11325" width="9.140625" style="221"/>
    <col min="11326" max="11326" width="11.42578125" style="221" customWidth="1"/>
    <col min="11327" max="11579" width="9.140625" style="221"/>
    <col min="11580" max="11580" width="7.42578125" style="221" bestFit="1" customWidth="1"/>
    <col min="11581" max="11581" width="9.140625" style="221"/>
    <col min="11582" max="11582" width="11.42578125" style="221" customWidth="1"/>
    <col min="11583" max="11835" width="9.140625" style="221"/>
    <col min="11836" max="11836" width="7.42578125" style="221" bestFit="1" customWidth="1"/>
    <col min="11837" max="11837" width="9.140625" style="221"/>
    <col min="11838" max="11838" width="11.42578125" style="221" customWidth="1"/>
    <col min="11839" max="12091" width="9.140625" style="221"/>
    <col min="12092" max="12092" width="7.42578125" style="221" bestFit="1" customWidth="1"/>
    <col min="12093" max="12093" width="9.140625" style="221"/>
    <col min="12094" max="12094" width="11.42578125" style="221" customWidth="1"/>
    <col min="12095" max="12347" width="9.140625" style="221"/>
    <col min="12348" max="12348" width="7.42578125" style="221" bestFit="1" customWidth="1"/>
    <col min="12349" max="12349" width="9.140625" style="221"/>
    <col min="12350" max="12350" width="11.42578125" style="221" customWidth="1"/>
    <col min="12351" max="12603" width="9.140625" style="221"/>
    <col min="12604" max="12604" width="7.42578125" style="221" bestFit="1" customWidth="1"/>
    <col min="12605" max="12605" width="9.140625" style="221"/>
    <col min="12606" max="12606" width="11.42578125" style="221" customWidth="1"/>
    <col min="12607" max="12859" width="9.140625" style="221"/>
    <col min="12860" max="12860" width="7.42578125" style="221" bestFit="1" customWidth="1"/>
    <col min="12861" max="12861" width="9.140625" style="221"/>
    <col min="12862" max="12862" width="11.42578125" style="221" customWidth="1"/>
    <col min="12863" max="13115" width="9.140625" style="221"/>
    <col min="13116" max="13116" width="7.42578125" style="221" bestFit="1" customWidth="1"/>
    <col min="13117" max="13117" width="9.140625" style="221"/>
    <col min="13118" max="13118" width="11.42578125" style="221" customWidth="1"/>
    <col min="13119" max="13371" width="9.140625" style="221"/>
    <col min="13372" max="13372" width="7.42578125" style="221" bestFit="1" customWidth="1"/>
    <col min="13373" max="13373" width="9.140625" style="221"/>
    <col min="13374" max="13374" width="11.42578125" style="221" customWidth="1"/>
    <col min="13375" max="13627" width="9.140625" style="221"/>
    <col min="13628" max="13628" width="7.42578125" style="221" bestFit="1" customWidth="1"/>
    <col min="13629" max="13629" width="9.140625" style="221"/>
    <col min="13630" max="13630" width="11.42578125" style="221" customWidth="1"/>
    <col min="13631" max="13883" width="9.140625" style="221"/>
    <col min="13884" max="13884" width="7.42578125" style="221" bestFit="1" customWidth="1"/>
    <col min="13885" max="13885" width="9.140625" style="221"/>
    <col min="13886" max="13886" width="11.42578125" style="221" customWidth="1"/>
    <col min="13887" max="14139" width="9.140625" style="221"/>
    <col min="14140" max="14140" width="7.42578125" style="221" bestFit="1" customWidth="1"/>
    <col min="14141" max="14141" width="9.140625" style="221"/>
    <col min="14142" max="14142" width="11.42578125" style="221" customWidth="1"/>
    <col min="14143" max="14395" width="9.140625" style="221"/>
    <col min="14396" max="14396" width="7.42578125" style="221" bestFit="1" customWidth="1"/>
    <col min="14397" max="14397" width="9.140625" style="221"/>
    <col min="14398" max="14398" width="11.42578125" style="221" customWidth="1"/>
    <col min="14399" max="14651" width="9.140625" style="221"/>
    <col min="14652" max="14652" width="7.42578125" style="221" bestFit="1" customWidth="1"/>
    <col min="14653" max="14653" width="9.140625" style="221"/>
    <col min="14654" max="14654" width="11.42578125" style="221" customWidth="1"/>
    <col min="14655" max="14907" width="9.140625" style="221"/>
    <col min="14908" max="14908" width="7.42578125" style="221" bestFit="1" customWidth="1"/>
    <col min="14909" max="14909" width="9.140625" style="221"/>
    <col min="14910" max="14910" width="11.42578125" style="221" customWidth="1"/>
    <col min="14911" max="15163" width="9.140625" style="221"/>
    <col min="15164" max="15164" width="7.42578125" style="221" bestFit="1" customWidth="1"/>
    <col min="15165" max="15165" width="9.140625" style="221"/>
    <col min="15166" max="15166" width="11.42578125" style="221" customWidth="1"/>
    <col min="15167" max="15419" width="9.140625" style="221"/>
    <col min="15420" max="15420" width="7.42578125" style="221" bestFit="1" customWidth="1"/>
    <col min="15421" max="15421" width="9.140625" style="221"/>
    <col min="15422" max="15422" width="11.42578125" style="221" customWidth="1"/>
    <col min="15423" max="15675" width="9.140625" style="221"/>
    <col min="15676" max="15676" width="7.42578125" style="221" bestFit="1" customWidth="1"/>
    <col min="15677" max="15677" width="9.140625" style="221"/>
    <col min="15678" max="15678" width="11.42578125" style="221" customWidth="1"/>
    <col min="15679" max="15931" width="9.140625" style="221"/>
    <col min="15932" max="15932" width="7.42578125" style="221" bestFit="1" customWidth="1"/>
    <col min="15933" max="15933" width="9.140625" style="221"/>
    <col min="15934" max="15934" width="11.42578125" style="221" customWidth="1"/>
    <col min="15935" max="16187" width="9.140625" style="221"/>
    <col min="16188" max="16188" width="7.42578125" style="221" bestFit="1" customWidth="1"/>
    <col min="16189" max="16189" width="9.140625" style="221"/>
    <col min="16190" max="16190" width="11.42578125" style="221" customWidth="1"/>
    <col min="16191" max="16384" width="9.140625" style="221"/>
  </cols>
  <sheetData>
    <row r="1" spans="1:83" ht="18">
      <c r="A1" s="219" t="s">
        <v>201</v>
      </c>
      <c r="B1" s="220"/>
    </row>
    <row r="2" spans="1:83" ht="15.75">
      <c r="A2" s="222" t="s">
        <v>202</v>
      </c>
      <c r="B2" s="223"/>
    </row>
    <row r="3" spans="1:83" ht="15.75" thickBot="1">
      <c r="A3" s="224" t="s">
        <v>203</v>
      </c>
      <c r="B3" s="225"/>
    </row>
    <row r="4" spans="1:83">
      <c r="B4" s="226"/>
    </row>
    <row r="5" spans="1:83">
      <c r="B5" s="226"/>
    </row>
    <row r="6" spans="1:83">
      <c r="B6" s="226"/>
      <c r="BA6" s="227" t="s">
        <v>204</v>
      </c>
      <c r="BB6" s="227" t="s">
        <v>204</v>
      </c>
      <c r="BC6" s="227" t="s">
        <v>204</v>
      </c>
      <c r="BD6" s="227" t="s">
        <v>204</v>
      </c>
      <c r="BE6" s="227" t="s">
        <v>205</v>
      </c>
      <c r="BF6" s="227" t="s">
        <v>205</v>
      </c>
      <c r="BG6" s="227" t="s">
        <v>205</v>
      </c>
      <c r="BH6" s="227" t="s">
        <v>205</v>
      </c>
      <c r="BI6" s="103" t="s">
        <v>70</v>
      </c>
      <c r="BJ6" s="103" t="s">
        <v>70</v>
      </c>
      <c r="BK6" s="103" t="s">
        <v>70</v>
      </c>
      <c r="BL6" s="103" t="s">
        <v>70</v>
      </c>
      <c r="BM6" s="104" t="s">
        <v>71</v>
      </c>
      <c r="BN6" s="104" t="s">
        <v>71</v>
      </c>
      <c r="BO6" s="104" t="s">
        <v>71</v>
      </c>
      <c r="BP6" s="104" t="s">
        <v>71</v>
      </c>
      <c r="BQ6" s="105" t="s">
        <v>72</v>
      </c>
      <c r="BR6" s="105" t="s">
        <v>72</v>
      </c>
      <c r="BS6" s="105" t="s">
        <v>72</v>
      </c>
      <c r="BT6" s="105" t="s">
        <v>72</v>
      </c>
      <c r="BU6" s="228" t="s">
        <v>179</v>
      </c>
      <c r="BV6" s="228" t="s">
        <v>179</v>
      </c>
      <c r="BW6" s="228" t="s">
        <v>179</v>
      </c>
      <c r="BX6" s="228" t="s">
        <v>179</v>
      </c>
      <c r="BY6" s="229" t="s">
        <v>180</v>
      </c>
      <c r="BZ6" s="229" t="s">
        <v>180</v>
      </c>
      <c r="CA6" s="229" t="s">
        <v>180</v>
      </c>
      <c r="CB6" s="229" t="s">
        <v>180</v>
      </c>
    </row>
    <row r="7" spans="1:83" s="226" customFormat="1">
      <c r="B7" s="226" t="s">
        <v>73</v>
      </c>
      <c r="C7" s="230" t="s">
        <v>74</v>
      </c>
      <c r="D7" s="230" t="s">
        <v>75</v>
      </c>
      <c r="E7" s="230" t="s">
        <v>76</v>
      </c>
      <c r="F7" s="230" t="s">
        <v>77</v>
      </c>
      <c r="G7" s="230" t="s">
        <v>78</v>
      </c>
      <c r="H7" s="230" t="s">
        <v>79</v>
      </c>
      <c r="I7" s="230" t="s">
        <v>80</v>
      </c>
      <c r="J7" s="230" t="s">
        <v>81</v>
      </c>
      <c r="K7" s="230" t="s">
        <v>82</v>
      </c>
      <c r="L7" s="230" t="s">
        <v>83</v>
      </c>
      <c r="M7" s="230" t="s">
        <v>84</v>
      </c>
      <c r="N7" s="230" t="s">
        <v>85</v>
      </c>
      <c r="O7" s="230" t="s">
        <v>86</v>
      </c>
      <c r="P7" s="230" t="s">
        <v>87</v>
      </c>
      <c r="Q7" s="230" t="s">
        <v>88</v>
      </c>
      <c r="R7" s="230" t="s">
        <v>89</v>
      </c>
      <c r="S7" s="230" t="s">
        <v>90</v>
      </c>
      <c r="T7" s="230" t="s">
        <v>91</v>
      </c>
      <c r="U7" s="230" t="s">
        <v>92</v>
      </c>
      <c r="V7" s="230" t="s">
        <v>93</v>
      </c>
      <c r="W7" s="230" t="s">
        <v>94</v>
      </c>
      <c r="X7" s="230" t="s">
        <v>95</v>
      </c>
      <c r="Y7" s="230" t="s">
        <v>96</v>
      </c>
      <c r="Z7" s="230" t="s">
        <v>97</v>
      </c>
      <c r="AA7" s="230" t="s">
        <v>98</v>
      </c>
      <c r="AB7" s="230" t="s">
        <v>99</v>
      </c>
      <c r="AC7" s="230" t="s">
        <v>100</v>
      </c>
      <c r="AD7" s="230" t="s">
        <v>101</v>
      </c>
      <c r="AE7" s="230" t="s">
        <v>102</v>
      </c>
      <c r="AF7" s="230" t="s">
        <v>103</v>
      </c>
      <c r="AG7" s="230" t="s">
        <v>104</v>
      </c>
      <c r="AH7" s="230" t="s">
        <v>105</v>
      </c>
      <c r="AI7" s="230" t="s">
        <v>106</v>
      </c>
      <c r="AJ7" s="230" t="s">
        <v>107</v>
      </c>
      <c r="AK7" s="230" t="s">
        <v>108</v>
      </c>
      <c r="AL7" s="230" t="s">
        <v>109</v>
      </c>
      <c r="AM7" s="230" t="s">
        <v>110</v>
      </c>
      <c r="AN7" s="230" t="s">
        <v>111</v>
      </c>
      <c r="AO7" s="230" t="s">
        <v>112</v>
      </c>
      <c r="AP7" s="230" t="s">
        <v>113</v>
      </c>
      <c r="AQ7" s="230" t="s">
        <v>114</v>
      </c>
      <c r="AR7" s="230" t="s">
        <v>115</v>
      </c>
      <c r="AS7" s="230" t="s">
        <v>116</v>
      </c>
      <c r="AT7" s="230" t="s">
        <v>117</v>
      </c>
      <c r="AU7" s="226" t="s">
        <v>118</v>
      </c>
      <c r="AV7" s="226" t="s">
        <v>119</v>
      </c>
      <c r="AW7" s="226" t="s">
        <v>120</v>
      </c>
      <c r="AX7" s="226" t="s">
        <v>121</v>
      </c>
      <c r="AY7" s="226" t="s">
        <v>122</v>
      </c>
      <c r="AZ7" s="226" t="s">
        <v>123</v>
      </c>
      <c r="BA7" s="226" t="s">
        <v>124</v>
      </c>
      <c r="BB7" s="226" t="s">
        <v>125</v>
      </c>
      <c r="BC7" s="226" t="s">
        <v>126</v>
      </c>
      <c r="BD7" s="226" t="s">
        <v>127</v>
      </c>
      <c r="BE7" s="226" t="s">
        <v>128</v>
      </c>
      <c r="BF7" s="226" t="s">
        <v>129</v>
      </c>
      <c r="BG7" s="226" t="s">
        <v>130</v>
      </c>
      <c r="BH7" s="226" t="s">
        <v>131</v>
      </c>
      <c r="BI7" s="226" t="s">
        <v>132</v>
      </c>
      <c r="BJ7" s="226" t="s">
        <v>133</v>
      </c>
      <c r="BK7" s="226" t="s">
        <v>134</v>
      </c>
      <c r="BL7" s="226" t="s">
        <v>135</v>
      </c>
      <c r="BM7" s="226" t="s">
        <v>136</v>
      </c>
      <c r="BN7" s="226" t="s">
        <v>137</v>
      </c>
      <c r="BO7" s="226" t="s">
        <v>138</v>
      </c>
      <c r="BP7" s="226" t="s">
        <v>139</v>
      </c>
      <c r="BQ7" s="226" t="s">
        <v>140</v>
      </c>
      <c r="BR7" s="226" t="s">
        <v>141</v>
      </c>
      <c r="BS7" s="226" t="s">
        <v>142</v>
      </c>
      <c r="BT7" s="226" t="s">
        <v>143</v>
      </c>
      <c r="BU7" s="226" t="s">
        <v>144</v>
      </c>
      <c r="BV7" s="226" t="s">
        <v>145</v>
      </c>
      <c r="BW7" s="226" t="s">
        <v>181</v>
      </c>
      <c r="BX7" s="226" t="s">
        <v>182</v>
      </c>
      <c r="BY7" s="226" t="s">
        <v>183</v>
      </c>
      <c r="BZ7" s="226" t="s">
        <v>184</v>
      </c>
      <c r="CA7" s="226" t="s">
        <v>185</v>
      </c>
      <c r="CB7" s="226" t="s">
        <v>186</v>
      </c>
      <c r="CC7" s="226" t="s">
        <v>187</v>
      </c>
      <c r="CD7" s="226" t="s">
        <v>188</v>
      </c>
      <c r="CE7" s="226" t="s">
        <v>146</v>
      </c>
    </row>
    <row r="8" spans="1:83">
      <c r="A8" s="226" t="s">
        <v>147</v>
      </c>
      <c r="B8" s="226" t="s">
        <v>148</v>
      </c>
      <c r="C8" s="231">
        <v>2.0350000000000001</v>
      </c>
      <c r="D8" s="231">
        <v>2.06</v>
      </c>
      <c r="E8" s="231">
        <v>2.0649999999999999</v>
      </c>
      <c r="F8" s="231">
        <v>2.0870000000000002</v>
      </c>
      <c r="G8" s="231">
        <v>2.1040000000000001</v>
      </c>
      <c r="H8" s="231">
        <v>2.1150000000000002</v>
      </c>
      <c r="I8" s="231">
        <v>2.1509999999999998</v>
      </c>
      <c r="J8" s="231">
        <v>2.17</v>
      </c>
      <c r="K8" s="231">
        <v>2.1869999999999998</v>
      </c>
      <c r="L8" s="231">
        <v>2.2120000000000002</v>
      </c>
      <c r="M8" s="231">
        <v>2.2349999999999999</v>
      </c>
      <c r="N8" s="231">
        <v>2.2210000000000001</v>
      </c>
      <c r="O8" s="231">
        <v>2.2320000000000002</v>
      </c>
      <c r="P8" s="231">
        <v>2.258</v>
      </c>
      <c r="Q8" s="231">
        <v>2.2759999999999998</v>
      </c>
      <c r="R8" s="231">
        <v>2.302</v>
      </c>
      <c r="S8" s="231">
        <v>2.3199999999999998</v>
      </c>
      <c r="T8" s="231">
        <v>2.3639999999999999</v>
      </c>
      <c r="U8" s="231">
        <v>2.4049999999999998</v>
      </c>
      <c r="V8" s="231">
        <v>2.351</v>
      </c>
      <c r="W8" s="231">
        <v>2.34</v>
      </c>
      <c r="X8" s="231">
        <v>2.347</v>
      </c>
      <c r="Y8" s="231">
        <v>2.367</v>
      </c>
      <c r="Z8" s="231">
        <v>2.3809999999999998</v>
      </c>
      <c r="AA8" s="231">
        <v>2.379</v>
      </c>
      <c r="AB8" s="231">
        <v>2.383</v>
      </c>
      <c r="AC8" s="231">
        <v>2.3980000000000001</v>
      </c>
      <c r="AD8" s="231">
        <v>2.4220000000000002</v>
      </c>
      <c r="AE8" s="231">
        <v>2.4319999999999999</v>
      </c>
      <c r="AF8" s="231">
        <v>2.4769999999999999</v>
      </c>
      <c r="AG8" s="231">
        <v>2.4889999999999999</v>
      </c>
      <c r="AH8" s="231">
        <v>2.4969999999999999</v>
      </c>
      <c r="AI8" s="231">
        <v>2.5129999999999999</v>
      </c>
      <c r="AJ8" s="231">
        <v>2.5190000000000001</v>
      </c>
      <c r="AK8" s="231">
        <v>2.5299999999999998</v>
      </c>
      <c r="AL8" s="231">
        <v>2.5499999999999998</v>
      </c>
      <c r="AM8" s="231">
        <v>2.5569999999999999</v>
      </c>
      <c r="AN8" s="231">
        <v>2.5550000000000002</v>
      </c>
      <c r="AO8" s="231">
        <v>2.5739999999999998</v>
      </c>
      <c r="AP8" s="231">
        <v>2.589</v>
      </c>
      <c r="AQ8" s="231">
        <v>2.597</v>
      </c>
      <c r="AR8" s="231">
        <v>2.6080000000000001</v>
      </c>
      <c r="AS8" s="231">
        <v>2.6139999999999999</v>
      </c>
      <c r="AT8" s="231">
        <v>2.617</v>
      </c>
      <c r="AU8" s="221">
        <v>2.6120000000000001</v>
      </c>
      <c r="AV8" s="221">
        <v>2.6230000000000002</v>
      </c>
      <c r="AW8" s="221">
        <v>2.6190000000000002</v>
      </c>
      <c r="AX8" s="221">
        <v>2.6269999999999998</v>
      </c>
      <c r="AY8" s="221">
        <v>2.621</v>
      </c>
      <c r="AZ8" s="221">
        <v>2.6419999999999999</v>
      </c>
      <c r="BA8" s="221">
        <v>2.6629999999999998</v>
      </c>
      <c r="BB8" s="221">
        <v>2.6779999999999999</v>
      </c>
      <c r="BC8" s="221">
        <v>2.694</v>
      </c>
      <c r="BD8" s="221">
        <v>2.6960000000000002</v>
      </c>
      <c r="BE8" s="221">
        <v>2.7080000000000002</v>
      </c>
      <c r="BF8" s="221">
        <v>2.72</v>
      </c>
      <c r="BG8" s="221">
        <v>2.7589999999999999</v>
      </c>
      <c r="BH8" s="221">
        <v>2.7719999999999998</v>
      </c>
      <c r="BI8" s="221">
        <v>2.7810000000000001</v>
      </c>
      <c r="BJ8" s="221">
        <v>2.7879999999999998</v>
      </c>
      <c r="BK8" s="221">
        <v>2.794</v>
      </c>
      <c r="BL8" s="221">
        <v>2.8210000000000002</v>
      </c>
      <c r="BM8" s="221">
        <v>2.843</v>
      </c>
      <c r="BN8" s="221">
        <v>2.8580000000000001</v>
      </c>
      <c r="BO8" s="221">
        <v>2.87</v>
      </c>
      <c r="BP8" s="221">
        <v>2.879</v>
      </c>
      <c r="BQ8" s="221">
        <v>2.8940000000000001</v>
      </c>
      <c r="BR8" s="221">
        <v>2.9039999999999999</v>
      </c>
      <c r="BS8" s="221">
        <v>2.927</v>
      </c>
      <c r="BT8" s="221">
        <v>2.9470000000000001</v>
      </c>
      <c r="BU8" s="221">
        <v>2.9670000000000001</v>
      </c>
      <c r="BV8" s="221">
        <v>2.9849999999999999</v>
      </c>
      <c r="BW8" s="221">
        <v>3.004</v>
      </c>
      <c r="BX8" s="221">
        <v>3.0209999999999999</v>
      </c>
      <c r="BY8" s="221">
        <v>3.0390000000000001</v>
      </c>
      <c r="BZ8" s="221">
        <v>3.0590000000000002</v>
      </c>
      <c r="CA8" s="221">
        <v>3.0779999999999998</v>
      </c>
      <c r="CB8" s="221">
        <v>3.0939999999999999</v>
      </c>
      <c r="CC8" s="221">
        <v>3.1139999999999999</v>
      </c>
      <c r="CD8" s="221">
        <v>3.1339999999999999</v>
      </c>
    </row>
    <row r="9" spans="1:83">
      <c r="A9" s="226" t="s">
        <v>149</v>
      </c>
      <c r="B9" s="226" t="s">
        <v>150</v>
      </c>
      <c r="C9" s="231">
        <v>2.0350000000000001</v>
      </c>
      <c r="D9" s="231">
        <v>2.06</v>
      </c>
      <c r="E9" s="231">
        <v>2.0649999999999999</v>
      </c>
      <c r="F9" s="231">
        <v>2.0870000000000002</v>
      </c>
      <c r="G9" s="231">
        <v>2.1040000000000001</v>
      </c>
      <c r="H9" s="231">
        <v>2.1150000000000002</v>
      </c>
      <c r="I9" s="231">
        <v>2.1509999999999998</v>
      </c>
      <c r="J9" s="231">
        <v>2.17</v>
      </c>
      <c r="K9" s="231">
        <v>2.1869999999999998</v>
      </c>
      <c r="L9" s="231">
        <v>2.2120000000000002</v>
      </c>
      <c r="M9" s="231">
        <v>2.2349999999999999</v>
      </c>
      <c r="N9" s="231">
        <v>2.2210000000000001</v>
      </c>
      <c r="O9" s="231">
        <v>2.2320000000000002</v>
      </c>
      <c r="P9" s="231">
        <v>2.258</v>
      </c>
      <c r="Q9" s="231">
        <v>2.2759999999999998</v>
      </c>
      <c r="R9" s="231">
        <v>2.302</v>
      </c>
      <c r="S9" s="231">
        <v>2.3199999999999998</v>
      </c>
      <c r="T9" s="231">
        <v>2.3639999999999999</v>
      </c>
      <c r="U9" s="231">
        <v>2.4049999999999998</v>
      </c>
      <c r="V9" s="231">
        <v>2.351</v>
      </c>
      <c r="W9" s="231">
        <v>2.34</v>
      </c>
      <c r="X9" s="231">
        <v>2.347</v>
      </c>
      <c r="Y9" s="231">
        <v>2.367</v>
      </c>
      <c r="Z9" s="231">
        <v>2.3809999999999998</v>
      </c>
      <c r="AA9" s="231">
        <v>2.379</v>
      </c>
      <c r="AB9" s="231">
        <v>2.383</v>
      </c>
      <c r="AC9" s="231">
        <v>2.3980000000000001</v>
      </c>
      <c r="AD9" s="231">
        <v>2.4220000000000002</v>
      </c>
      <c r="AE9" s="231">
        <v>2.4319999999999999</v>
      </c>
      <c r="AF9" s="231">
        <v>2.4769999999999999</v>
      </c>
      <c r="AG9" s="231">
        <v>2.4889999999999999</v>
      </c>
      <c r="AH9" s="231">
        <v>2.4969999999999999</v>
      </c>
      <c r="AI9" s="231">
        <v>2.5129999999999999</v>
      </c>
      <c r="AJ9" s="231">
        <v>2.5190000000000001</v>
      </c>
      <c r="AK9" s="231">
        <v>2.5299999999999998</v>
      </c>
      <c r="AL9" s="231">
        <v>2.5499999999999998</v>
      </c>
      <c r="AM9" s="231">
        <v>2.5569999999999999</v>
      </c>
      <c r="AN9" s="231">
        <v>2.5550000000000002</v>
      </c>
      <c r="AO9" s="231">
        <v>2.5739999999999998</v>
      </c>
      <c r="AP9" s="231">
        <v>2.589</v>
      </c>
      <c r="AQ9" s="231">
        <v>2.597</v>
      </c>
      <c r="AR9" s="231">
        <v>2.6080000000000001</v>
      </c>
      <c r="AS9" s="231">
        <v>2.6139999999999999</v>
      </c>
      <c r="AT9" s="231">
        <v>2.617</v>
      </c>
      <c r="AU9" s="221">
        <v>2.6120000000000001</v>
      </c>
      <c r="AV9" s="221">
        <v>2.6230000000000002</v>
      </c>
      <c r="AW9" s="221">
        <v>2.6190000000000002</v>
      </c>
      <c r="AX9" s="221">
        <v>2.6269999999999998</v>
      </c>
      <c r="AY9" s="221">
        <v>2.621</v>
      </c>
      <c r="AZ9" s="221">
        <v>2.6419999999999999</v>
      </c>
      <c r="BA9" s="221">
        <v>2.6629999999999998</v>
      </c>
      <c r="BB9" s="221">
        <v>2.6779999999999999</v>
      </c>
      <c r="BC9" s="221">
        <v>2.694</v>
      </c>
      <c r="BD9" s="221">
        <v>2.6960000000000002</v>
      </c>
      <c r="BE9" s="221">
        <v>2.7080000000000002</v>
      </c>
      <c r="BF9" s="221">
        <v>2.72</v>
      </c>
      <c r="BG9" s="221">
        <v>2.7589999999999999</v>
      </c>
      <c r="BH9" s="221">
        <v>2.7719999999999998</v>
      </c>
      <c r="BI9" s="221">
        <v>2.7810000000000001</v>
      </c>
      <c r="BJ9" s="221">
        <v>2.7879999999999998</v>
      </c>
      <c r="BK9" s="221">
        <v>2.794</v>
      </c>
      <c r="BL9" s="221">
        <v>2.8180000000000001</v>
      </c>
      <c r="BM9" s="221">
        <v>2.8359999999999999</v>
      </c>
      <c r="BN9" s="221">
        <v>2.8490000000000002</v>
      </c>
      <c r="BO9" s="221">
        <v>2.86</v>
      </c>
      <c r="BP9" s="221">
        <v>2.8660000000000001</v>
      </c>
      <c r="BQ9" s="221">
        <v>2.8780000000000001</v>
      </c>
      <c r="BR9" s="221">
        <v>2.8860000000000001</v>
      </c>
      <c r="BS9" s="221">
        <v>2.9049999999999998</v>
      </c>
      <c r="BT9" s="221">
        <v>2.9220000000000002</v>
      </c>
      <c r="BU9" s="221">
        <v>2.9369999999999998</v>
      </c>
      <c r="BV9" s="221">
        <v>2.9510000000000001</v>
      </c>
      <c r="BW9" s="221">
        <v>2.964</v>
      </c>
      <c r="BX9" s="221">
        <v>2.976</v>
      </c>
      <c r="BY9" s="221">
        <v>2.99</v>
      </c>
      <c r="BZ9" s="221">
        <v>3.0030000000000001</v>
      </c>
      <c r="CA9" s="221">
        <v>3.0179999999999998</v>
      </c>
      <c r="CB9" s="221">
        <v>3.0289999999999999</v>
      </c>
      <c r="CC9" s="221">
        <v>3.0449999999999999</v>
      </c>
      <c r="CD9" s="221">
        <v>3.0609999999999999</v>
      </c>
    </row>
    <row r="10" spans="1:83">
      <c r="A10" s="226" t="s">
        <v>151</v>
      </c>
      <c r="B10" s="226" t="s">
        <v>152</v>
      </c>
      <c r="C10" s="231">
        <v>2.0350000000000001</v>
      </c>
      <c r="D10" s="231">
        <v>2.06</v>
      </c>
      <c r="E10" s="231">
        <v>2.0649999999999999</v>
      </c>
      <c r="F10" s="231">
        <v>2.0870000000000002</v>
      </c>
      <c r="G10" s="231">
        <v>2.1040000000000001</v>
      </c>
      <c r="H10" s="231">
        <v>2.1150000000000002</v>
      </c>
      <c r="I10" s="231">
        <v>2.1509999999999998</v>
      </c>
      <c r="J10" s="231">
        <v>2.17</v>
      </c>
      <c r="K10" s="231">
        <v>2.1869999999999998</v>
      </c>
      <c r="L10" s="231">
        <v>2.2120000000000002</v>
      </c>
      <c r="M10" s="231">
        <v>2.2349999999999999</v>
      </c>
      <c r="N10" s="231">
        <v>2.2210000000000001</v>
      </c>
      <c r="O10" s="231">
        <v>2.2320000000000002</v>
      </c>
      <c r="P10" s="231">
        <v>2.258</v>
      </c>
      <c r="Q10" s="231">
        <v>2.2759999999999998</v>
      </c>
      <c r="R10" s="231">
        <v>2.302</v>
      </c>
      <c r="S10" s="231">
        <v>2.3199999999999998</v>
      </c>
      <c r="T10" s="231">
        <v>2.3639999999999999</v>
      </c>
      <c r="U10" s="231">
        <v>2.4049999999999998</v>
      </c>
      <c r="V10" s="231">
        <v>2.351</v>
      </c>
      <c r="W10" s="231">
        <v>2.34</v>
      </c>
      <c r="X10" s="231">
        <v>2.347</v>
      </c>
      <c r="Y10" s="231">
        <v>2.367</v>
      </c>
      <c r="Z10" s="231">
        <v>2.3809999999999998</v>
      </c>
      <c r="AA10" s="231">
        <v>2.379</v>
      </c>
      <c r="AB10" s="231">
        <v>2.383</v>
      </c>
      <c r="AC10" s="231">
        <v>2.3980000000000001</v>
      </c>
      <c r="AD10" s="231">
        <v>2.4220000000000002</v>
      </c>
      <c r="AE10" s="231">
        <v>2.4319999999999999</v>
      </c>
      <c r="AF10" s="231">
        <v>2.4769999999999999</v>
      </c>
      <c r="AG10" s="231">
        <v>2.4889999999999999</v>
      </c>
      <c r="AH10" s="231">
        <v>2.4969999999999999</v>
      </c>
      <c r="AI10" s="231">
        <v>2.5129999999999999</v>
      </c>
      <c r="AJ10" s="231">
        <v>2.5190000000000001</v>
      </c>
      <c r="AK10" s="231">
        <v>2.5299999999999998</v>
      </c>
      <c r="AL10" s="231">
        <v>2.5499999999999998</v>
      </c>
      <c r="AM10" s="231">
        <v>2.5569999999999999</v>
      </c>
      <c r="AN10" s="231">
        <v>2.5550000000000002</v>
      </c>
      <c r="AO10" s="231">
        <v>2.5739999999999998</v>
      </c>
      <c r="AP10" s="231">
        <v>2.589</v>
      </c>
      <c r="AQ10" s="231">
        <v>2.597</v>
      </c>
      <c r="AR10" s="231">
        <v>2.6080000000000001</v>
      </c>
      <c r="AS10" s="231">
        <v>2.6139999999999999</v>
      </c>
      <c r="AT10" s="231">
        <v>2.617</v>
      </c>
      <c r="AU10" s="221">
        <v>2.6120000000000001</v>
      </c>
      <c r="AV10" s="221">
        <v>2.6230000000000002</v>
      </c>
      <c r="AW10" s="221">
        <v>2.6190000000000002</v>
      </c>
      <c r="AX10" s="221">
        <v>2.6269999999999998</v>
      </c>
      <c r="AY10" s="221">
        <v>2.621</v>
      </c>
      <c r="AZ10" s="221">
        <v>2.6419999999999999</v>
      </c>
      <c r="BA10" s="221">
        <v>2.6629999999999998</v>
      </c>
      <c r="BB10" s="221">
        <v>2.6779999999999999</v>
      </c>
      <c r="BC10" s="221">
        <v>2.694</v>
      </c>
      <c r="BD10" s="221">
        <v>2.6960000000000002</v>
      </c>
      <c r="BE10" s="221">
        <v>2.7080000000000002</v>
      </c>
      <c r="BF10" s="221">
        <v>2.72</v>
      </c>
      <c r="BG10" s="221">
        <v>2.7589999999999999</v>
      </c>
      <c r="BH10" s="221">
        <v>2.7719999999999998</v>
      </c>
      <c r="BI10" s="221">
        <v>2.7810000000000001</v>
      </c>
      <c r="BJ10" s="221">
        <v>2.7879999999999998</v>
      </c>
      <c r="BK10" s="221">
        <v>2.794</v>
      </c>
      <c r="BL10" s="221">
        <v>2.8239999999999998</v>
      </c>
      <c r="BM10" s="221">
        <v>2.8479999999999999</v>
      </c>
      <c r="BN10" s="221">
        <v>2.867</v>
      </c>
      <c r="BO10" s="221">
        <v>2.8839999999999999</v>
      </c>
      <c r="BP10" s="221">
        <v>2.8959999999999999</v>
      </c>
      <c r="BQ10" s="221">
        <v>2.9169999999999998</v>
      </c>
      <c r="BR10" s="221">
        <v>2.9319999999999999</v>
      </c>
      <c r="BS10" s="221">
        <v>2.96</v>
      </c>
      <c r="BT10" s="221">
        <v>2.9870000000000001</v>
      </c>
      <c r="BU10" s="221">
        <v>3.0129999999999999</v>
      </c>
      <c r="BV10" s="221">
        <v>3.0369999999999999</v>
      </c>
      <c r="BW10" s="221">
        <v>3.0619999999999998</v>
      </c>
      <c r="BX10" s="221">
        <v>3.0859999999999999</v>
      </c>
      <c r="BY10" s="221">
        <v>3.1120000000000001</v>
      </c>
      <c r="BZ10" s="221">
        <v>3.1389999999999998</v>
      </c>
      <c r="CA10" s="221">
        <v>3.1669999999999998</v>
      </c>
      <c r="CB10" s="221">
        <v>3.19</v>
      </c>
      <c r="CC10" s="221">
        <v>3.218</v>
      </c>
      <c r="CD10" s="221">
        <v>3.246</v>
      </c>
    </row>
    <row r="11" spans="1:83">
      <c r="A11" s="226"/>
      <c r="B11" s="226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</row>
    <row r="12" spans="1:83">
      <c r="A12" s="226"/>
      <c r="B12" s="226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</row>
    <row r="13" spans="1:83">
      <c r="A13" s="226"/>
      <c r="B13" s="226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</row>
    <row r="14" spans="1:83">
      <c r="BI14" s="106" t="s">
        <v>153</v>
      </c>
      <c r="BJ14" s="107"/>
      <c r="BK14" s="107"/>
      <c r="BL14" s="108" t="s">
        <v>190</v>
      </c>
      <c r="BM14" s="109"/>
      <c r="BN14" s="109"/>
      <c r="BO14" s="109"/>
      <c r="BP14" s="109"/>
      <c r="BQ14" s="109"/>
      <c r="BR14" s="107"/>
      <c r="BS14" s="107"/>
      <c r="BT14" s="107"/>
    </row>
    <row r="15" spans="1:83">
      <c r="BI15" s="110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2"/>
    </row>
    <row r="16" spans="1:83">
      <c r="BI16" s="113"/>
      <c r="BJ16" s="114" t="s">
        <v>154</v>
      </c>
      <c r="BK16" s="115" t="s">
        <v>189</v>
      </c>
      <c r="BL16" s="115"/>
      <c r="BM16" s="115"/>
      <c r="BN16" s="115"/>
      <c r="BO16" s="115"/>
      <c r="BP16" s="115"/>
      <c r="BQ16" s="115"/>
      <c r="BR16" s="115"/>
      <c r="BS16" s="115"/>
      <c r="BT16" s="116"/>
    </row>
    <row r="17" spans="61:72">
      <c r="BI17" s="113"/>
      <c r="BJ17" s="115"/>
      <c r="BK17" s="125" t="s">
        <v>137</v>
      </c>
      <c r="BL17" s="125"/>
      <c r="BM17" s="125"/>
      <c r="BN17" s="125"/>
      <c r="BO17" s="115"/>
      <c r="BP17" s="115"/>
      <c r="BQ17" s="115"/>
      <c r="BR17" s="115"/>
      <c r="BS17" s="115"/>
      <c r="BT17" s="117" t="s">
        <v>63</v>
      </c>
    </row>
    <row r="18" spans="61:72">
      <c r="BI18" s="113"/>
      <c r="BJ18" s="115"/>
      <c r="BK18" s="221">
        <v>2.8490000000000002</v>
      </c>
      <c r="BL18" s="126"/>
      <c r="BM18" s="126"/>
      <c r="BN18" s="126"/>
      <c r="BO18" s="115"/>
      <c r="BP18" s="115"/>
      <c r="BQ18" s="115"/>
      <c r="BR18" s="115"/>
      <c r="BS18" s="115"/>
      <c r="BT18" s="118">
        <f>AVERAGE(BK18:BN18)</f>
        <v>2.8490000000000002</v>
      </c>
    </row>
    <row r="19" spans="61:72">
      <c r="BI19" s="113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9"/>
    </row>
    <row r="20" spans="61:72">
      <c r="BI20" s="113"/>
      <c r="BJ20" s="114" t="s">
        <v>155</v>
      </c>
      <c r="BK20" s="115" t="s">
        <v>209</v>
      </c>
      <c r="BL20" s="115"/>
      <c r="BM20" s="115"/>
      <c r="BN20" s="115"/>
      <c r="BO20" s="115"/>
      <c r="BP20" s="115"/>
      <c r="BQ20" s="115"/>
      <c r="BR20" s="115"/>
      <c r="BS20" s="115"/>
      <c r="BT20" s="119"/>
    </row>
    <row r="21" spans="61:72">
      <c r="BI21" s="113"/>
      <c r="BJ21" s="115"/>
      <c r="BK21" s="226" t="s">
        <v>138</v>
      </c>
      <c r="BL21" s="226" t="s">
        <v>139</v>
      </c>
      <c r="BM21" s="226" t="s">
        <v>140</v>
      </c>
      <c r="BN21" s="226" t="s">
        <v>141</v>
      </c>
      <c r="BO21" s="226" t="s">
        <v>142</v>
      </c>
      <c r="BP21" s="226" t="s">
        <v>143</v>
      </c>
      <c r="BQ21" s="226" t="s">
        <v>144</v>
      </c>
      <c r="BR21" s="226" t="s">
        <v>145</v>
      </c>
      <c r="BS21" s="115"/>
      <c r="BT21" s="119"/>
    </row>
    <row r="22" spans="61:72">
      <c r="BI22" s="113"/>
      <c r="BJ22" s="115"/>
      <c r="BK22" s="221">
        <v>2.86</v>
      </c>
      <c r="BL22" s="221">
        <v>2.8660000000000001</v>
      </c>
      <c r="BM22" s="221">
        <v>2.8780000000000001</v>
      </c>
      <c r="BN22" s="221">
        <v>2.8860000000000001</v>
      </c>
      <c r="BO22" s="221">
        <v>2.9049999999999998</v>
      </c>
      <c r="BP22" s="221">
        <v>2.9220000000000002</v>
      </c>
      <c r="BQ22" s="221">
        <v>2.9369999999999998</v>
      </c>
      <c r="BR22" s="221">
        <v>2.9510000000000001</v>
      </c>
      <c r="BS22" s="115"/>
      <c r="BT22" s="118">
        <f>AVERAGE(BK22:BR22)</f>
        <v>2.9006249999999998</v>
      </c>
    </row>
    <row r="23" spans="61:72">
      <c r="BI23" s="113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9"/>
    </row>
    <row r="24" spans="61:72">
      <c r="BI24" s="113"/>
      <c r="BJ24" s="115"/>
      <c r="BK24" s="115"/>
      <c r="BL24" s="115"/>
      <c r="BM24" s="115"/>
      <c r="BN24" s="115"/>
      <c r="BO24" s="115"/>
      <c r="BP24" s="115"/>
      <c r="BQ24" s="115"/>
      <c r="BR24" s="115"/>
      <c r="BS24" s="120" t="s">
        <v>156</v>
      </c>
      <c r="BT24" s="121">
        <f>(BT22-BT18)/BT18</f>
        <v>1.8120393120392975E-2</v>
      </c>
    </row>
    <row r="25" spans="61:72">
      <c r="BI25" s="122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4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ATS - 3395</vt:lpstr>
      <vt:lpstr>CSS - 4931</vt:lpstr>
      <vt:lpstr>TSS - 3434</vt:lpstr>
      <vt:lpstr>Section 35</vt:lpstr>
      <vt:lpstr>CAF</vt:lpstr>
      <vt:lpstr>'ATS - 3395'!Print_Area</vt:lpstr>
      <vt:lpstr>CAF!Print_Area</vt:lpstr>
      <vt:lpstr>'CSS - 4931'!Print_Area</vt:lpstr>
      <vt:lpstr>'Section 35'!Print_Area</vt:lpstr>
      <vt:lpstr>'TSS - 3434'!Print_Area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EHS</dc:creator>
  <cp:lastModifiedBy> </cp:lastModifiedBy>
  <cp:lastPrinted>2019-09-04T14:28:38Z</cp:lastPrinted>
  <dcterms:created xsi:type="dcterms:W3CDTF">2017-05-22T18:43:44Z</dcterms:created>
  <dcterms:modified xsi:type="dcterms:W3CDTF">2019-09-05T14:55:05Z</dcterms:modified>
</cp:coreProperties>
</file>