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0" yWindow="3915" windowWidth="7500" windowHeight="4260" tabRatio="932" firstSheet="1" activeTab="1"/>
  </bookViews>
  <sheets>
    <sheet name="RR Chart" sheetId="35" state="hidden" r:id="rId1"/>
    <sheet name="Youth Res Rate Models" sheetId="28" r:id="rId2"/>
    <sheet name="Rate Options" sheetId="12" state="hidden" r:id="rId3"/>
    <sheet name="TILP Rates (A&amp;B)" sheetId="29" r:id="rId4"/>
    <sheet name="TILP Rates" sheetId="11" state="hidden" r:id="rId5"/>
    <sheet name="Higher Need Rate Opt (rebased)" sheetId="30" state="hidden" r:id="rId6"/>
    <sheet name="Higher Need Rate Options" sheetId="18" state="hidden" r:id="rId7"/>
    <sheet name=" Add-On Rates(DC &amp; Clinical)" sheetId="6" r:id="rId8"/>
    <sheet name="OLD Fiscal Impact" sheetId="31" state="hidden" r:id="rId9"/>
    <sheet name="Spring 2019 CAF" sheetId="36" r:id="rId10"/>
    <sheet name="Rate Chart" sheetId="34" state="hidden" r:id="rId11"/>
    <sheet name="Bed Day Data" sheetId="1" state="hidden" r:id="rId12"/>
    <sheet name="FTE Ratios" sheetId="14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11" hidden="1">'Bed Day Data'!$A$1:$FK$28</definedName>
    <definedName name="gk" localSheetId="5">#REF!</definedName>
    <definedName name="gk" localSheetId="6">#REF!</definedName>
    <definedName name="gk" localSheetId="3">#REF!</definedName>
    <definedName name="gk" localSheetId="1">#REF!</definedName>
    <definedName name="gk">#REF!</definedName>
    <definedName name="_xlnm.Print_Area" localSheetId="7">' Add-On Rates(DC &amp; Clinical)'!$B$22:$R$205</definedName>
    <definedName name="_xlnm.Print_Area" localSheetId="11">'Bed Day Data'!$A$1:$CA$24</definedName>
    <definedName name="_xlnm.Print_Area" localSheetId="5">'Higher Need Rate Opt (rebased)'!$A$1:$W$153</definedName>
    <definedName name="_xlnm.Print_Area" localSheetId="6">'Higher Need Rate Options'!$A$1:$AE$149</definedName>
    <definedName name="_xlnm.Print_Area" localSheetId="8">'OLD Fiscal Impact'!$A$1:$J$45</definedName>
    <definedName name="_xlnm.Print_Area" localSheetId="10">'Rate Chart'!$C$1:$H$146</definedName>
    <definedName name="_xlnm.Print_Area" localSheetId="2">'Rate Options'!$A$1:$AD$155</definedName>
    <definedName name="_xlnm.Print_Area" localSheetId="0">'RR Chart'!$A$1:$O$197</definedName>
    <definedName name="_xlnm.Print_Area" localSheetId="9">'Spring 2019 CAF'!$BI$6:$BZ$26</definedName>
    <definedName name="_xlnm.Print_Area" localSheetId="4">'TILP Rates'!$A$1:$AN$84</definedName>
    <definedName name="_xlnm.Print_Area" localSheetId="3">'TILP Rates (A&amp;B)'!$A$1:$AD$86</definedName>
    <definedName name="_xlnm.Print_Area" localSheetId="1">'Youth Res Rate Models'!$A$1:$AE$156</definedName>
    <definedName name="_xlnm.Print_Titles" localSheetId="11">'Bed Day Data'!$A:$B,'Bed Day Data'!#REF!</definedName>
    <definedName name="_xlnm.Print_Titles" localSheetId="9">'Spring 2019 CAF'!$A:$A</definedName>
  </definedNames>
  <calcPr calcId="145621" fullCalcOnLoad="1"/>
</workbook>
</file>

<file path=xl/calcChain.xml><?xml version="1.0" encoding="utf-8"?>
<calcChain xmlns="http://schemas.openxmlformats.org/spreadsheetml/2006/main">
  <c r="W26" i="28" l="1"/>
  <c r="W28" i="28"/>
  <c r="Q36" i="28"/>
  <c r="Q29" i="28"/>
  <c r="Q30" i="28"/>
  <c r="Q31" i="28"/>
  <c r="Q32" i="28"/>
  <c r="Q33" i="28"/>
  <c r="Q34" i="28"/>
  <c r="Q35" i="28"/>
  <c r="Q28" i="28"/>
  <c r="Q26" i="28"/>
  <c r="K28" i="28"/>
  <c r="E28" i="28"/>
  <c r="Q22" i="28"/>
  <c r="Q21" i="28"/>
  <c r="P11" i="28"/>
  <c r="L161" i="6"/>
  <c r="C161" i="6"/>
  <c r="L96" i="6"/>
  <c r="C96" i="6"/>
  <c r="O32" i="6"/>
  <c r="AC10" i="28"/>
  <c r="Q11" i="28"/>
  <c r="C34" i="6"/>
  <c r="C98" i="6"/>
  <c r="U76" i="29"/>
  <c r="O76" i="29"/>
  <c r="I76" i="29"/>
  <c r="C76" i="29"/>
  <c r="AH44" i="29"/>
  <c r="C72" i="29"/>
  <c r="I72" i="29"/>
  <c r="O72" i="29"/>
  <c r="U72" i="29"/>
  <c r="C142" i="28"/>
  <c r="I142" i="28"/>
  <c r="O142" i="28"/>
  <c r="U142" i="28"/>
  <c r="U105" i="28"/>
  <c r="O105" i="28"/>
  <c r="I105" i="28"/>
  <c r="C105" i="28"/>
  <c r="O64" i="28"/>
  <c r="I64" i="28"/>
  <c r="C64" i="28"/>
  <c r="U64" i="28"/>
  <c r="AB43" i="28"/>
  <c r="O146" i="28"/>
  <c r="B9" i="28"/>
  <c r="D9" i="28"/>
  <c r="BM23" i="36"/>
  <c r="BN23" i="36"/>
  <c r="BO23" i="36"/>
  <c r="BP23" i="36"/>
  <c r="BQ23" i="36"/>
  <c r="BR23" i="36"/>
  <c r="BS23" i="36"/>
  <c r="BL23" i="36"/>
  <c r="BM22" i="36"/>
  <c r="BN22" i="36"/>
  <c r="BO22" i="36"/>
  <c r="BP22" i="36"/>
  <c r="BQ22" i="36"/>
  <c r="BR22" i="36"/>
  <c r="BS22" i="36"/>
  <c r="BL22" i="36"/>
  <c r="BL19" i="36"/>
  <c r="BU19" i="36"/>
  <c r="T2" i="35"/>
  <c r="K18" i="35"/>
  <c r="K20" i="35"/>
  <c r="K22" i="35"/>
  <c r="K24" i="35"/>
  <c r="K29" i="35"/>
  <c r="K31" i="35"/>
  <c r="K33" i="35"/>
  <c r="K34" i="35"/>
  <c r="K35" i="35"/>
  <c r="K36" i="35"/>
  <c r="K37" i="35"/>
  <c r="K41" i="35"/>
  <c r="K42" i="35"/>
  <c r="K43" i="35"/>
  <c r="K44" i="35"/>
  <c r="K45" i="35"/>
  <c r="K46" i="35"/>
  <c r="K47" i="35"/>
  <c r="K48" i="35"/>
  <c r="K49" i="35"/>
  <c r="K53" i="35"/>
  <c r="O53" i="35"/>
  <c r="N54" i="35"/>
  <c r="M55" i="35"/>
  <c r="M56" i="35"/>
  <c r="K58" i="35"/>
  <c r="N59" i="35"/>
  <c r="L61" i="35"/>
  <c r="O65" i="35"/>
  <c r="M67" i="35"/>
  <c r="K69" i="35"/>
  <c r="N70" i="35"/>
  <c r="L72" i="35"/>
  <c r="O73" i="35"/>
  <c r="N79" i="35"/>
  <c r="N81" i="35"/>
  <c r="N83" i="35"/>
  <c r="N85" i="35"/>
  <c r="N90" i="35"/>
  <c r="N92" i="35"/>
  <c r="L197" i="35"/>
  <c r="L196" i="35"/>
  <c r="L195" i="35"/>
  <c r="L194" i="35"/>
  <c r="L193" i="35"/>
  <c r="L192" i="35"/>
  <c r="L191" i="35"/>
  <c r="L190" i="35"/>
  <c r="L189" i="35"/>
  <c r="L185" i="35"/>
  <c r="L184" i="35"/>
  <c r="L183" i="35"/>
  <c r="L182" i="35"/>
  <c r="L181" i="35"/>
  <c r="L180" i="35"/>
  <c r="L179" i="35"/>
  <c r="L178" i="35"/>
  <c r="L177" i="35"/>
  <c r="L173" i="35"/>
  <c r="L172" i="35"/>
  <c r="N171" i="35"/>
  <c r="L171" i="35"/>
  <c r="N170" i="35"/>
  <c r="L170" i="35"/>
  <c r="N169" i="35"/>
  <c r="L169" i="35"/>
  <c r="N168" i="35"/>
  <c r="L168" i="35"/>
  <c r="N167" i="35"/>
  <c r="L167" i="35"/>
  <c r="N166" i="35"/>
  <c r="M197" i="35"/>
  <c r="K197" i="35"/>
  <c r="M196" i="35"/>
  <c r="K196" i="35"/>
  <c r="M195" i="35"/>
  <c r="K195" i="35"/>
  <c r="M194" i="35"/>
  <c r="K194" i="35"/>
  <c r="M193" i="35"/>
  <c r="K193" i="35"/>
  <c r="M192" i="35"/>
  <c r="K192" i="35"/>
  <c r="M191" i="35"/>
  <c r="K191" i="35"/>
  <c r="M190" i="35"/>
  <c r="K190" i="35"/>
  <c r="M189" i="35"/>
  <c r="K189" i="35"/>
  <c r="M185" i="35"/>
  <c r="K185" i="35"/>
  <c r="M184" i="35"/>
  <c r="K184" i="35"/>
  <c r="M183" i="35"/>
  <c r="K183" i="35"/>
  <c r="M182" i="35"/>
  <c r="K182" i="35"/>
  <c r="M181" i="35"/>
  <c r="K181" i="35"/>
  <c r="M180" i="35"/>
  <c r="K180" i="35"/>
  <c r="M179" i="35"/>
  <c r="K179" i="35"/>
  <c r="M178" i="35"/>
  <c r="K178" i="35"/>
  <c r="M177" i="35"/>
  <c r="K177" i="35"/>
  <c r="M173" i="35"/>
  <c r="K173" i="35"/>
  <c r="M172" i="35"/>
  <c r="K172" i="35"/>
  <c r="M171" i="35"/>
  <c r="K171" i="35"/>
  <c r="M170" i="35"/>
  <c r="K170" i="35"/>
  <c r="M169" i="35"/>
  <c r="K169" i="35"/>
  <c r="M168" i="35"/>
  <c r="K168" i="35"/>
  <c r="M167" i="35"/>
  <c r="K167" i="35"/>
  <c r="M166" i="35"/>
  <c r="K166" i="35"/>
  <c r="M165" i="35"/>
  <c r="K165" i="35"/>
  <c r="M161" i="35"/>
  <c r="K161" i="35"/>
  <c r="M160" i="35"/>
  <c r="K160" i="35"/>
  <c r="M159" i="35"/>
  <c r="K159" i="35"/>
  <c r="M158" i="35"/>
  <c r="K158" i="35"/>
  <c r="M157" i="35"/>
  <c r="K157" i="35"/>
  <c r="M156" i="35"/>
  <c r="K156" i="35"/>
  <c r="M155" i="35"/>
  <c r="K155" i="35"/>
  <c r="M154" i="35"/>
  <c r="K154" i="35"/>
  <c r="M153" i="35"/>
  <c r="K153" i="35"/>
  <c r="M149" i="35"/>
  <c r="K149" i="35"/>
  <c r="M148" i="35"/>
  <c r="K148" i="35"/>
  <c r="M147" i="35"/>
  <c r="K147" i="35"/>
  <c r="M146" i="35"/>
  <c r="K146" i="35"/>
  <c r="M145" i="35"/>
  <c r="K145" i="35"/>
  <c r="M144" i="35"/>
  <c r="K144" i="35"/>
  <c r="M143" i="35"/>
  <c r="L166" i="35"/>
  <c r="L165" i="35"/>
  <c r="L161" i="35"/>
  <c r="L160" i="35"/>
  <c r="L159" i="35"/>
  <c r="L158" i="35"/>
  <c r="L157" i="35"/>
  <c r="L156" i="35"/>
  <c r="L155" i="35"/>
  <c r="L154" i="35"/>
  <c r="L153" i="35"/>
  <c r="L149" i="35"/>
  <c r="L148" i="35"/>
  <c r="L147" i="35"/>
  <c r="L146" i="35"/>
  <c r="L145" i="35"/>
  <c r="L144" i="35"/>
  <c r="L143" i="35"/>
  <c r="N142" i="35"/>
  <c r="L142" i="35"/>
  <c r="N141" i="35"/>
  <c r="L141" i="35"/>
  <c r="N137" i="35"/>
  <c r="L137" i="35"/>
  <c r="N136" i="35"/>
  <c r="L136" i="35"/>
  <c r="N135" i="35"/>
  <c r="L135" i="35"/>
  <c r="N134" i="35"/>
  <c r="L134" i="35"/>
  <c r="N133" i="35"/>
  <c r="L133" i="35"/>
  <c r="N132" i="35"/>
  <c r="L132" i="35"/>
  <c r="N131" i="35"/>
  <c r="L131" i="35"/>
  <c r="N130" i="35"/>
  <c r="L130" i="35"/>
  <c r="N129" i="35"/>
  <c r="L129" i="35"/>
  <c r="N122" i="35"/>
  <c r="L122" i="35"/>
  <c r="N121" i="35"/>
  <c r="L121" i="35"/>
  <c r="N120" i="35"/>
  <c r="L120" i="35"/>
  <c r="N119" i="35"/>
  <c r="L119" i="35"/>
  <c r="N118" i="35"/>
  <c r="L118" i="35"/>
  <c r="N117" i="35"/>
  <c r="L117" i="35"/>
  <c r="N116" i="35"/>
  <c r="L116" i="35"/>
  <c r="N115" i="35"/>
  <c r="L115" i="35"/>
  <c r="N114" i="35"/>
  <c r="L114" i="35"/>
  <c r="N110" i="35"/>
  <c r="L110" i="35"/>
  <c r="N109" i="35"/>
  <c r="L109" i="35"/>
  <c r="N108" i="35"/>
  <c r="L108" i="35"/>
  <c r="N107" i="35"/>
  <c r="L107" i="35"/>
  <c r="N106" i="35"/>
  <c r="L106" i="35"/>
  <c r="N105" i="35"/>
  <c r="L105" i="35"/>
  <c r="N104" i="35"/>
  <c r="L104" i="35"/>
  <c r="N103" i="35"/>
  <c r="L103" i="35"/>
  <c r="N102" i="35"/>
  <c r="L102" i="35"/>
  <c r="N98" i="35"/>
  <c r="L98" i="35"/>
  <c r="N97" i="35"/>
  <c r="L97" i="35"/>
  <c r="N96" i="35"/>
  <c r="L96" i="35"/>
  <c r="N95" i="35"/>
  <c r="L95" i="35"/>
  <c r="N94" i="35"/>
  <c r="N165" i="35"/>
  <c r="N161" i="35"/>
  <c r="N160" i="35"/>
  <c r="N159" i="35"/>
  <c r="N158" i="35"/>
  <c r="N157" i="35"/>
  <c r="N156" i="35"/>
  <c r="N155" i="35"/>
  <c r="N154" i="35"/>
  <c r="N153" i="35"/>
  <c r="N149" i="35"/>
  <c r="N148" i="35"/>
  <c r="N147" i="35"/>
  <c r="N146" i="35"/>
  <c r="N145" i="35"/>
  <c r="N144" i="35"/>
  <c r="N143" i="35"/>
  <c r="K143" i="35"/>
  <c r="M142" i="35"/>
  <c r="K142" i="35"/>
  <c r="M141" i="35"/>
  <c r="K141" i="35"/>
  <c r="M137" i="35"/>
  <c r="K137" i="35"/>
  <c r="M136" i="35"/>
  <c r="K136" i="35"/>
  <c r="M135" i="35"/>
  <c r="K135" i="35"/>
  <c r="M134" i="35"/>
  <c r="K134" i="35"/>
  <c r="M133" i="35"/>
  <c r="K133" i="35"/>
  <c r="M132" i="35"/>
  <c r="K132" i="35"/>
  <c r="M131" i="35"/>
  <c r="K131" i="35"/>
  <c r="M130" i="35"/>
  <c r="K130" i="35"/>
  <c r="M129" i="35"/>
  <c r="K129" i="35"/>
  <c r="M122" i="35"/>
  <c r="K122" i="35"/>
  <c r="M121" i="35"/>
  <c r="K121" i="35"/>
  <c r="M120" i="35"/>
  <c r="K120" i="35"/>
  <c r="M119" i="35"/>
  <c r="K119" i="35"/>
  <c r="M118" i="35"/>
  <c r="K118" i="35"/>
  <c r="M117" i="35"/>
  <c r="K117" i="35"/>
  <c r="M116" i="35"/>
  <c r="K116" i="35"/>
  <c r="M115" i="35"/>
  <c r="K115" i="35"/>
  <c r="M114" i="35"/>
  <c r="K114" i="35"/>
  <c r="M110" i="35"/>
  <c r="K110" i="35"/>
  <c r="M109" i="35"/>
  <c r="K109" i="35"/>
  <c r="M108" i="35"/>
  <c r="K108" i="35"/>
  <c r="M107" i="35"/>
  <c r="K107" i="35"/>
  <c r="M106" i="35"/>
  <c r="K106" i="35"/>
  <c r="M105" i="35"/>
  <c r="K105" i="35"/>
  <c r="M104" i="35"/>
  <c r="K104" i="35"/>
  <c r="M103" i="35"/>
  <c r="K103" i="35"/>
  <c r="M102" i="35"/>
  <c r="K102" i="35"/>
  <c r="M98" i="35"/>
  <c r="K98" i="35"/>
  <c r="M97" i="35"/>
  <c r="K97" i="35"/>
  <c r="M96" i="35"/>
  <c r="K96" i="35"/>
  <c r="M95" i="35"/>
  <c r="K95" i="35"/>
  <c r="M94" i="35"/>
  <c r="K94" i="35"/>
  <c r="M93" i="35"/>
  <c r="K93" i="35"/>
  <c r="M92" i="35"/>
  <c r="K92" i="35"/>
  <c r="M91" i="35"/>
  <c r="K91" i="35"/>
  <c r="M90" i="35"/>
  <c r="K90" i="35"/>
  <c r="M86" i="35"/>
  <c r="K86" i="35"/>
  <c r="M85" i="35"/>
  <c r="K85" i="35"/>
  <c r="M84" i="35"/>
  <c r="K84" i="35"/>
  <c r="M83" i="35"/>
  <c r="K83" i="35"/>
  <c r="M82" i="35"/>
  <c r="K82" i="35"/>
  <c r="M81" i="35"/>
  <c r="K81" i="35"/>
  <c r="M80" i="35"/>
  <c r="K80" i="35"/>
  <c r="M79" i="35"/>
  <c r="K79" i="35"/>
  <c r="M78" i="35"/>
  <c r="K78" i="35"/>
  <c r="N73" i="35"/>
  <c r="L73" i="35"/>
  <c r="O72" i="35"/>
  <c r="M72" i="35"/>
  <c r="K72" i="35"/>
  <c r="N71" i="35"/>
  <c r="L71" i="35"/>
  <c r="O70" i="35"/>
  <c r="M70" i="35"/>
  <c r="K70" i="35"/>
  <c r="N69" i="35"/>
  <c r="L69" i="35"/>
  <c r="O68" i="35"/>
  <c r="M68" i="35"/>
  <c r="K68" i="35"/>
  <c r="N67" i="35"/>
  <c r="L67" i="35"/>
  <c r="O66" i="35"/>
  <c r="M66" i="35"/>
  <c r="K66" i="35"/>
  <c r="N65" i="35"/>
  <c r="L65" i="35"/>
  <c r="O61" i="35"/>
  <c r="M61" i="35"/>
  <c r="K61" i="35"/>
  <c r="N60" i="35"/>
  <c r="L60" i="35"/>
  <c r="O59" i="35"/>
  <c r="M59" i="35"/>
  <c r="K59" i="35"/>
  <c r="N58" i="35"/>
  <c r="L58" i="35"/>
  <c r="O57" i="35"/>
  <c r="M57" i="35"/>
  <c r="K57" i="35"/>
  <c r="N56" i="35"/>
  <c r="L56" i="35"/>
  <c r="L17" i="35"/>
  <c r="N17" i="35"/>
  <c r="L18" i="35"/>
  <c r="N18" i="35"/>
  <c r="L19" i="35"/>
  <c r="N19" i="35"/>
  <c r="L20" i="35"/>
  <c r="N20" i="35"/>
  <c r="L21" i="35"/>
  <c r="N21" i="35"/>
  <c r="L22" i="35"/>
  <c r="N22" i="35"/>
  <c r="L23" i="35"/>
  <c r="N23" i="35"/>
  <c r="L24" i="35"/>
  <c r="N24" i="35"/>
  <c r="L25" i="35"/>
  <c r="N25" i="35"/>
  <c r="L29" i="35"/>
  <c r="N29" i="35"/>
  <c r="L30" i="35"/>
  <c r="N30" i="35"/>
  <c r="L31" i="35"/>
  <c r="N31" i="35"/>
  <c r="L32" i="35"/>
  <c r="N32" i="35"/>
  <c r="L33" i="35"/>
  <c r="N33" i="35"/>
  <c r="L34" i="35"/>
  <c r="N34" i="35"/>
  <c r="L35" i="35"/>
  <c r="N35" i="35"/>
  <c r="L36" i="35"/>
  <c r="N36" i="35"/>
  <c r="L37" i="35"/>
  <c r="N37" i="35"/>
  <c r="L41" i="35"/>
  <c r="N41" i="35"/>
  <c r="L42" i="35"/>
  <c r="N42" i="35"/>
  <c r="L43" i="35"/>
  <c r="N43" i="35"/>
  <c r="L44" i="35"/>
  <c r="N44" i="35"/>
  <c r="L45" i="35"/>
  <c r="N45" i="35"/>
  <c r="L46" i="35"/>
  <c r="N46" i="35"/>
  <c r="L47" i="35"/>
  <c r="N47" i="35"/>
  <c r="L48" i="35"/>
  <c r="N48" i="35"/>
  <c r="L49" i="35"/>
  <c r="N49" i="35"/>
  <c r="L53" i="35"/>
  <c r="N53" i="35"/>
  <c r="K54" i="35"/>
  <c r="M54" i="35"/>
  <c r="O54" i="35"/>
  <c r="L55" i="35"/>
  <c r="N55" i="35"/>
  <c r="K56" i="35"/>
  <c r="O56" i="35"/>
  <c r="N57" i="35"/>
  <c r="M58" i="35"/>
  <c r="L59" i="35"/>
  <c r="K60" i="35"/>
  <c r="O60" i="35"/>
  <c r="N61" i="35"/>
  <c r="M65" i="35"/>
  <c r="L66" i="35"/>
  <c r="K67" i="35"/>
  <c r="O67" i="35"/>
  <c r="N68" i="35"/>
  <c r="M69" i="35"/>
  <c r="L70" i="35"/>
  <c r="K71" i="35"/>
  <c r="O71" i="35"/>
  <c r="N72" i="35"/>
  <c r="M73" i="35"/>
  <c r="L78" i="35"/>
  <c r="L79" i="35"/>
  <c r="L80" i="35"/>
  <c r="L81" i="35"/>
  <c r="L82" i="35"/>
  <c r="L83" i="35"/>
  <c r="L84" i="35"/>
  <c r="L85" i="35"/>
  <c r="L86" i="35"/>
  <c r="L90" i="35"/>
  <c r="L91" i="35"/>
  <c r="L92" i="35"/>
  <c r="L93" i="35"/>
  <c r="L94" i="35"/>
  <c r="F96" i="6"/>
  <c r="O96" i="6"/>
  <c r="U24" i="30"/>
  <c r="O24" i="30"/>
  <c r="I24" i="30"/>
  <c r="S24" i="30"/>
  <c r="M24" i="30"/>
  <c r="G24" i="30"/>
  <c r="C24" i="30"/>
  <c r="A24" i="30"/>
  <c r="C28" i="29"/>
  <c r="I28" i="29"/>
  <c r="O28" i="29"/>
  <c r="U28" i="29"/>
  <c r="AA28" i="29"/>
  <c r="A28" i="29"/>
  <c r="G28" i="29"/>
  <c r="M28" i="29"/>
  <c r="S28" i="29"/>
  <c r="Y28" i="29"/>
  <c r="C23" i="28"/>
  <c r="I23" i="28"/>
  <c r="O23" i="28"/>
  <c r="U23" i="28"/>
  <c r="A23" i="28"/>
  <c r="G23" i="28"/>
  <c r="M23" i="28"/>
  <c r="S23" i="28"/>
  <c r="L160" i="6"/>
  <c r="C160" i="6"/>
  <c r="L95" i="6"/>
  <c r="C95" i="6"/>
  <c r="AB41" i="30"/>
  <c r="I67" i="30"/>
  <c r="AI89" i="29"/>
  <c r="AA76" i="29"/>
  <c r="AA32" i="29"/>
  <c r="AH43" i="29"/>
  <c r="C42" i="31"/>
  <c r="C44" i="31"/>
  <c r="F41" i="31"/>
  <c r="D41" i="31"/>
  <c r="D42" i="31"/>
  <c r="E42" i="31"/>
  <c r="J33" i="31"/>
  <c r="J35" i="31"/>
  <c r="J31" i="31"/>
  <c r="W89" i="6"/>
  <c r="F36" i="6"/>
  <c r="V127" i="30"/>
  <c r="T125" i="30"/>
  <c r="V125" i="30"/>
  <c r="N125" i="30"/>
  <c r="P125" i="30"/>
  <c r="H125" i="30"/>
  <c r="J125" i="30"/>
  <c r="B125" i="30"/>
  <c r="D125" i="30"/>
  <c r="V124" i="30"/>
  <c r="P124" i="30"/>
  <c r="J124" i="30"/>
  <c r="D124" i="30"/>
  <c r="V123" i="30"/>
  <c r="P123" i="30"/>
  <c r="J123" i="30"/>
  <c r="D123" i="30"/>
  <c r="W119" i="30"/>
  <c r="Q119" i="30"/>
  <c r="K119" i="30"/>
  <c r="E119" i="30"/>
  <c r="V89" i="30"/>
  <c r="P89" i="30"/>
  <c r="J89" i="30"/>
  <c r="D89" i="30"/>
  <c r="T87" i="30"/>
  <c r="V87" i="30"/>
  <c r="N87" i="30"/>
  <c r="P87" i="30"/>
  <c r="H87" i="30"/>
  <c r="J87" i="30"/>
  <c r="B87" i="30"/>
  <c r="D87" i="30"/>
  <c r="V86" i="30"/>
  <c r="P86" i="30"/>
  <c r="J86" i="30"/>
  <c r="D86" i="30"/>
  <c r="V85" i="30"/>
  <c r="P85" i="30"/>
  <c r="J85" i="30"/>
  <c r="D85" i="30"/>
  <c r="W81" i="30"/>
  <c r="Q81" i="30"/>
  <c r="K81" i="30"/>
  <c r="E81" i="30"/>
  <c r="V50" i="30"/>
  <c r="P50" i="30"/>
  <c r="J50" i="30"/>
  <c r="D50" i="30"/>
  <c r="T48" i="30"/>
  <c r="V48" i="30"/>
  <c r="N48" i="30"/>
  <c r="P48" i="30"/>
  <c r="H48" i="30"/>
  <c r="J48" i="30"/>
  <c r="B48" i="30"/>
  <c r="D48" i="30"/>
  <c r="V47" i="30"/>
  <c r="P47" i="30"/>
  <c r="J47" i="30"/>
  <c r="D47" i="30"/>
  <c r="V46" i="30"/>
  <c r="P46" i="30"/>
  <c r="J46" i="30"/>
  <c r="D46" i="30"/>
  <c r="W42" i="30"/>
  <c r="Q42" i="30"/>
  <c r="K42" i="30"/>
  <c r="E42" i="30"/>
  <c r="V11" i="30"/>
  <c r="P11" i="30"/>
  <c r="J11" i="30"/>
  <c r="D11" i="30"/>
  <c r="T9" i="30"/>
  <c r="V9" i="30"/>
  <c r="N9" i="30"/>
  <c r="P9" i="30"/>
  <c r="H9" i="30"/>
  <c r="J9" i="30"/>
  <c r="B9" i="30"/>
  <c r="D9" i="30"/>
  <c r="V8" i="30"/>
  <c r="P8" i="30"/>
  <c r="J8" i="30"/>
  <c r="D8" i="30"/>
  <c r="V7" i="30"/>
  <c r="P7" i="30"/>
  <c r="J7" i="30"/>
  <c r="D7" i="30"/>
  <c r="AB6" i="30"/>
  <c r="AB5" i="30"/>
  <c r="AB4" i="30"/>
  <c r="AB3" i="30"/>
  <c r="W3" i="30"/>
  <c r="Q3" i="30"/>
  <c r="K3" i="30"/>
  <c r="E3" i="30"/>
  <c r="V10" i="30"/>
  <c r="V12" i="30"/>
  <c r="AB7" i="30"/>
  <c r="AB8" i="30"/>
  <c r="P88" i="30"/>
  <c r="J10" i="30"/>
  <c r="D10" i="30"/>
  <c r="D12" i="30"/>
  <c r="P10" i="30"/>
  <c r="P12" i="30"/>
  <c r="J12" i="30"/>
  <c r="D49" i="30"/>
  <c r="D51" i="30"/>
  <c r="J49" i="30"/>
  <c r="J51" i="30"/>
  <c r="V49" i="30"/>
  <c r="V51" i="30"/>
  <c r="P49" i="30"/>
  <c r="P51" i="30"/>
  <c r="D88" i="30"/>
  <c r="D90" i="30"/>
  <c r="P90" i="30"/>
  <c r="J126" i="30"/>
  <c r="V126" i="30"/>
  <c r="V128" i="30"/>
  <c r="J88" i="30"/>
  <c r="J90" i="30"/>
  <c r="V88" i="30"/>
  <c r="V90" i="30"/>
  <c r="D126" i="30"/>
  <c r="P126" i="30"/>
  <c r="O48" i="28"/>
  <c r="AM70" i="29"/>
  <c r="AL70" i="29"/>
  <c r="AK70" i="29"/>
  <c r="AJ70" i="29"/>
  <c r="AI70" i="29"/>
  <c r="AH70" i="29"/>
  <c r="AM69" i="29"/>
  <c r="AL69" i="29"/>
  <c r="AK69" i="29"/>
  <c r="AI69" i="29"/>
  <c r="AH69" i="29"/>
  <c r="AB59" i="29"/>
  <c r="V59" i="29"/>
  <c r="P59" i="29"/>
  <c r="J59" i="29"/>
  <c r="D59" i="29"/>
  <c r="Z57" i="29"/>
  <c r="AB57" i="29"/>
  <c r="T57" i="29"/>
  <c r="V57" i="29"/>
  <c r="N57" i="29"/>
  <c r="P57" i="29"/>
  <c r="H57" i="29"/>
  <c r="J57" i="29"/>
  <c r="B57" i="29"/>
  <c r="D57" i="29"/>
  <c r="AB56" i="29"/>
  <c r="V56" i="29"/>
  <c r="P56" i="29"/>
  <c r="J56" i="29"/>
  <c r="D56" i="29"/>
  <c r="AH53" i="29"/>
  <c r="AH52" i="29"/>
  <c r="AC52" i="29"/>
  <c r="W52" i="29"/>
  <c r="Q52" i="29"/>
  <c r="K52" i="29"/>
  <c r="E52" i="29"/>
  <c r="AH51" i="29"/>
  <c r="AH50" i="29"/>
  <c r="AH54" i="29"/>
  <c r="AH55" i="29"/>
  <c r="AM25" i="29"/>
  <c r="AL25" i="29"/>
  <c r="AB15" i="29"/>
  <c r="AK25" i="29"/>
  <c r="AJ25" i="29"/>
  <c r="AI25" i="29"/>
  <c r="AH25" i="29"/>
  <c r="AM24" i="29"/>
  <c r="AL24" i="29"/>
  <c r="AK24" i="29"/>
  <c r="AJ24" i="29"/>
  <c r="AI24" i="29"/>
  <c r="AH24" i="29"/>
  <c r="V15" i="29"/>
  <c r="P15" i="29"/>
  <c r="J15" i="29"/>
  <c r="D15" i="29"/>
  <c r="Z13" i="29"/>
  <c r="AB13" i="29"/>
  <c r="T13" i="29"/>
  <c r="V13" i="29"/>
  <c r="N13" i="29"/>
  <c r="P13" i="29"/>
  <c r="H13" i="29"/>
  <c r="J13" i="29"/>
  <c r="B13" i="29"/>
  <c r="D13" i="29"/>
  <c r="Z12" i="29"/>
  <c r="AB12" i="29"/>
  <c r="T12" i="29"/>
  <c r="V12" i="29"/>
  <c r="N12" i="29"/>
  <c r="P12" i="29"/>
  <c r="H12" i="29"/>
  <c r="J12" i="29"/>
  <c r="B12" i="29"/>
  <c r="D12" i="29"/>
  <c r="AB11" i="29"/>
  <c r="V11" i="29"/>
  <c r="P11" i="29"/>
  <c r="J11" i="29"/>
  <c r="D11" i="29"/>
  <c r="AH8" i="29"/>
  <c r="AH7" i="29"/>
  <c r="AC7" i="29"/>
  <c r="W7" i="29"/>
  <c r="Q7" i="29"/>
  <c r="K7" i="29"/>
  <c r="E7" i="29"/>
  <c r="AH6" i="29"/>
  <c r="AH5" i="29"/>
  <c r="AB36" i="28"/>
  <c r="AB34" i="28"/>
  <c r="P99" i="28"/>
  <c r="AB33" i="28"/>
  <c r="AB32" i="28"/>
  <c r="AC13" i="28"/>
  <c r="I10" i="28"/>
  <c r="AC12" i="28"/>
  <c r="W154" i="6"/>
  <c r="AC11" i="28"/>
  <c r="AC12" i="30"/>
  <c r="V129" i="28"/>
  <c r="T128" i="28"/>
  <c r="V128" i="28"/>
  <c r="V127" i="28"/>
  <c r="P127" i="28"/>
  <c r="J127" i="28"/>
  <c r="D127" i="28"/>
  <c r="V126" i="28"/>
  <c r="P126" i="28"/>
  <c r="J126" i="28"/>
  <c r="D126" i="28"/>
  <c r="W122" i="28"/>
  <c r="Q122" i="28"/>
  <c r="K122" i="28"/>
  <c r="E122" i="28"/>
  <c r="V92" i="28"/>
  <c r="P92" i="28"/>
  <c r="J92" i="28"/>
  <c r="D92" i="28"/>
  <c r="T91" i="28"/>
  <c r="V91" i="28"/>
  <c r="V90" i="28"/>
  <c r="P90" i="28"/>
  <c r="J90" i="28"/>
  <c r="D90" i="28"/>
  <c r="V89" i="28"/>
  <c r="P89" i="28"/>
  <c r="J89" i="28"/>
  <c r="D89" i="28"/>
  <c r="W85" i="28"/>
  <c r="Q85" i="28"/>
  <c r="K85" i="28"/>
  <c r="E85" i="28"/>
  <c r="V51" i="28"/>
  <c r="P51" i="28"/>
  <c r="J51" i="28"/>
  <c r="D51" i="28"/>
  <c r="I50" i="28"/>
  <c r="V49" i="28"/>
  <c r="P49" i="28"/>
  <c r="J49" i="28"/>
  <c r="D49" i="28"/>
  <c r="V48" i="28"/>
  <c r="U48" i="28"/>
  <c r="P48" i="28"/>
  <c r="J48" i="28"/>
  <c r="D48" i="28"/>
  <c r="W44" i="28"/>
  <c r="Q44" i="28"/>
  <c r="K44" i="28"/>
  <c r="E44" i="28"/>
  <c r="AB30" i="28"/>
  <c r="O133" i="28"/>
  <c r="N128" i="28"/>
  <c r="P128" i="28"/>
  <c r="AD21" i="28"/>
  <c r="P129" i="28"/>
  <c r="AC21" i="28"/>
  <c r="J129" i="28"/>
  <c r="AB21" i="28"/>
  <c r="D129" i="28"/>
  <c r="V10" i="28"/>
  <c r="U10" i="28"/>
  <c r="P10" i="28"/>
  <c r="J10" i="28"/>
  <c r="D10" i="28"/>
  <c r="U9" i="28"/>
  <c r="O9" i="28"/>
  <c r="V8" i="28"/>
  <c r="P8" i="28"/>
  <c r="O8" i="28"/>
  <c r="J8" i="28"/>
  <c r="I8" i="28"/>
  <c r="D8" i="28"/>
  <c r="C8" i="28"/>
  <c r="V7" i="28"/>
  <c r="P7" i="28"/>
  <c r="J7" i="28"/>
  <c r="D7" i="28"/>
  <c r="AB6" i="28"/>
  <c r="AB5" i="28"/>
  <c r="AB4" i="28"/>
  <c r="AB3" i="28"/>
  <c r="W3" i="28"/>
  <c r="Q3" i="28"/>
  <c r="K3" i="28"/>
  <c r="E3" i="28"/>
  <c r="G142" i="18"/>
  <c r="G143" i="18"/>
  <c r="G144" i="18"/>
  <c r="G145" i="18"/>
  <c r="G146" i="18"/>
  <c r="G147" i="18"/>
  <c r="G148" i="18"/>
  <c r="G149" i="18"/>
  <c r="G141" i="18"/>
  <c r="O142" i="18"/>
  <c r="O143" i="18"/>
  <c r="O144" i="18"/>
  <c r="O145" i="18"/>
  <c r="O146" i="18"/>
  <c r="O147" i="18"/>
  <c r="O148" i="18"/>
  <c r="O149" i="18"/>
  <c r="O141" i="18"/>
  <c r="W142" i="18"/>
  <c r="W143" i="18"/>
  <c r="W144" i="18"/>
  <c r="W145" i="18"/>
  <c r="W146" i="18"/>
  <c r="W147" i="18"/>
  <c r="W148" i="18"/>
  <c r="W149" i="18"/>
  <c r="W141" i="18"/>
  <c r="AE142" i="18"/>
  <c r="AE143" i="18"/>
  <c r="AE144" i="18"/>
  <c r="AE145" i="18"/>
  <c r="AE146" i="18"/>
  <c r="AE147" i="18"/>
  <c r="AE148" i="18"/>
  <c r="AE149" i="18"/>
  <c r="AE141" i="18"/>
  <c r="AE105" i="18"/>
  <c r="AE106" i="18"/>
  <c r="AE107" i="18"/>
  <c r="AE108" i="18"/>
  <c r="AE109" i="18"/>
  <c r="AE110" i="18"/>
  <c r="AE111" i="18"/>
  <c r="AE112" i="18"/>
  <c r="AE104" i="18"/>
  <c r="W105" i="18"/>
  <c r="W106" i="18"/>
  <c r="W107" i="18"/>
  <c r="W108" i="18"/>
  <c r="W109" i="18"/>
  <c r="W110" i="18"/>
  <c r="W111" i="18"/>
  <c r="W112" i="18"/>
  <c r="W104" i="18"/>
  <c r="O105" i="18"/>
  <c r="O106" i="18"/>
  <c r="O107" i="18"/>
  <c r="O108" i="18"/>
  <c r="O109" i="18"/>
  <c r="O110" i="18"/>
  <c r="O111" i="18"/>
  <c r="O112" i="18"/>
  <c r="O104" i="18"/>
  <c r="G105" i="18"/>
  <c r="G106" i="18"/>
  <c r="G107" i="18"/>
  <c r="G108" i="18"/>
  <c r="G109" i="18"/>
  <c r="G110" i="18"/>
  <c r="G111" i="18"/>
  <c r="G112" i="18"/>
  <c r="G104" i="18"/>
  <c r="AE67" i="18"/>
  <c r="AE68" i="18"/>
  <c r="AE69" i="18"/>
  <c r="AE70" i="18"/>
  <c r="AE71" i="18"/>
  <c r="AE72" i="18"/>
  <c r="AE73" i="18"/>
  <c r="AE74" i="18"/>
  <c r="AE66" i="18"/>
  <c r="W67" i="18"/>
  <c r="W68" i="18"/>
  <c r="W69" i="18"/>
  <c r="W70" i="18"/>
  <c r="W71" i="18"/>
  <c r="W72" i="18"/>
  <c r="W73" i="18"/>
  <c r="W74" i="18"/>
  <c r="W66" i="18"/>
  <c r="O67" i="18"/>
  <c r="O68" i="18"/>
  <c r="O69" i="18"/>
  <c r="O70" i="18"/>
  <c r="O71" i="18"/>
  <c r="O72" i="18"/>
  <c r="O73" i="18"/>
  <c r="O74" i="18"/>
  <c r="O66" i="18"/>
  <c r="G67" i="18"/>
  <c r="G68" i="18"/>
  <c r="G69" i="18"/>
  <c r="G70" i="18"/>
  <c r="G71" i="18"/>
  <c r="G72" i="18"/>
  <c r="G73" i="18"/>
  <c r="G74" i="18"/>
  <c r="G66" i="18"/>
  <c r="AE29" i="18"/>
  <c r="AE30" i="18"/>
  <c r="AE31" i="18"/>
  <c r="AE32" i="18"/>
  <c r="AE33" i="18"/>
  <c r="AE34" i="18"/>
  <c r="AE35" i="18"/>
  <c r="AE36" i="18"/>
  <c r="AE28" i="18"/>
  <c r="W29" i="18"/>
  <c r="W30" i="18"/>
  <c r="W31" i="18"/>
  <c r="W32" i="18"/>
  <c r="W33" i="18"/>
  <c r="W34" i="18"/>
  <c r="W35" i="18"/>
  <c r="W36" i="18"/>
  <c r="W28" i="18"/>
  <c r="O29" i="18"/>
  <c r="O30" i="18"/>
  <c r="O31" i="18"/>
  <c r="O32" i="18"/>
  <c r="O33" i="18"/>
  <c r="O34" i="18"/>
  <c r="O35" i="18"/>
  <c r="O36" i="18"/>
  <c r="O28" i="18"/>
  <c r="G29" i="18"/>
  <c r="G30" i="18"/>
  <c r="G31" i="18"/>
  <c r="G32" i="18"/>
  <c r="G33" i="18"/>
  <c r="G34" i="18"/>
  <c r="G35" i="18"/>
  <c r="G36" i="18"/>
  <c r="G28" i="18"/>
  <c r="G33" i="11"/>
  <c r="G34" i="11"/>
  <c r="G35" i="11"/>
  <c r="G36" i="11"/>
  <c r="G37" i="11"/>
  <c r="G38" i="11"/>
  <c r="G39" i="11"/>
  <c r="G40" i="11"/>
  <c r="AM76" i="11"/>
  <c r="AM77" i="11"/>
  <c r="AM78" i="11"/>
  <c r="AM79" i="11"/>
  <c r="AM80" i="11"/>
  <c r="AM81" i="11"/>
  <c r="AM82" i="11"/>
  <c r="AM83" i="11"/>
  <c r="AM75" i="11"/>
  <c r="AE76" i="11"/>
  <c r="AE77" i="11"/>
  <c r="AE78" i="11"/>
  <c r="AE79" i="11"/>
  <c r="AE80" i="11"/>
  <c r="AE81" i="11"/>
  <c r="AE82" i="11"/>
  <c r="AE83" i="11"/>
  <c r="AE75" i="11"/>
  <c r="W76" i="11"/>
  <c r="W77" i="11"/>
  <c r="W78" i="11"/>
  <c r="W79" i="11"/>
  <c r="W80" i="11"/>
  <c r="W81" i="11"/>
  <c r="W82" i="11"/>
  <c r="W83" i="11"/>
  <c r="W75" i="11"/>
  <c r="O76" i="11"/>
  <c r="O77" i="11"/>
  <c r="O78" i="11"/>
  <c r="O79" i="11"/>
  <c r="O80" i="11"/>
  <c r="O81" i="11"/>
  <c r="O82" i="11"/>
  <c r="O83" i="11"/>
  <c r="O75" i="11"/>
  <c r="G76" i="11"/>
  <c r="G77" i="11"/>
  <c r="G78" i="11"/>
  <c r="G79" i="11"/>
  <c r="G80" i="11"/>
  <c r="G81" i="11"/>
  <c r="G82" i="11"/>
  <c r="G83" i="11"/>
  <c r="G75" i="11"/>
  <c r="AM33" i="11"/>
  <c r="AM34" i="11"/>
  <c r="AM35" i="11"/>
  <c r="AM36" i="11"/>
  <c r="AM37" i="11"/>
  <c r="AM38" i="11"/>
  <c r="AM39" i="11"/>
  <c r="AM40" i="11"/>
  <c r="AM32" i="11"/>
  <c r="AE33" i="11"/>
  <c r="AE34" i="11"/>
  <c r="AE35" i="11"/>
  <c r="AE36" i="11"/>
  <c r="AE37" i="11"/>
  <c r="AE38" i="11"/>
  <c r="AE39" i="11"/>
  <c r="AE40" i="11"/>
  <c r="AE32" i="11"/>
  <c r="W33" i="11"/>
  <c r="W34" i="11"/>
  <c r="W35" i="11"/>
  <c r="W36" i="11"/>
  <c r="W37" i="11"/>
  <c r="W38" i="11"/>
  <c r="W39" i="11"/>
  <c r="W40" i="11"/>
  <c r="W32" i="11"/>
  <c r="O33" i="11"/>
  <c r="O34" i="11"/>
  <c r="O35" i="11"/>
  <c r="O36" i="11"/>
  <c r="O37" i="11"/>
  <c r="O38" i="11"/>
  <c r="O39" i="11"/>
  <c r="O40" i="11"/>
  <c r="O32" i="11"/>
  <c r="G32" i="11"/>
  <c r="AE148" i="12"/>
  <c r="AE149" i="12"/>
  <c r="AE150" i="12"/>
  <c r="AE151" i="12"/>
  <c r="AE152" i="12"/>
  <c r="AE153" i="12"/>
  <c r="AE154" i="12"/>
  <c r="AE155" i="12"/>
  <c r="AE147" i="12"/>
  <c r="W148" i="12"/>
  <c r="W149" i="12"/>
  <c r="W150" i="12"/>
  <c r="W151" i="12"/>
  <c r="W152" i="12"/>
  <c r="W153" i="12"/>
  <c r="W154" i="12"/>
  <c r="W155" i="12"/>
  <c r="W147" i="12"/>
  <c r="O148" i="12"/>
  <c r="O149" i="12"/>
  <c r="O150" i="12"/>
  <c r="O151" i="12"/>
  <c r="O152" i="12"/>
  <c r="O153" i="12"/>
  <c r="O154" i="12"/>
  <c r="O155" i="12"/>
  <c r="O147" i="12"/>
  <c r="G148" i="12"/>
  <c r="G149" i="12"/>
  <c r="G150" i="12"/>
  <c r="G151" i="12"/>
  <c r="G152" i="12"/>
  <c r="G153" i="12"/>
  <c r="G154" i="12"/>
  <c r="G155" i="12"/>
  <c r="G147" i="12"/>
  <c r="AE111" i="12"/>
  <c r="AE112" i="12"/>
  <c r="AE113" i="12"/>
  <c r="AE114" i="12"/>
  <c r="AE115" i="12"/>
  <c r="AE116" i="12"/>
  <c r="AE117" i="12"/>
  <c r="AE118" i="12"/>
  <c r="AE110" i="12"/>
  <c r="W111" i="12"/>
  <c r="W112" i="12"/>
  <c r="W113" i="12"/>
  <c r="W114" i="12"/>
  <c r="W115" i="12"/>
  <c r="W116" i="12"/>
  <c r="W117" i="12"/>
  <c r="W118" i="12"/>
  <c r="W110" i="12"/>
  <c r="O111" i="12"/>
  <c r="O112" i="12"/>
  <c r="O113" i="12"/>
  <c r="O114" i="12"/>
  <c r="O115" i="12"/>
  <c r="O116" i="12"/>
  <c r="O117" i="12"/>
  <c r="O118" i="12"/>
  <c r="O110" i="12"/>
  <c r="G111" i="12"/>
  <c r="G112" i="12"/>
  <c r="G113" i="12"/>
  <c r="G114" i="12"/>
  <c r="G115" i="12"/>
  <c r="G116" i="12"/>
  <c r="G117" i="12"/>
  <c r="G118" i="12"/>
  <c r="G110" i="12"/>
  <c r="AE70" i="12"/>
  <c r="AE71" i="12"/>
  <c r="AE72" i="12"/>
  <c r="AE73" i="12"/>
  <c r="AE74" i="12"/>
  <c r="AE75" i="12"/>
  <c r="AE76" i="12"/>
  <c r="AE77" i="12"/>
  <c r="AE69" i="12"/>
  <c r="W70" i="12"/>
  <c r="W71" i="12"/>
  <c r="W72" i="12"/>
  <c r="W73" i="12"/>
  <c r="W74" i="12"/>
  <c r="W75" i="12"/>
  <c r="W76" i="12"/>
  <c r="W77" i="12"/>
  <c r="W69" i="12"/>
  <c r="O70" i="12"/>
  <c r="O71" i="12"/>
  <c r="O72" i="12"/>
  <c r="O73" i="12"/>
  <c r="O74" i="12"/>
  <c r="O75" i="12"/>
  <c r="O76" i="12"/>
  <c r="O77" i="12"/>
  <c r="O69" i="12"/>
  <c r="G70" i="12"/>
  <c r="G71" i="12"/>
  <c r="G72" i="12"/>
  <c r="G73" i="12"/>
  <c r="G74" i="12"/>
  <c r="G75" i="12"/>
  <c r="G76" i="12"/>
  <c r="G77" i="12"/>
  <c r="G69" i="12"/>
  <c r="AE29" i="12"/>
  <c r="AE30" i="12"/>
  <c r="AE31" i="12"/>
  <c r="AE32" i="12"/>
  <c r="AE33" i="12"/>
  <c r="AE34" i="12"/>
  <c r="AE35" i="12"/>
  <c r="AE36" i="12"/>
  <c r="AE28" i="12"/>
  <c r="W29" i="12"/>
  <c r="W30" i="12"/>
  <c r="W31" i="12"/>
  <c r="W32" i="12"/>
  <c r="W33" i="12"/>
  <c r="W34" i="12"/>
  <c r="W35" i="12"/>
  <c r="W36" i="12"/>
  <c r="W28" i="12"/>
  <c r="O29" i="12"/>
  <c r="O30" i="12"/>
  <c r="O31" i="12"/>
  <c r="O32" i="12"/>
  <c r="O33" i="12"/>
  <c r="O34" i="12"/>
  <c r="O35" i="12"/>
  <c r="O36" i="12"/>
  <c r="O28" i="12"/>
  <c r="G29" i="12"/>
  <c r="G30" i="12"/>
  <c r="G31" i="12"/>
  <c r="G32" i="12"/>
  <c r="G33" i="12"/>
  <c r="G34" i="12"/>
  <c r="G35" i="12"/>
  <c r="G36" i="12"/>
  <c r="G28" i="12"/>
  <c r="AL27" i="12"/>
  <c r="AK27" i="12"/>
  <c r="AJ27" i="12"/>
  <c r="AK22" i="12"/>
  <c r="AC22" i="30"/>
  <c r="J127" i="30"/>
  <c r="J128" i="30"/>
  <c r="AK22" i="18"/>
  <c r="L124" i="18"/>
  <c r="AJ22" i="12"/>
  <c r="AK43" i="12"/>
  <c r="AZ43" i="11"/>
  <c r="BK5" i="1"/>
  <c r="BK6" i="1"/>
  <c r="BK10" i="1"/>
  <c r="BK12" i="1"/>
  <c r="BK13" i="1"/>
  <c r="CO13" i="1"/>
  <c r="BK14" i="1"/>
  <c r="CP14" i="1"/>
  <c r="CQ14" i="1"/>
  <c r="BK15" i="1"/>
  <c r="CO15" i="1"/>
  <c r="BK16" i="1"/>
  <c r="BK19" i="1"/>
  <c r="CP19" i="1"/>
  <c r="CQ19" i="1"/>
  <c r="BK21" i="1"/>
  <c r="BK23" i="1"/>
  <c r="CO23" i="1"/>
  <c r="BK24" i="1"/>
  <c r="CP24" i="1"/>
  <c r="CQ24" i="1"/>
  <c r="BK25" i="1"/>
  <c r="BK28" i="1"/>
  <c r="AJ30" i="12"/>
  <c r="AB31" i="30"/>
  <c r="AK11" i="12"/>
  <c r="AJ30" i="18"/>
  <c r="AL22" i="12"/>
  <c r="AD22" i="30"/>
  <c r="P127" i="30"/>
  <c r="P128" i="30"/>
  <c r="AK14" i="12"/>
  <c r="AK13" i="12"/>
  <c r="AK12" i="12"/>
  <c r="AH41" i="1"/>
  <c r="AA35" i="1"/>
  <c r="AB35" i="1"/>
  <c r="AA34" i="1"/>
  <c r="AB34" i="1"/>
  <c r="AP56" i="11"/>
  <c r="AR56" i="11"/>
  <c r="AY49" i="11"/>
  <c r="AY50" i="11"/>
  <c r="AY51" i="11"/>
  <c r="AY52" i="11"/>
  <c r="AY68" i="11"/>
  <c r="AZ68" i="11"/>
  <c r="BB68" i="11"/>
  <c r="BC68" i="11"/>
  <c r="BD68" i="11"/>
  <c r="AY69" i="11"/>
  <c r="AZ69" i="11"/>
  <c r="BA69" i="11"/>
  <c r="BB69" i="11"/>
  <c r="BC69" i="11"/>
  <c r="BD69" i="11"/>
  <c r="AB124" i="18"/>
  <c r="AB121" i="18"/>
  <c r="T121" i="18"/>
  <c r="L121" i="18"/>
  <c r="D121" i="18"/>
  <c r="AB120" i="18"/>
  <c r="T120" i="18"/>
  <c r="L120" i="18"/>
  <c r="D120" i="18"/>
  <c r="AC116" i="18"/>
  <c r="U116" i="18"/>
  <c r="M116" i="18"/>
  <c r="E116" i="18"/>
  <c r="AB87" i="18"/>
  <c r="T87" i="18"/>
  <c r="L87" i="18"/>
  <c r="D87" i="18"/>
  <c r="AB84" i="18"/>
  <c r="T84" i="18"/>
  <c r="L84" i="18"/>
  <c r="D84" i="18"/>
  <c r="AB83" i="18"/>
  <c r="T83" i="18"/>
  <c r="L83" i="18"/>
  <c r="D83" i="18"/>
  <c r="AC79" i="18"/>
  <c r="U79" i="18"/>
  <c r="M79" i="18"/>
  <c r="E79" i="18"/>
  <c r="AB49" i="18"/>
  <c r="T49" i="18"/>
  <c r="L49" i="18"/>
  <c r="D49" i="18"/>
  <c r="AB46" i="18"/>
  <c r="T46" i="18"/>
  <c r="L46" i="18"/>
  <c r="D46" i="18"/>
  <c r="AB45" i="18"/>
  <c r="T45" i="18"/>
  <c r="L45" i="18"/>
  <c r="D45" i="18"/>
  <c r="AC41" i="18"/>
  <c r="U41" i="18"/>
  <c r="M41" i="18"/>
  <c r="E41" i="18"/>
  <c r="AB11" i="18"/>
  <c r="T11" i="18"/>
  <c r="L11" i="18"/>
  <c r="D11" i="18"/>
  <c r="AB8" i="18"/>
  <c r="T8" i="18"/>
  <c r="L8" i="18"/>
  <c r="D8" i="18"/>
  <c r="AB7" i="18"/>
  <c r="T7" i="18"/>
  <c r="L7" i="18"/>
  <c r="D7" i="18"/>
  <c r="AJ6" i="18"/>
  <c r="AJ5" i="18"/>
  <c r="AJ4" i="18"/>
  <c r="AJ3" i="18"/>
  <c r="AJ7" i="18"/>
  <c r="AJ8" i="18"/>
  <c r="AC3" i="18"/>
  <c r="U3" i="18"/>
  <c r="M3" i="18"/>
  <c r="E3" i="18"/>
  <c r="AP13" i="11"/>
  <c r="AR13" i="11"/>
  <c r="M2" i="14"/>
  <c r="M6" i="14"/>
  <c r="M12" i="14"/>
  <c r="M3" i="14"/>
  <c r="M7" i="14"/>
  <c r="M4" i="14"/>
  <c r="M8" i="14"/>
  <c r="M14" i="14"/>
  <c r="M19" i="14"/>
  <c r="N2" i="14"/>
  <c r="N6" i="14"/>
  <c r="N3" i="14"/>
  <c r="N7" i="14"/>
  <c r="N13" i="14"/>
  <c r="N18" i="14"/>
  <c r="N4" i="14"/>
  <c r="N8" i="14"/>
  <c r="N14" i="14"/>
  <c r="N19" i="14"/>
  <c r="O2" i="14"/>
  <c r="O6" i="14"/>
  <c r="O12" i="14"/>
  <c r="O3" i="14"/>
  <c r="O7" i="14"/>
  <c r="O4" i="14"/>
  <c r="O8" i="14"/>
  <c r="O14" i="14"/>
  <c r="O19" i="14"/>
  <c r="H2" i="14"/>
  <c r="H6" i="14"/>
  <c r="H3" i="14"/>
  <c r="H7" i="14"/>
  <c r="H13" i="14"/>
  <c r="H18" i="14"/>
  <c r="H4" i="14"/>
  <c r="H8" i="14"/>
  <c r="H14" i="14"/>
  <c r="H19" i="14"/>
  <c r="I2" i="14"/>
  <c r="I6" i="14"/>
  <c r="I12" i="14"/>
  <c r="I3" i="14"/>
  <c r="I7" i="14"/>
  <c r="I13" i="14"/>
  <c r="I18" i="14"/>
  <c r="I4" i="14"/>
  <c r="I8" i="14"/>
  <c r="I14" i="14"/>
  <c r="I19" i="14"/>
  <c r="J2" i="14"/>
  <c r="J6" i="14"/>
  <c r="J3" i="14"/>
  <c r="J7" i="14"/>
  <c r="J13" i="14"/>
  <c r="J18" i="14"/>
  <c r="J4" i="14"/>
  <c r="J8" i="14"/>
  <c r="J14" i="14"/>
  <c r="J19" i="14"/>
  <c r="K2" i="14"/>
  <c r="K6" i="14"/>
  <c r="K12" i="14"/>
  <c r="K3" i="14"/>
  <c r="K7" i="14"/>
  <c r="K13" i="14"/>
  <c r="K18" i="14"/>
  <c r="K4" i="14"/>
  <c r="K8" i="14"/>
  <c r="K14" i="14"/>
  <c r="K19" i="14"/>
  <c r="L2" i="14"/>
  <c r="L6" i="14"/>
  <c r="L3" i="14"/>
  <c r="L7" i="14"/>
  <c r="L13" i="14"/>
  <c r="L18" i="14"/>
  <c r="L4" i="14"/>
  <c r="L8" i="14"/>
  <c r="L14" i="14"/>
  <c r="L19" i="14"/>
  <c r="E2" i="14"/>
  <c r="E6" i="14"/>
  <c r="E12" i="14"/>
  <c r="E3" i="14"/>
  <c r="E7" i="14"/>
  <c r="E13" i="14"/>
  <c r="E18" i="14"/>
  <c r="E4" i="14"/>
  <c r="E8" i="14"/>
  <c r="E14" i="14"/>
  <c r="E19" i="14"/>
  <c r="F2" i="14"/>
  <c r="F6" i="14"/>
  <c r="F12" i="14"/>
  <c r="F17" i="14"/>
  <c r="F3" i="14"/>
  <c r="F7" i="14"/>
  <c r="F13" i="14"/>
  <c r="F18" i="14"/>
  <c r="F4" i="14"/>
  <c r="F8" i="14"/>
  <c r="F14" i="14"/>
  <c r="F19" i="14"/>
  <c r="G2" i="14"/>
  <c r="G6" i="14"/>
  <c r="G12" i="14"/>
  <c r="G3" i="14"/>
  <c r="G7" i="14"/>
  <c r="G13" i="14"/>
  <c r="G18" i="14"/>
  <c r="G4" i="14"/>
  <c r="G8" i="14"/>
  <c r="G14" i="14"/>
  <c r="G19" i="14"/>
  <c r="B2" i="14"/>
  <c r="B6" i="14"/>
  <c r="B12" i="14"/>
  <c r="B3" i="14"/>
  <c r="B7" i="14"/>
  <c r="B13" i="14"/>
  <c r="B18" i="14"/>
  <c r="B4" i="14"/>
  <c r="B8" i="14"/>
  <c r="B14" i="14"/>
  <c r="B19" i="14"/>
  <c r="C2" i="14"/>
  <c r="C6" i="14"/>
  <c r="C12" i="14"/>
  <c r="C3" i="14"/>
  <c r="C7" i="14"/>
  <c r="C13" i="14"/>
  <c r="C18" i="14"/>
  <c r="C4" i="14"/>
  <c r="C8" i="14"/>
  <c r="C14" i="14"/>
  <c r="C19" i="14"/>
  <c r="D2" i="14"/>
  <c r="D6" i="14"/>
  <c r="D3" i="14"/>
  <c r="D7" i="14"/>
  <c r="D13" i="14"/>
  <c r="D18" i="14"/>
  <c r="D4" i="14"/>
  <c r="D8" i="14"/>
  <c r="D14" i="14"/>
  <c r="D19" i="14"/>
  <c r="L126" i="12"/>
  <c r="L127" i="12"/>
  <c r="AJ3" i="12"/>
  <c r="AJ4" i="12"/>
  <c r="AJ5" i="12"/>
  <c r="AJ6" i="12"/>
  <c r="AJ7" i="12"/>
  <c r="AJ8" i="12"/>
  <c r="L130" i="12"/>
  <c r="M85" i="12"/>
  <c r="M122" i="12"/>
  <c r="F3" i="6"/>
  <c r="CN2" i="1"/>
  <c r="BJ2" i="1"/>
  <c r="CO2" i="1"/>
  <c r="CN3" i="1"/>
  <c r="AY3" i="1"/>
  <c r="BG3" i="1"/>
  <c r="BJ3" i="1"/>
  <c r="CN4" i="1"/>
  <c r="BJ4" i="1"/>
  <c r="CO4" i="1"/>
  <c r="CN5" i="1"/>
  <c r="AS5" i="1"/>
  <c r="CN6" i="1"/>
  <c r="AS6" i="1"/>
  <c r="BJ6" i="1"/>
  <c r="CN7" i="1"/>
  <c r="BJ7" i="1"/>
  <c r="CN8" i="1"/>
  <c r="BJ8" i="1"/>
  <c r="CO8" i="1"/>
  <c r="CN9" i="1"/>
  <c r="BJ9" i="1"/>
  <c r="CO9" i="1"/>
  <c r="CN10" i="1"/>
  <c r="AR10" i="1"/>
  <c r="BJ10" i="1"/>
  <c r="CN11" i="1"/>
  <c r="BJ11" i="1"/>
  <c r="CN12" i="1"/>
  <c r="BJ12" i="1"/>
  <c r="CN13" i="1"/>
  <c r="BJ13" i="1"/>
  <c r="CN14" i="1"/>
  <c r="AR14" i="1"/>
  <c r="BJ14" i="1"/>
  <c r="CN15" i="1"/>
  <c r="BJ15" i="1"/>
  <c r="CN16" i="1"/>
  <c r="BJ16" i="1"/>
  <c r="CN17" i="1"/>
  <c r="BJ17" i="1"/>
  <c r="CO17" i="1"/>
  <c r="CN20" i="1"/>
  <c r="BJ20" i="1"/>
  <c r="CO20" i="1"/>
  <c r="CN21" i="1"/>
  <c r="BJ21" i="1"/>
  <c r="CN22" i="1"/>
  <c r="BJ22" i="1"/>
  <c r="CN23" i="1"/>
  <c r="BJ23" i="1"/>
  <c r="CN24" i="1"/>
  <c r="CN25" i="1"/>
  <c r="BJ25" i="1"/>
  <c r="CN26" i="1"/>
  <c r="BJ26" i="1"/>
  <c r="CO26" i="1"/>
  <c r="CN27" i="1"/>
  <c r="BG27" i="1"/>
  <c r="BJ27" i="1"/>
  <c r="CN28" i="1"/>
  <c r="BJ28" i="1"/>
  <c r="BL2" i="1"/>
  <c r="BL3" i="1"/>
  <c r="BL4" i="1"/>
  <c r="BL6" i="1"/>
  <c r="BL7" i="1"/>
  <c r="BL8" i="1"/>
  <c r="BL9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AN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BM2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AY18" i="1"/>
  <c r="BM18" i="1"/>
  <c r="AY19" i="1"/>
  <c r="BM19" i="1"/>
  <c r="BM20" i="1"/>
  <c r="BM21" i="1"/>
  <c r="BM22" i="1"/>
  <c r="BM23" i="1"/>
  <c r="BM24" i="1"/>
  <c r="BM25" i="1"/>
  <c r="BM26" i="1"/>
  <c r="BM27" i="1"/>
  <c r="BM28" i="1"/>
  <c r="AO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BN2" i="1"/>
  <c r="BN3" i="1"/>
  <c r="BN4" i="1"/>
  <c r="BN5" i="1"/>
  <c r="BN33" i="1"/>
  <c r="AH34" i="1"/>
  <c r="AH36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AP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BO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G18" i="1"/>
  <c r="BO18" i="1"/>
  <c r="BG19" i="1"/>
  <c r="BO19" i="1"/>
  <c r="BO20" i="1"/>
  <c r="BO21" i="1"/>
  <c r="BO22" i="1"/>
  <c r="BO23" i="1"/>
  <c r="BO24" i="1"/>
  <c r="BO25" i="1"/>
  <c r="BO26" i="1"/>
  <c r="BO27" i="1"/>
  <c r="BO28" i="1"/>
  <c r="AQ2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CU4" i="1"/>
  <c r="DY4" i="1"/>
  <c r="M4" i="1"/>
  <c r="CU6" i="1"/>
  <c r="DY6" i="1"/>
  <c r="M6" i="1"/>
  <c r="CU10" i="1"/>
  <c r="DY10" i="1"/>
  <c r="ET10" i="1"/>
  <c r="M10" i="1"/>
  <c r="CU14" i="1"/>
  <c r="DY14" i="1"/>
  <c r="ET14" i="1"/>
  <c r="M14" i="1"/>
  <c r="CU15" i="1"/>
  <c r="DY15" i="1"/>
  <c r="ET15" i="1"/>
  <c r="M15" i="1"/>
  <c r="CU16" i="1"/>
  <c r="DY16" i="1"/>
  <c r="ET16" i="1"/>
  <c r="M16" i="1"/>
  <c r="CU21" i="1"/>
  <c r="DY21" i="1"/>
  <c r="ET21" i="1"/>
  <c r="M21" i="1"/>
  <c r="CU28" i="1"/>
  <c r="DY28" i="1"/>
  <c r="ET28" i="1"/>
  <c r="M28" i="1"/>
  <c r="DC2" i="1"/>
  <c r="DK2" i="1"/>
  <c r="DZ2" i="1"/>
  <c r="DK3" i="1"/>
  <c r="DZ3" i="1"/>
  <c r="DH4" i="1"/>
  <c r="DK4" i="1"/>
  <c r="DZ4" i="1"/>
  <c r="DK5" i="1"/>
  <c r="DZ5" i="1"/>
  <c r="DC6" i="1"/>
  <c r="DK6" i="1"/>
  <c r="DZ6" i="1"/>
  <c r="DC7" i="1"/>
  <c r="DK7" i="1"/>
  <c r="DZ7" i="1"/>
  <c r="DK8" i="1"/>
  <c r="DZ8" i="1"/>
  <c r="DC9" i="1"/>
  <c r="DK9" i="1"/>
  <c r="DZ9" i="1"/>
  <c r="DH10" i="1"/>
  <c r="DK10" i="1"/>
  <c r="DZ10" i="1"/>
  <c r="DK11" i="1"/>
  <c r="DZ11" i="1"/>
  <c r="DK12" i="1"/>
  <c r="DZ12" i="1"/>
  <c r="DK13" i="1"/>
  <c r="DZ13" i="1"/>
  <c r="DK14" i="1"/>
  <c r="DZ14" i="1"/>
  <c r="DK15" i="1"/>
  <c r="DZ15" i="1"/>
  <c r="DK16" i="1"/>
  <c r="DZ16" i="1"/>
  <c r="DK17" i="1"/>
  <c r="DZ17" i="1"/>
  <c r="DK18" i="1"/>
  <c r="DZ18" i="1"/>
  <c r="DK19" i="1"/>
  <c r="DZ19" i="1"/>
  <c r="DC20" i="1"/>
  <c r="DK20" i="1"/>
  <c r="DZ20" i="1"/>
  <c r="DH21" i="1"/>
  <c r="DK21" i="1"/>
  <c r="DZ21" i="1"/>
  <c r="DK22" i="1"/>
  <c r="DZ22" i="1"/>
  <c r="DK23" i="1"/>
  <c r="DZ23" i="1"/>
  <c r="DK24" i="1"/>
  <c r="DZ24" i="1"/>
  <c r="DB25" i="1"/>
  <c r="DH25" i="1"/>
  <c r="DK25" i="1"/>
  <c r="DZ25" i="1"/>
  <c r="DK26" i="1"/>
  <c r="DZ26" i="1"/>
  <c r="DC27" i="1"/>
  <c r="DK27" i="1"/>
  <c r="DZ27" i="1"/>
  <c r="DH28" i="1"/>
  <c r="DK28" i="1"/>
  <c r="DZ28" i="1"/>
  <c r="M2" i="1"/>
  <c r="M3" i="1"/>
  <c r="M5" i="1"/>
  <c r="M7" i="1"/>
  <c r="M8" i="1"/>
  <c r="M9" i="1"/>
  <c r="M11" i="1"/>
  <c r="M12" i="1"/>
  <c r="M13" i="1"/>
  <c r="M17" i="1"/>
  <c r="M18" i="1"/>
  <c r="M19" i="1"/>
  <c r="M20" i="1"/>
  <c r="M22" i="1"/>
  <c r="M23" i="1"/>
  <c r="M24" i="1"/>
  <c r="M25" i="1"/>
  <c r="M26" i="1"/>
  <c r="M27" i="1"/>
  <c r="CP2" i="1"/>
  <c r="CQ2" i="1"/>
  <c r="CR2" i="1"/>
  <c r="DL2" i="1"/>
  <c r="CQ3" i="1"/>
  <c r="CP4" i="1"/>
  <c r="CQ4" i="1"/>
  <c r="CR4" i="1"/>
  <c r="DL4" i="1"/>
  <c r="CP7" i="1"/>
  <c r="CQ7" i="1"/>
  <c r="CT7" i="1"/>
  <c r="CP8" i="1"/>
  <c r="CQ8" i="1"/>
  <c r="CR8" i="1"/>
  <c r="CP9" i="1"/>
  <c r="CQ9" i="1"/>
  <c r="CP11" i="1"/>
  <c r="CQ11" i="1"/>
  <c r="CP17" i="1"/>
  <c r="CQ17" i="1"/>
  <c r="BJ18" i="1"/>
  <c r="CP18" i="1"/>
  <c r="CN18" i="1"/>
  <c r="CQ18" i="1"/>
  <c r="CR18" i="1"/>
  <c r="BJ19" i="1"/>
  <c r="CN19" i="1"/>
  <c r="CO19" i="1"/>
  <c r="CP20" i="1"/>
  <c r="CQ20" i="1"/>
  <c r="CR20" i="1"/>
  <c r="CP22" i="1"/>
  <c r="CQ22" i="1"/>
  <c r="CP26" i="1"/>
  <c r="CQ26" i="1"/>
  <c r="CR26" i="1"/>
  <c r="CP27" i="1"/>
  <c r="CQ27" i="1"/>
  <c r="T7" i="12"/>
  <c r="T8" i="12"/>
  <c r="T11" i="12"/>
  <c r="CU9" i="1"/>
  <c r="DY9" i="1"/>
  <c r="CU12" i="1"/>
  <c r="DY12" i="1"/>
  <c r="ET12" i="1"/>
  <c r="CU22" i="1"/>
  <c r="DY22" i="1"/>
  <c r="ET22" i="1"/>
  <c r="CU25" i="1"/>
  <c r="DY25" i="1"/>
  <c r="ET25" i="1"/>
  <c r="CU26" i="1"/>
  <c r="DY26" i="1"/>
  <c r="ET26" i="1"/>
  <c r="CU27" i="1"/>
  <c r="DY27" i="1"/>
  <c r="ET27" i="1"/>
  <c r="ET37" i="1"/>
  <c r="U3" i="12"/>
  <c r="CU2" i="1"/>
  <c r="DY2" i="1"/>
  <c r="ET2" i="1"/>
  <c r="CU3" i="1"/>
  <c r="DY3" i="1"/>
  <c r="ET3" i="1"/>
  <c r="CU5" i="1"/>
  <c r="DY5" i="1"/>
  <c r="ET5" i="1"/>
  <c r="CU7" i="1"/>
  <c r="DY7" i="1"/>
  <c r="ET7" i="1"/>
  <c r="CU11" i="1"/>
  <c r="DY11" i="1"/>
  <c r="ET11" i="1"/>
  <c r="CU13" i="1"/>
  <c r="DY13" i="1"/>
  <c r="ET13" i="1"/>
  <c r="CU17" i="1"/>
  <c r="DY17" i="1"/>
  <c r="ET17" i="1"/>
  <c r="CU18" i="1"/>
  <c r="DY18" i="1"/>
  <c r="ET18" i="1"/>
  <c r="CU19" i="1"/>
  <c r="DY19" i="1"/>
  <c r="CU20" i="1"/>
  <c r="DY20" i="1"/>
  <c r="ET20" i="1"/>
  <c r="CU23" i="1"/>
  <c r="DY23" i="1"/>
  <c r="ET23" i="1"/>
  <c r="CU24" i="1"/>
  <c r="DY24" i="1"/>
  <c r="ET24" i="1"/>
  <c r="T48" i="12"/>
  <c r="T49" i="12"/>
  <c r="T52" i="12"/>
  <c r="U44" i="12"/>
  <c r="L89" i="12"/>
  <c r="L90" i="12"/>
  <c r="L93" i="12"/>
  <c r="L48" i="12"/>
  <c r="L49" i="12"/>
  <c r="L52" i="12"/>
  <c r="M44" i="12"/>
  <c r="D48" i="12"/>
  <c r="D49" i="12"/>
  <c r="D52" i="12"/>
  <c r="E44" i="12"/>
  <c r="D126" i="12"/>
  <c r="D127" i="12"/>
  <c r="E85" i="12"/>
  <c r="E122" i="12"/>
  <c r="T89" i="12"/>
  <c r="T90" i="12"/>
  <c r="T93" i="12"/>
  <c r="U85" i="12"/>
  <c r="BA33" i="1"/>
  <c r="AV33" i="1"/>
  <c r="N93" i="6"/>
  <c r="M93" i="6"/>
  <c r="O93" i="6"/>
  <c r="O111" i="6"/>
  <c r="AC8" i="6"/>
  <c r="D7" i="6"/>
  <c r="F7" i="6"/>
  <c r="E7" i="6"/>
  <c r="AC9" i="6"/>
  <c r="E8" i="6"/>
  <c r="V7" i="6"/>
  <c r="W7" i="6"/>
  <c r="X7" i="6"/>
  <c r="X3" i="6"/>
  <c r="N7" i="6"/>
  <c r="O3" i="6"/>
  <c r="CO18" i="1"/>
  <c r="D89" i="12"/>
  <c r="D90" i="12"/>
  <c r="D93" i="12"/>
  <c r="N158" i="6"/>
  <c r="O206" i="6"/>
  <c r="O196" i="6"/>
  <c r="O176" i="6"/>
  <c r="O166" i="6"/>
  <c r="E158" i="6"/>
  <c r="F206" i="6"/>
  <c r="F196" i="6"/>
  <c r="F186" i="6"/>
  <c r="F176" i="6"/>
  <c r="F166" i="6"/>
  <c r="O141" i="6"/>
  <c r="O131" i="6"/>
  <c r="O121" i="6"/>
  <c r="O101" i="6"/>
  <c r="E93" i="6"/>
  <c r="D93" i="6"/>
  <c r="F93" i="6"/>
  <c r="F141" i="6"/>
  <c r="F131" i="6"/>
  <c r="F121" i="6"/>
  <c r="F111" i="6"/>
  <c r="F101" i="6"/>
  <c r="N29" i="6"/>
  <c r="O36" i="6"/>
  <c r="E29" i="6"/>
  <c r="O186" i="6"/>
  <c r="O76" i="6"/>
  <c r="O66" i="6"/>
  <c r="O56" i="6"/>
  <c r="O46" i="6"/>
  <c r="F76" i="6"/>
  <c r="F66" i="6"/>
  <c r="F56" i="6"/>
  <c r="F46" i="6"/>
  <c r="L7" i="12"/>
  <c r="L8" i="12"/>
  <c r="L11" i="12"/>
  <c r="M3" i="12"/>
  <c r="T126" i="12"/>
  <c r="T127" i="12"/>
  <c r="T130" i="12"/>
  <c r="U122" i="12"/>
  <c r="D7" i="12"/>
  <c r="D8" i="12"/>
  <c r="D11" i="12"/>
  <c r="E3" i="12"/>
  <c r="AB48" i="12"/>
  <c r="AB49" i="12"/>
  <c r="AB52" i="12"/>
  <c r="AC44" i="12"/>
  <c r="AA68" i="12"/>
  <c r="L11" i="11"/>
  <c r="J12" i="11"/>
  <c r="L12" i="11"/>
  <c r="J13" i="11"/>
  <c r="L13" i="11"/>
  <c r="AY5" i="11"/>
  <c r="AY6" i="11"/>
  <c r="AY7" i="11"/>
  <c r="AY8" i="11"/>
  <c r="AZ25" i="11"/>
  <c r="L15" i="11"/>
  <c r="M7" i="11"/>
  <c r="D55" i="11"/>
  <c r="B56" i="11"/>
  <c r="D56" i="11"/>
  <c r="D58" i="11"/>
  <c r="E7" i="11"/>
  <c r="E51" i="11"/>
  <c r="AR55" i="11"/>
  <c r="AR58" i="11"/>
  <c r="AS51" i="11"/>
  <c r="AJ55" i="11"/>
  <c r="AH56" i="11"/>
  <c r="AJ56" i="11"/>
  <c r="AJ58" i="11"/>
  <c r="AK51" i="11"/>
  <c r="AB55" i="11"/>
  <c r="Z56" i="11"/>
  <c r="AB56" i="11"/>
  <c r="AB58" i="11"/>
  <c r="AC7" i="11"/>
  <c r="AC51" i="11"/>
  <c r="T55" i="11"/>
  <c r="R56" i="11"/>
  <c r="T56" i="11"/>
  <c r="T58" i="11"/>
  <c r="U7" i="11"/>
  <c r="U51" i="11"/>
  <c r="L55" i="11"/>
  <c r="J56" i="11"/>
  <c r="L56" i="11"/>
  <c r="L58" i="11"/>
  <c r="M51" i="11"/>
  <c r="AR11" i="11"/>
  <c r="AP12" i="11"/>
  <c r="AR12" i="11"/>
  <c r="BD25" i="11"/>
  <c r="AR15" i="11"/>
  <c r="AS7" i="11"/>
  <c r="AK7" i="11"/>
  <c r="AJ11" i="11"/>
  <c r="AH12" i="11"/>
  <c r="AJ12" i="11"/>
  <c r="AH13" i="11"/>
  <c r="AJ13" i="11"/>
  <c r="BC25" i="11"/>
  <c r="AJ15" i="11"/>
  <c r="AB11" i="11"/>
  <c r="Z12" i="11"/>
  <c r="AB12" i="11"/>
  <c r="Z13" i="11"/>
  <c r="AB13" i="11"/>
  <c r="BB25" i="11"/>
  <c r="AB15" i="11"/>
  <c r="T11" i="11"/>
  <c r="R12" i="11"/>
  <c r="T12" i="11"/>
  <c r="R13" i="11"/>
  <c r="T13" i="11"/>
  <c r="BA25" i="11"/>
  <c r="T15" i="11"/>
  <c r="D11" i="11"/>
  <c r="B12" i="11"/>
  <c r="D12" i="11"/>
  <c r="B13" i="11"/>
  <c r="D13" i="11"/>
  <c r="D15" i="11"/>
  <c r="AB126" i="12"/>
  <c r="AB127" i="12"/>
  <c r="AB130" i="12"/>
  <c r="AC85" i="12"/>
  <c r="AC122" i="12"/>
  <c r="AB89" i="12"/>
  <c r="AB90" i="12"/>
  <c r="AB93" i="12"/>
  <c r="AB7" i="12"/>
  <c r="AB8" i="12"/>
  <c r="AB11" i="12"/>
  <c r="AC3" i="12"/>
  <c r="AM2" i="1"/>
  <c r="FK2" i="1"/>
  <c r="AM3" i="1"/>
  <c r="FK3" i="1"/>
  <c r="AM4" i="1"/>
  <c r="FK4" i="1"/>
  <c r="AM5" i="1"/>
  <c r="FK5" i="1"/>
  <c r="AM6" i="1"/>
  <c r="FK6" i="1"/>
  <c r="AM7" i="1"/>
  <c r="FK7" i="1"/>
  <c r="AM8" i="1"/>
  <c r="FK8" i="1"/>
  <c r="AM9" i="1"/>
  <c r="FK9" i="1"/>
  <c r="AM10" i="1"/>
  <c r="FK10" i="1"/>
  <c r="AM11" i="1"/>
  <c r="FK11" i="1"/>
  <c r="AM12" i="1"/>
  <c r="FK12" i="1"/>
  <c r="AM13" i="1"/>
  <c r="FK13" i="1"/>
  <c r="AM14" i="1"/>
  <c r="FK14" i="1"/>
  <c r="AM15" i="1"/>
  <c r="FK15" i="1"/>
  <c r="AM16" i="1"/>
  <c r="FK16" i="1"/>
  <c r="AM17" i="1"/>
  <c r="FK17" i="1"/>
  <c r="AM18" i="1"/>
  <c r="FK18" i="1"/>
  <c r="AM19" i="1"/>
  <c r="FK19" i="1"/>
  <c r="AM20" i="1"/>
  <c r="FK20" i="1"/>
  <c r="AM21" i="1"/>
  <c r="FK21" i="1"/>
  <c r="AM22" i="1"/>
  <c r="FK22" i="1"/>
  <c r="AM23" i="1"/>
  <c r="FK23" i="1"/>
  <c r="AM24" i="1"/>
  <c r="FK24" i="1"/>
  <c r="AM25" i="1"/>
  <c r="FK25" i="1"/>
  <c r="AM26" i="1"/>
  <c r="FK26" i="1"/>
  <c r="AM27" i="1"/>
  <c r="FK27" i="1"/>
  <c r="AM28" i="1"/>
  <c r="FK28" i="1"/>
  <c r="FD2" i="1"/>
  <c r="FD33" i="1"/>
  <c r="FD34" i="1"/>
  <c r="FD3" i="1"/>
  <c r="FD4" i="1"/>
  <c r="FD5" i="1"/>
  <c r="FD6" i="1"/>
  <c r="FD7" i="1"/>
  <c r="FD8" i="1"/>
  <c r="FD9" i="1"/>
  <c r="FD10" i="1"/>
  <c r="FD11" i="1"/>
  <c r="FD12" i="1"/>
  <c r="FD13" i="1"/>
  <c r="FD14" i="1"/>
  <c r="FD15" i="1"/>
  <c r="FD16" i="1"/>
  <c r="FD17" i="1"/>
  <c r="FD18" i="1"/>
  <c r="FD19" i="1"/>
  <c r="FD20" i="1"/>
  <c r="FD21" i="1"/>
  <c r="FD22" i="1"/>
  <c r="FD23" i="1"/>
  <c r="FD24" i="1"/>
  <c r="FD25" i="1"/>
  <c r="FD26" i="1"/>
  <c r="FD27" i="1"/>
  <c r="FD28" i="1"/>
  <c r="FB2" i="1"/>
  <c r="FB3" i="1"/>
  <c r="FB33" i="1"/>
  <c r="FB34" i="1"/>
  <c r="FB4" i="1"/>
  <c r="FB5" i="1"/>
  <c r="FB6" i="1"/>
  <c r="FB7" i="1"/>
  <c r="FB8" i="1"/>
  <c r="FB9" i="1"/>
  <c r="FB10" i="1"/>
  <c r="FB11" i="1"/>
  <c r="FB12" i="1"/>
  <c r="FB13" i="1"/>
  <c r="FB14" i="1"/>
  <c r="FB15" i="1"/>
  <c r="FB16" i="1"/>
  <c r="FB17" i="1"/>
  <c r="FB18" i="1"/>
  <c r="FB19" i="1"/>
  <c r="FB20" i="1"/>
  <c r="FB21" i="1"/>
  <c r="FB22" i="1"/>
  <c r="FB23" i="1"/>
  <c r="FB24" i="1"/>
  <c r="FB25" i="1"/>
  <c r="FB26" i="1"/>
  <c r="FB27" i="1"/>
  <c r="FB28" i="1"/>
  <c r="FC2" i="1"/>
  <c r="FC3" i="1"/>
  <c r="FC4" i="1"/>
  <c r="FC33" i="1"/>
  <c r="FC34" i="1"/>
  <c r="FC5" i="1"/>
  <c r="FC6" i="1"/>
  <c r="FC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E2" i="1"/>
  <c r="FE3" i="1"/>
  <c r="FE33" i="1"/>
  <c r="FE34" i="1"/>
  <c r="FE4" i="1"/>
  <c r="FE5" i="1"/>
  <c r="FE6" i="1"/>
  <c r="FE7" i="1"/>
  <c r="FE8" i="1"/>
  <c r="FE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CH2" i="1"/>
  <c r="CH3" i="1"/>
  <c r="CH4" i="1"/>
  <c r="CH6" i="1"/>
  <c r="CH7" i="1"/>
  <c r="CH8" i="1"/>
  <c r="CH9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EU2" i="1"/>
  <c r="EU3" i="1"/>
  <c r="EU33" i="1"/>
  <c r="EU4" i="1"/>
  <c r="EU5" i="1"/>
  <c r="EU6" i="1"/>
  <c r="EU7" i="1"/>
  <c r="EU8" i="1"/>
  <c r="EU9" i="1"/>
  <c r="EU10" i="1"/>
  <c r="EU11" i="1"/>
  <c r="EU12" i="1"/>
  <c r="EU13" i="1"/>
  <c r="EU14" i="1"/>
  <c r="EU15" i="1"/>
  <c r="EU16" i="1"/>
  <c r="EU17" i="1"/>
  <c r="EU18" i="1"/>
  <c r="EU19" i="1"/>
  <c r="EU20" i="1"/>
  <c r="EU21" i="1"/>
  <c r="EU22" i="1"/>
  <c r="EU23" i="1"/>
  <c r="EU24" i="1"/>
  <c r="EU25" i="1"/>
  <c r="EU26" i="1"/>
  <c r="EU27" i="1"/>
  <c r="EU28" i="1"/>
  <c r="BI2" i="1"/>
  <c r="BI3" i="1"/>
  <c r="BI4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ET41" i="1"/>
  <c r="CK2" i="1"/>
  <c r="CK3" i="1"/>
  <c r="CK4" i="1"/>
  <c r="CK5" i="1"/>
  <c r="CK6" i="1"/>
  <c r="CK36" i="1"/>
  <c r="CK7" i="1"/>
  <c r="CK8" i="1"/>
  <c r="CK35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7" i="1"/>
  <c r="CK28" i="1"/>
  <c r="CK34" i="1"/>
  <c r="CJ2" i="1"/>
  <c r="CJ3" i="1"/>
  <c r="CJ33" i="1"/>
  <c r="AY59" i="11"/>
  <c r="CJ4" i="1"/>
  <c r="CJ5" i="1"/>
  <c r="CJ6" i="1"/>
  <c r="CJ35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I2" i="1"/>
  <c r="CI3" i="1"/>
  <c r="CI35" i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20" i="1"/>
  <c r="CI21" i="1"/>
  <c r="CI22" i="1"/>
  <c r="CI23" i="1"/>
  <c r="CI24" i="1"/>
  <c r="CI25" i="1"/>
  <c r="CI26" i="1"/>
  <c r="CI28" i="1"/>
  <c r="T35" i="1"/>
  <c r="T34" i="1"/>
  <c r="T33" i="1"/>
  <c r="DU2" i="1"/>
  <c r="DU3" i="1"/>
  <c r="DU4" i="1"/>
  <c r="DU5" i="1"/>
  <c r="EM5" i="1"/>
  <c r="DU6" i="1"/>
  <c r="DU7" i="1"/>
  <c r="EM7" i="1"/>
  <c r="DU8" i="1"/>
  <c r="DU9" i="1"/>
  <c r="EM9" i="1"/>
  <c r="DU10" i="1"/>
  <c r="DU11" i="1"/>
  <c r="DU12" i="1"/>
  <c r="DU13" i="1"/>
  <c r="DU14" i="1"/>
  <c r="DU15" i="1"/>
  <c r="DU16" i="1"/>
  <c r="DU17" i="1"/>
  <c r="DU18" i="1"/>
  <c r="DU19" i="1"/>
  <c r="DU20" i="1"/>
  <c r="DU21" i="1"/>
  <c r="EM21" i="1"/>
  <c r="DU22" i="1"/>
  <c r="DU23" i="1"/>
  <c r="DU24" i="1"/>
  <c r="DU25" i="1"/>
  <c r="EM25" i="1"/>
  <c r="DU26" i="1"/>
  <c r="DU27" i="1"/>
  <c r="DU28" i="1"/>
  <c r="DV2" i="1"/>
  <c r="DV3" i="1"/>
  <c r="DV4" i="1"/>
  <c r="EN4" i="1"/>
  <c r="DV6" i="1"/>
  <c r="DV7" i="1"/>
  <c r="DV8" i="1"/>
  <c r="DV9" i="1"/>
  <c r="DV10" i="1"/>
  <c r="DV11" i="1"/>
  <c r="EN11" i="1"/>
  <c r="DV12" i="1"/>
  <c r="DV13" i="1"/>
  <c r="EN13" i="1"/>
  <c r="DV14" i="1"/>
  <c r="DV15" i="1"/>
  <c r="EN15" i="1"/>
  <c r="DV16" i="1"/>
  <c r="DV17" i="1"/>
  <c r="DV18" i="1"/>
  <c r="DV19" i="1"/>
  <c r="DV20" i="1"/>
  <c r="EN20" i="1"/>
  <c r="DV21" i="1"/>
  <c r="DV22" i="1"/>
  <c r="EN22" i="1"/>
  <c r="DV23" i="1"/>
  <c r="DV24" i="1"/>
  <c r="DV25" i="1"/>
  <c r="DV26" i="1"/>
  <c r="EN26" i="1"/>
  <c r="DV27" i="1"/>
  <c r="DV28" i="1"/>
  <c r="EN28" i="1"/>
  <c r="DR2" i="1"/>
  <c r="DR3" i="1"/>
  <c r="EJ3" i="1"/>
  <c r="DR4" i="1"/>
  <c r="DR6" i="1"/>
  <c r="EJ6" i="1"/>
  <c r="DR7" i="1"/>
  <c r="DR8" i="1"/>
  <c r="DR9" i="1"/>
  <c r="DR11" i="1"/>
  <c r="DR12" i="1"/>
  <c r="DR13" i="1"/>
  <c r="DR14" i="1"/>
  <c r="DR15" i="1"/>
  <c r="DR16" i="1"/>
  <c r="DR17" i="1"/>
  <c r="DR18" i="1"/>
  <c r="DR19" i="1"/>
  <c r="DR20" i="1"/>
  <c r="EJ20" i="1"/>
  <c r="DR21" i="1"/>
  <c r="DR22" i="1"/>
  <c r="EJ22" i="1"/>
  <c r="DR23" i="1"/>
  <c r="DR24" i="1"/>
  <c r="EJ24" i="1"/>
  <c r="DR25" i="1"/>
  <c r="DR26" i="1"/>
  <c r="EJ26" i="1"/>
  <c r="DR27" i="1"/>
  <c r="DR28" i="1"/>
  <c r="EJ28" i="1"/>
  <c r="DS2" i="1"/>
  <c r="DS3" i="1"/>
  <c r="DS4" i="1"/>
  <c r="DS5" i="1"/>
  <c r="EK5" i="1"/>
  <c r="DS6" i="1"/>
  <c r="DS7" i="1"/>
  <c r="EK7" i="1"/>
  <c r="DS8" i="1"/>
  <c r="DS9" i="1"/>
  <c r="EK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EK21" i="1"/>
  <c r="DS22" i="1"/>
  <c r="DS23" i="1"/>
  <c r="DS24" i="1"/>
  <c r="DS25" i="1"/>
  <c r="EK25" i="1"/>
  <c r="DS26" i="1"/>
  <c r="DS28" i="1"/>
  <c r="DT2" i="1"/>
  <c r="DT3" i="1"/>
  <c r="EL3" i="1"/>
  <c r="DT4" i="1"/>
  <c r="DT5" i="1"/>
  <c r="DT6" i="1"/>
  <c r="DT7" i="1"/>
  <c r="DT8" i="1"/>
  <c r="DT9" i="1"/>
  <c r="DT10" i="1"/>
  <c r="DT11" i="1"/>
  <c r="EL11" i="1"/>
  <c r="DT12" i="1"/>
  <c r="DT13" i="1"/>
  <c r="EL13" i="1"/>
  <c r="DT14" i="1"/>
  <c r="DT15" i="1"/>
  <c r="EL15" i="1"/>
  <c r="DT16" i="1"/>
  <c r="DT17" i="1"/>
  <c r="EL17" i="1"/>
  <c r="DT18" i="1"/>
  <c r="DT19" i="1"/>
  <c r="EL19" i="1"/>
  <c r="DT20" i="1"/>
  <c r="DT21" i="1"/>
  <c r="DT22" i="1"/>
  <c r="DT23" i="1"/>
  <c r="EL23" i="1"/>
  <c r="DT24" i="1"/>
  <c r="EL24" i="1"/>
  <c r="DT25" i="1"/>
  <c r="DT26" i="1"/>
  <c r="EL26" i="1"/>
  <c r="DT27" i="1"/>
  <c r="DT28" i="1"/>
  <c r="EL28" i="1"/>
  <c r="DW7" i="1"/>
  <c r="DW8" i="1"/>
  <c r="DW18" i="1"/>
  <c r="DW20" i="1"/>
  <c r="DW22" i="1"/>
  <c r="DW26" i="1"/>
  <c r="DW27" i="1"/>
  <c r="CX6" i="1"/>
  <c r="DX6" i="1"/>
  <c r="EP6" i="1"/>
  <c r="CX7" i="1"/>
  <c r="DX7" i="1"/>
  <c r="EP7" i="1"/>
  <c r="CX14" i="1"/>
  <c r="DX14" i="1"/>
  <c r="EP14" i="1"/>
  <c r="CX16" i="1"/>
  <c r="DX16" i="1"/>
  <c r="EP16" i="1"/>
  <c r="CX17" i="1"/>
  <c r="DX17" i="1"/>
  <c r="EP17" i="1"/>
  <c r="CX18" i="1"/>
  <c r="DX18" i="1"/>
  <c r="EP18" i="1"/>
  <c r="CX19" i="1"/>
  <c r="DX19" i="1"/>
  <c r="EP19" i="1"/>
  <c r="CX20" i="1"/>
  <c r="DX20" i="1"/>
  <c r="CX22" i="1"/>
  <c r="DX22" i="1"/>
  <c r="DX24" i="1"/>
  <c r="EP24" i="1"/>
  <c r="CX25" i="1"/>
  <c r="DX25" i="1"/>
  <c r="EP25" i="1"/>
  <c r="CX26" i="1"/>
  <c r="DX26" i="1"/>
  <c r="EP26" i="1"/>
  <c r="CX28" i="1"/>
  <c r="DX28" i="1"/>
  <c r="EP28" i="1"/>
  <c r="CU8" i="1"/>
  <c r="DY8" i="1"/>
  <c r="K146" i="12"/>
  <c r="K109" i="12"/>
  <c r="CI19" i="1"/>
  <c r="CI30" i="1"/>
  <c r="CK26" i="1"/>
  <c r="DW3" i="1"/>
  <c r="EW3" i="1"/>
  <c r="DW4" i="1"/>
  <c r="DW2" i="1"/>
  <c r="EA2" i="1"/>
  <c r="EA5" i="1"/>
  <c r="EV5" i="1"/>
  <c r="EA6" i="1"/>
  <c r="EA7" i="1"/>
  <c r="EV7" i="1"/>
  <c r="EA8" i="1"/>
  <c r="EA9" i="1"/>
  <c r="EA10" i="1"/>
  <c r="EV10" i="1"/>
  <c r="EA11" i="1"/>
  <c r="EA12" i="1"/>
  <c r="EV12" i="1"/>
  <c r="EA13" i="1"/>
  <c r="EA14" i="1"/>
  <c r="EV14" i="1"/>
  <c r="EA15" i="1"/>
  <c r="EA16" i="1"/>
  <c r="EV16" i="1"/>
  <c r="EA17" i="1"/>
  <c r="EA18" i="1"/>
  <c r="EA19" i="1"/>
  <c r="EA20" i="1"/>
  <c r="EA21" i="1"/>
  <c r="EV21" i="1"/>
  <c r="EA22" i="1"/>
  <c r="EA23" i="1"/>
  <c r="EA24" i="1"/>
  <c r="EA25" i="1"/>
  <c r="EV25" i="1"/>
  <c r="EA26" i="1"/>
  <c r="EA27" i="1"/>
  <c r="EA28" i="1"/>
  <c r="EV28" i="1"/>
  <c r="CP3" i="1"/>
  <c r="AA109" i="12"/>
  <c r="AA146" i="12"/>
  <c r="BA24" i="11"/>
  <c r="AZ24" i="11"/>
  <c r="AY25" i="11"/>
  <c r="AY24" i="11"/>
  <c r="BB24" i="11"/>
  <c r="BC24" i="11"/>
  <c r="BD24" i="11"/>
  <c r="EK24" i="1"/>
  <c r="EM24" i="1"/>
  <c r="EN24" i="1"/>
  <c r="CY24" i="1"/>
  <c r="ER24" i="1"/>
  <c r="EZ24" i="1"/>
  <c r="FF24" i="1"/>
  <c r="FG24" i="1"/>
  <c r="FH24" i="1"/>
  <c r="FI24" i="1"/>
  <c r="FJ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EW2" i="1"/>
  <c r="CX2" i="1"/>
  <c r="CY2" i="1"/>
  <c r="ER2" i="1"/>
  <c r="EK2" i="1"/>
  <c r="EJ2" i="1"/>
  <c r="DP8" i="1"/>
  <c r="BS3" i="1"/>
  <c r="CX3" i="1"/>
  <c r="DX3" i="1"/>
  <c r="EA3" i="1"/>
  <c r="CX4" i="1"/>
  <c r="DX4" i="1"/>
  <c r="EA4" i="1"/>
  <c r="DX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BQ3" i="1"/>
  <c r="BR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5" i="1"/>
  <c r="BP26" i="1"/>
  <c r="BP27" i="1"/>
  <c r="BP28" i="1"/>
  <c r="BP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5" i="1"/>
  <c r="U26" i="1"/>
  <c r="U27" i="1"/>
  <c r="U28" i="1"/>
  <c r="U2" i="1"/>
  <c r="CY23" i="1"/>
  <c r="ER23" i="1"/>
  <c r="EJ23" i="1"/>
  <c r="EK23" i="1"/>
  <c r="EM23" i="1"/>
  <c r="EN23" i="1"/>
  <c r="EP23" i="1"/>
  <c r="EV23" i="1"/>
  <c r="EZ23" i="1"/>
  <c r="FF23" i="1"/>
  <c r="FG23" i="1"/>
  <c r="FH23" i="1"/>
  <c r="FI23" i="1"/>
  <c r="FJ23" i="1"/>
  <c r="EJ7" i="1"/>
  <c r="EL7" i="1"/>
  <c r="EN7" i="1"/>
  <c r="EO7" i="1"/>
  <c r="EW7" i="1"/>
  <c r="EZ7" i="1"/>
  <c r="FF7" i="1"/>
  <c r="FG7" i="1"/>
  <c r="FH7" i="1"/>
  <c r="FI7" i="1"/>
  <c r="FJ7" i="1"/>
  <c r="CY8" i="1"/>
  <c r="EJ8" i="1"/>
  <c r="EK8" i="1"/>
  <c r="EL8" i="1"/>
  <c r="EM8" i="1"/>
  <c r="EN8" i="1"/>
  <c r="EP8" i="1"/>
  <c r="ER8" i="1"/>
  <c r="EV8" i="1"/>
  <c r="EW8" i="1"/>
  <c r="EZ8" i="1"/>
  <c r="FF8" i="1"/>
  <c r="FG8" i="1"/>
  <c r="FH8" i="1"/>
  <c r="FI8" i="1"/>
  <c r="FJ8" i="1"/>
  <c r="EL2" i="1"/>
  <c r="EM2" i="1"/>
  <c r="EN2" i="1"/>
  <c r="EQ2" i="1"/>
  <c r="EV2" i="1"/>
  <c r="EZ2" i="1"/>
  <c r="FF2" i="1"/>
  <c r="FG2" i="1"/>
  <c r="FH2" i="1"/>
  <c r="FI2" i="1"/>
  <c r="FJ2" i="1"/>
  <c r="CY3" i="1"/>
  <c r="ER3" i="1"/>
  <c r="EK3" i="1"/>
  <c r="EM3" i="1"/>
  <c r="EN3" i="1"/>
  <c r="EO3" i="1"/>
  <c r="EV3" i="1"/>
  <c r="EZ3" i="1"/>
  <c r="FF3" i="1"/>
  <c r="FG3" i="1"/>
  <c r="FH3" i="1"/>
  <c r="FI3" i="1"/>
  <c r="FJ3" i="1"/>
  <c r="CY4" i="1"/>
  <c r="ER4" i="1"/>
  <c r="EJ4" i="1"/>
  <c r="EK4" i="1"/>
  <c r="EL4" i="1"/>
  <c r="EM4" i="1"/>
  <c r="EO4" i="1"/>
  <c r="EQ4" i="1"/>
  <c r="EW4" i="1"/>
  <c r="EZ4" i="1"/>
  <c r="FF4" i="1"/>
  <c r="FG4" i="1"/>
  <c r="FH4" i="1"/>
  <c r="FI4" i="1"/>
  <c r="FJ4" i="1"/>
  <c r="EL5" i="1"/>
  <c r="EP5" i="1"/>
  <c r="EZ5" i="1"/>
  <c r="FF5" i="1"/>
  <c r="FG5" i="1"/>
  <c r="FH5" i="1"/>
  <c r="FI5" i="1"/>
  <c r="FJ5" i="1"/>
  <c r="CY6" i="1"/>
  <c r="ER6" i="1"/>
  <c r="EK6" i="1"/>
  <c r="EL6" i="1"/>
  <c r="EM6" i="1"/>
  <c r="EN6" i="1"/>
  <c r="EV6" i="1"/>
  <c r="EZ6" i="1"/>
  <c r="FF6" i="1"/>
  <c r="FG6" i="1"/>
  <c r="FH6" i="1"/>
  <c r="FI6" i="1"/>
  <c r="FJ6" i="1"/>
  <c r="CY9" i="1"/>
  <c r="EJ9" i="1"/>
  <c r="EL9" i="1"/>
  <c r="EN9" i="1"/>
  <c r="EP9" i="1"/>
  <c r="ER9" i="1"/>
  <c r="EV9" i="1"/>
  <c r="EZ9" i="1"/>
  <c r="FF9" i="1"/>
  <c r="FG9" i="1"/>
  <c r="FH9" i="1"/>
  <c r="FI9" i="1"/>
  <c r="FJ9" i="1"/>
  <c r="CY10" i="1"/>
  <c r="EK10" i="1"/>
  <c r="EL10" i="1"/>
  <c r="EM10" i="1"/>
  <c r="EN10" i="1"/>
  <c r="EP10" i="1"/>
  <c r="ER10" i="1"/>
  <c r="EZ10" i="1"/>
  <c r="FF10" i="1"/>
  <c r="FG10" i="1"/>
  <c r="FH10" i="1"/>
  <c r="FI10" i="1"/>
  <c r="FJ10" i="1"/>
  <c r="CY11" i="1"/>
  <c r="EJ11" i="1"/>
  <c r="EK11" i="1"/>
  <c r="EM11" i="1"/>
  <c r="EP11" i="1"/>
  <c r="ER11" i="1"/>
  <c r="EV11" i="1"/>
  <c r="EZ11" i="1"/>
  <c r="FF11" i="1"/>
  <c r="FG11" i="1"/>
  <c r="FH11" i="1"/>
  <c r="FI11" i="1"/>
  <c r="FJ11" i="1"/>
  <c r="CY12" i="1"/>
  <c r="EJ12" i="1"/>
  <c r="EK12" i="1"/>
  <c r="EL12" i="1"/>
  <c r="EM12" i="1"/>
  <c r="EN12" i="1"/>
  <c r="EP12" i="1"/>
  <c r="ER12" i="1"/>
  <c r="EZ12" i="1"/>
  <c r="FF12" i="1"/>
  <c r="FG12" i="1"/>
  <c r="FH12" i="1"/>
  <c r="FI12" i="1"/>
  <c r="FJ12" i="1"/>
  <c r="CY13" i="1"/>
  <c r="ER13" i="1"/>
  <c r="EJ13" i="1"/>
  <c r="EK13" i="1"/>
  <c r="EM13" i="1"/>
  <c r="EP13" i="1"/>
  <c r="EV13" i="1"/>
  <c r="EZ13" i="1"/>
  <c r="FF13" i="1"/>
  <c r="FG13" i="1"/>
  <c r="FH13" i="1"/>
  <c r="FI13" i="1"/>
  <c r="FJ13" i="1"/>
  <c r="EJ14" i="1"/>
  <c r="EK14" i="1"/>
  <c r="EL14" i="1"/>
  <c r="EM14" i="1"/>
  <c r="EN14" i="1"/>
  <c r="EZ14" i="1"/>
  <c r="FF14" i="1"/>
  <c r="FG14" i="1"/>
  <c r="FH14" i="1"/>
  <c r="FI14" i="1"/>
  <c r="FJ14" i="1"/>
  <c r="CY15" i="1"/>
  <c r="ER15" i="1"/>
  <c r="EJ15" i="1"/>
  <c r="EK15" i="1"/>
  <c r="EM15" i="1"/>
  <c r="EP15" i="1"/>
  <c r="EV15" i="1"/>
  <c r="EZ15" i="1"/>
  <c r="FF15" i="1"/>
  <c r="FG15" i="1"/>
  <c r="FH15" i="1"/>
  <c r="FI15" i="1"/>
  <c r="FJ15" i="1"/>
  <c r="EJ16" i="1"/>
  <c r="EK16" i="1"/>
  <c r="EL16" i="1"/>
  <c r="EM16" i="1"/>
  <c r="EN16" i="1"/>
  <c r="EZ16" i="1"/>
  <c r="FF16" i="1"/>
  <c r="FG16" i="1"/>
  <c r="FH16" i="1"/>
  <c r="FI16" i="1"/>
  <c r="FJ16" i="1"/>
  <c r="CY17" i="1"/>
  <c r="EJ17" i="1"/>
  <c r="EK17" i="1"/>
  <c r="EM17" i="1"/>
  <c r="ER17" i="1"/>
  <c r="EV17" i="1"/>
  <c r="EZ17" i="1"/>
  <c r="FF17" i="1"/>
  <c r="FG17" i="1"/>
  <c r="FH17" i="1"/>
  <c r="FI17" i="1"/>
  <c r="FJ17" i="1"/>
  <c r="N18" i="1"/>
  <c r="EJ18" i="1"/>
  <c r="EK18" i="1"/>
  <c r="EL18" i="1"/>
  <c r="EM18" i="1"/>
  <c r="EN18" i="1"/>
  <c r="EV18" i="1"/>
  <c r="EW18" i="1"/>
  <c r="EZ18" i="1"/>
  <c r="FF18" i="1"/>
  <c r="FG18" i="1"/>
  <c r="FH18" i="1"/>
  <c r="FI18" i="1"/>
  <c r="FJ18" i="1"/>
  <c r="N19" i="1"/>
  <c r="CY19" i="1"/>
  <c r="ER19" i="1"/>
  <c r="EJ19" i="1"/>
  <c r="EK19" i="1"/>
  <c r="EM19" i="1"/>
  <c r="EN19" i="1"/>
  <c r="EV19" i="1"/>
  <c r="EZ19" i="1"/>
  <c r="FF19" i="1"/>
  <c r="FG19" i="1"/>
  <c r="FH19" i="1"/>
  <c r="FI19" i="1"/>
  <c r="FJ19" i="1"/>
  <c r="CY20" i="1"/>
  <c r="ER20" i="1"/>
  <c r="EK20" i="1"/>
  <c r="EL20" i="1"/>
  <c r="EM20" i="1"/>
  <c r="EO20" i="1"/>
  <c r="EV20" i="1"/>
  <c r="EZ20" i="1"/>
  <c r="FF20" i="1"/>
  <c r="FG20" i="1"/>
  <c r="FH20" i="1"/>
  <c r="FI20" i="1"/>
  <c r="FJ20" i="1"/>
  <c r="CY21" i="1"/>
  <c r="EJ21" i="1"/>
  <c r="EL21" i="1"/>
  <c r="EN21" i="1"/>
  <c r="EP21" i="1"/>
  <c r="ER21" i="1"/>
  <c r="EZ21" i="1"/>
  <c r="FF21" i="1"/>
  <c r="FG21" i="1"/>
  <c r="FH21" i="1"/>
  <c r="FI21" i="1"/>
  <c r="FJ21" i="1"/>
  <c r="CY22" i="1"/>
  <c r="EK22" i="1"/>
  <c r="EL22" i="1"/>
  <c r="EM22" i="1"/>
  <c r="EO22" i="1"/>
  <c r="ER22" i="1"/>
  <c r="EV22" i="1"/>
  <c r="EW22" i="1"/>
  <c r="EZ22" i="1"/>
  <c r="FF22" i="1"/>
  <c r="FG22" i="1"/>
  <c r="FH22" i="1"/>
  <c r="FI22" i="1"/>
  <c r="FJ22" i="1"/>
  <c r="CY25" i="1"/>
  <c r="EJ25" i="1"/>
  <c r="EL25" i="1"/>
  <c r="EN25" i="1"/>
  <c r="ER25" i="1"/>
  <c r="EZ25" i="1"/>
  <c r="FF25" i="1"/>
  <c r="FG25" i="1"/>
  <c r="FH25" i="1"/>
  <c r="FI25" i="1"/>
  <c r="FJ25" i="1"/>
  <c r="CY26" i="1"/>
  <c r="ER26" i="1"/>
  <c r="EK26" i="1"/>
  <c r="EM26" i="1"/>
  <c r="EO26" i="1"/>
  <c r="EV26" i="1"/>
  <c r="EW26" i="1"/>
  <c r="EZ26" i="1"/>
  <c r="FF26" i="1"/>
  <c r="FG26" i="1"/>
  <c r="FH26" i="1"/>
  <c r="FI26" i="1"/>
  <c r="FJ26" i="1"/>
  <c r="CY27" i="1"/>
  <c r="EJ27" i="1"/>
  <c r="EK27" i="1"/>
  <c r="EL27" i="1"/>
  <c r="EM27" i="1"/>
  <c r="EN27" i="1"/>
  <c r="EO27" i="1"/>
  <c r="EP27" i="1"/>
  <c r="ER27" i="1"/>
  <c r="EV27" i="1"/>
  <c r="EW27" i="1"/>
  <c r="EZ27" i="1"/>
  <c r="FF27" i="1"/>
  <c r="FG27" i="1"/>
  <c r="FI27" i="1"/>
  <c r="FJ27" i="1"/>
  <c r="CY28" i="1"/>
  <c r="ER28" i="1"/>
  <c r="EK28" i="1"/>
  <c r="EM28" i="1"/>
  <c r="EZ28" i="1"/>
  <c r="FF28" i="1"/>
  <c r="FG28" i="1"/>
  <c r="FH28" i="1"/>
  <c r="FI28" i="1"/>
  <c r="FJ28" i="1"/>
  <c r="EP3" i="1"/>
  <c r="EP2" i="1"/>
  <c r="EV24" i="1"/>
  <c r="ET8" i="1"/>
  <c r="CJ34" i="1"/>
  <c r="D8" i="6"/>
  <c r="F8" i="6"/>
  <c r="V8" i="6"/>
  <c r="X8" i="6"/>
  <c r="M8" i="6"/>
  <c r="O8" i="6"/>
  <c r="M7" i="6"/>
  <c r="O7" i="6"/>
  <c r="EU35" i="1"/>
  <c r="AJ36" i="12"/>
  <c r="BO33" i="1"/>
  <c r="BJ5" i="1"/>
  <c r="BL5" i="1"/>
  <c r="ET6" i="1"/>
  <c r="ET4" i="1"/>
  <c r="BM33" i="1"/>
  <c r="CR27" i="1"/>
  <c r="EQ27" i="1"/>
  <c r="CO27" i="1"/>
  <c r="CO22" i="1"/>
  <c r="CR22" i="1"/>
  <c r="CO11" i="1"/>
  <c r="CO7" i="1"/>
  <c r="CR7" i="1"/>
  <c r="CO3" i="1"/>
  <c r="CR3" i="1"/>
  <c r="D9" i="14"/>
  <c r="B9" i="14"/>
  <c r="F20" i="14"/>
  <c r="F15" i="14"/>
  <c r="L9" i="14"/>
  <c r="J9" i="14"/>
  <c r="H9" i="14"/>
  <c r="D12" i="14"/>
  <c r="C9" i="14"/>
  <c r="G9" i="14"/>
  <c r="F9" i="14"/>
  <c r="E9" i="14"/>
  <c r="L12" i="14"/>
  <c r="K9" i="14"/>
  <c r="J12" i="14"/>
  <c r="I9" i="14"/>
  <c r="H12" i="14"/>
  <c r="DL22" i="1"/>
  <c r="DO22" i="1"/>
  <c r="EQ22" i="1"/>
  <c r="CH5" i="1"/>
  <c r="DR5" i="1"/>
  <c r="S92" i="12"/>
  <c r="H17" i="14"/>
  <c r="H20" i="14"/>
  <c r="H22" i="14"/>
  <c r="H24" i="14"/>
  <c r="H15" i="14"/>
  <c r="J17" i="14"/>
  <c r="J20" i="14"/>
  <c r="J22" i="14"/>
  <c r="J24" i="14"/>
  <c r="J15" i="14"/>
  <c r="L17" i="14"/>
  <c r="L20" i="14"/>
  <c r="L15" i="14"/>
  <c r="F22" i="14"/>
  <c r="F24" i="14"/>
  <c r="B17" i="14"/>
  <c r="B20" i="14"/>
  <c r="B22" i="14"/>
  <c r="B24" i="14"/>
  <c r="B15" i="14"/>
  <c r="D17" i="14"/>
  <c r="D20" i="14"/>
  <c r="D22" i="14"/>
  <c r="D24" i="14"/>
  <c r="D15" i="14"/>
  <c r="DL3" i="1"/>
  <c r="DM3" i="1"/>
  <c r="EQ3" i="1"/>
  <c r="DL7" i="1"/>
  <c r="DO7" i="1"/>
  <c r="DQ7" i="1"/>
  <c r="EQ7" i="1"/>
  <c r="DL27" i="1"/>
  <c r="DO27" i="1"/>
  <c r="ET36" i="1"/>
  <c r="AJ34" i="12"/>
  <c r="CY5" i="1"/>
  <c r="ER5" i="1"/>
  <c r="DV5" i="1"/>
  <c r="DM27" i="1"/>
  <c r="DM7" i="1"/>
  <c r="S8" i="12"/>
  <c r="U8" i="12"/>
  <c r="S49" i="12"/>
  <c r="U49" i="12"/>
  <c r="C49" i="12"/>
  <c r="E49" i="12"/>
  <c r="C127" i="12"/>
  <c r="E127" i="12"/>
  <c r="K90" i="12"/>
  <c r="M90" i="12"/>
  <c r="S90" i="12"/>
  <c r="U90" i="12"/>
  <c r="AA49" i="12"/>
  <c r="AC49" i="12"/>
  <c r="K8" i="12"/>
  <c r="M8" i="12"/>
  <c r="C8" i="12"/>
  <c r="E8" i="12"/>
  <c r="AA90" i="12"/>
  <c r="AC90" i="12"/>
  <c r="AA127" i="12"/>
  <c r="AC127" i="12"/>
  <c r="AA8" i="12"/>
  <c r="AC8" i="12"/>
  <c r="EJ5" i="1"/>
  <c r="DM22" i="1"/>
  <c r="DO3" i="1"/>
  <c r="DQ3" i="1"/>
  <c r="AY16" i="11"/>
  <c r="DU33" i="1"/>
  <c r="DT33" i="1"/>
  <c r="S3" i="1"/>
  <c r="EB3" i="1"/>
  <c r="EG3" i="1"/>
  <c r="D100" i="12"/>
  <c r="E100" i="12"/>
  <c r="ED3" i="1"/>
  <c r="EX3" i="1"/>
  <c r="EH3" i="1"/>
  <c r="C48" i="12"/>
  <c r="E48" i="12"/>
  <c r="C50" i="12"/>
  <c r="C56" i="12"/>
  <c r="AA51" i="12"/>
  <c r="AA48" i="12"/>
  <c r="AC48" i="12"/>
  <c r="AA56" i="12"/>
  <c r="AA128" i="12"/>
  <c r="AC128" i="12"/>
  <c r="AA126" i="12"/>
  <c r="AC126" i="12"/>
  <c r="AA134" i="12"/>
  <c r="AA10" i="12"/>
  <c r="AC10" i="12"/>
  <c r="AA7" i="12"/>
  <c r="AC7" i="12"/>
  <c r="AA15" i="12"/>
  <c r="AA93" i="12"/>
  <c r="AC93" i="12"/>
  <c r="AA91" i="12"/>
  <c r="AA89" i="12"/>
  <c r="AC89" i="12"/>
  <c r="AA97" i="12"/>
  <c r="S130" i="12"/>
  <c r="U130" i="12"/>
  <c r="K52" i="12"/>
  <c r="M52" i="12"/>
  <c r="AY13" i="11"/>
  <c r="AA11" i="11"/>
  <c r="AC11" i="11"/>
  <c r="AY32" i="11"/>
  <c r="AY14" i="11"/>
  <c r="K12" i="11"/>
  <c r="M12" i="11"/>
  <c r="C92" i="12"/>
  <c r="K129" i="12"/>
  <c r="S10" i="12"/>
  <c r="C129" i="12"/>
  <c r="K92" i="12"/>
  <c r="C10" i="12"/>
  <c r="S129" i="12"/>
  <c r="S91" i="12"/>
  <c r="C9" i="12"/>
  <c r="C90" i="12"/>
  <c r="E90" i="12"/>
  <c r="K49" i="12"/>
  <c r="M49" i="12"/>
  <c r="K127" i="12"/>
  <c r="M127" i="12"/>
  <c r="S127" i="12"/>
  <c r="U127" i="12"/>
  <c r="Z122" i="18"/>
  <c r="AB122" i="18"/>
  <c r="Z85" i="18"/>
  <c r="AB85" i="18"/>
  <c r="AB86" i="18"/>
  <c r="Z47" i="18"/>
  <c r="AB47" i="18"/>
  <c r="Z9" i="18"/>
  <c r="AB9" i="18"/>
  <c r="AB10" i="18"/>
  <c r="AB12" i="18"/>
  <c r="AB48" i="18"/>
  <c r="AB50" i="18"/>
  <c r="AB100" i="12"/>
  <c r="AY80" i="11"/>
  <c r="BI5" i="1"/>
  <c r="BI33" i="1"/>
  <c r="CG5" i="1"/>
  <c r="C91" i="12"/>
  <c r="S50" i="12"/>
  <c r="K10" i="12"/>
  <c r="AY82" i="11"/>
  <c r="AB67" i="11"/>
  <c r="AC67" i="11"/>
  <c r="EP22" i="1"/>
  <c r="DM2" i="1"/>
  <c r="DO2" i="1"/>
  <c r="EN5" i="1"/>
  <c r="DS33" i="1"/>
  <c r="S7" i="1"/>
  <c r="EB7" i="1"/>
  <c r="EP4" i="1"/>
  <c r="ET40" i="1"/>
  <c r="ET19" i="1"/>
  <c r="ET35" i="1"/>
  <c r="AJ33" i="12"/>
  <c r="DM4" i="1"/>
  <c r="DO4" i="1"/>
  <c r="AA12" i="11"/>
  <c r="EC3" i="1"/>
  <c r="EE3" i="1"/>
  <c r="EF3" i="1"/>
  <c r="L22" i="14"/>
  <c r="L24" i="14"/>
  <c r="G17" i="14"/>
  <c r="G20" i="14"/>
  <c r="G22" i="14"/>
  <c r="G24" i="14"/>
  <c r="G15" i="14"/>
  <c r="E17" i="14"/>
  <c r="E20" i="14"/>
  <c r="E22" i="14"/>
  <c r="E24" i="14"/>
  <c r="F26" i="14"/>
  <c r="C30" i="14"/>
  <c r="E15" i="14"/>
  <c r="K15" i="14"/>
  <c r="K17" i="14"/>
  <c r="K20" i="14"/>
  <c r="K22" i="14"/>
  <c r="K24" i="14"/>
  <c r="I17" i="14"/>
  <c r="I20" i="14"/>
  <c r="I22" i="14"/>
  <c r="I24" i="14"/>
  <c r="J26" i="14"/>
  <c r="C31" i="14"/>
  <c r="I15" i="14"/>
  <c r="O13" i="14"/>
  <c r="O18" i="14"/>
  <c r="O9" i="14"/>
  <c r="N9" i="14"/>
  <c r="N12" i="14"/>
  <c r="M17" i="14"/>
  <c r="CJ36" i="1"/>
  <c r="CK33" i="1"/>
  <c r="C17" i="14"/>
  <c r="C20" i="14"/>
  <c r="C22" i="14"/>
  <c r="C24" i="14"/>
  <c r="C26" i="14"/>
  <c r="C29" i="14"/>
  <c r="C15" i="14"/>
  <c r="O17" i="14"/>
  <c r="O20" i="14"/>
  <c r="M13" i="14"/>
  <c r="M18" i="14"/>
  <c r="M9" i="14"/>
  <c r="CI33" i="1"/>
  <c r="CJ30" i="1"/>
  <c r="CJ31" i="1"/>
  <c r="CK30" i="1"/>
  <c r="EW20" i="1"/>
  <c r="EP20" i="1"/>
  <c r="EO18" i="1"/>
  <c r="CY18" i="1"/>
  <c r="ER18" i="1"/>
  <c r="EN17" i="1"/>
  <c r="CY16" i="1"/>
  <c r="ER16" i="1"/>
  <c r="CY14" i="1"/>
  <c r="ER14" i="1"/>
  <c r="EV4" i="1"/>
  <c r="EO2" i="1"/>
  <c r="EO8" i="1"/>
  <c r="CY7" i="1"/>
  <c r="ER7" i="1"/>
  <c r="CI36" i="1"/>
  <c r="EU34" i="1"/>
  <c r="BL10" i="1"/>
  <c r="DR10" i="1"/>
  <c r="CJ32" i="1"/>
  <c r="AY60" i="11"/>
  <c r="CK31" i="1"/>
  <c r="CK32" i="1"/>
  <c r="N17" i="14"/>
  <c r="N20" i="14"/>
  <c r="N15" i="14"/>
  <c r="T139" i="12"/>
  <c r="U139" i="12"/>
  <c r="D139" i="12"/>
  <c r="E139" i="12"/>
  <c r="L102" i="12"/>
  <c r="M102" i="12"/>
  <c r="D20" i="12"/>
  <c r="E20" i="12"/>
  <c r="O15" i="14"/>
  <c r="M15" i="14"/>
  <c r="O22" i="14"/>
  <c r="O24" i="14"/>
  <c r="EI3" i="1"/>
  <c r="AY58" i="11"/>
  <c r="CI32" i="1"/>
  <c r="CI31" i="1"/>
  <c r="DQ4" i="1"/>
  <c r="EB4" i="1"/>
  <c r="S4" i="1"/>
  <c r="AY79" i="11"/>
  <c r="EG7" i="1"/>
  <c r="EX7" i="1"/>
  <c r="EF7" i="1"/>
  <c r="EE7" i="1"/>
  <c r="ED7" i="1"/>
  <c r="EH7" i="1"/>
  <c r="EC7" i="1"/>
  <c r="EI7" i="1"/>
  <c r="S2" i="1"/>
  <c r="EB2" i="1"/>
  <c r="DQ2" i="1"/>
  <c r="AJ67" i="11"/>
  <c r="AK67" i="11"/>
  <c r="M20" i="14"/>
  <c r="M22" i="14"/>
  <c r="M24" i="14"/>
  <c r="N26" i="14"/>
  <c r="N22" i="14"/>
  <c r="N24" i="14"/>
  <c r="D59" i="12"/>
  <c r="FA7" i="1"/>
  <c r="EY7" i="1"/>
  <c r="EH2" i="1"/>
  <c r="EF2" i="1"/>
  <c r="EX2" i="1"/>
  <c r="EC2" i="1"/>
  <c r="EG2" i="1"/>
  <c r="EE2" i="1"/>
  <c r="ED2" i="1"/>
  <c r="ED4" i="1"/>
  <c r="EF4" i="1"/>
  <c r="EX4" i="1"/>
  <c r="EG4" i="1"/>
  <c r="EC4" i="1"/>
  <c r="EE4" i="1"/>
  <c r="EH4" i="1"/>
  <c r="AY76" i="11"/>
  <c r="L30" i="6"/>
  <c r="C30" i="6"/>
  <c r="S134" i="12"/>
  <c r="C134" i="12"/>
  <c r="K56" i="12"/>
  <c r="L94" i="6"/>
  <c r="L159" i="6"/>
  <c r="K134" i="12"/>
  <c r="S56" i="12"/>
  <c r="C15" i="12"/>
  <c r="C159" i="6"/>
  <c r="S15" i="12"/>
  <c r="L9" i="6"/>
  <c r="S97" i="12"/>
  <c r="C94" i="6"/>
  <c r="F94" i="6"/>
  <c r="K97" i="12"/>
  <c r="U9" i="6"/>
  <c r="K15" i="12"/>
  <c r="C9" i="6"/>
  <c r="C97" i="12"/>
  <c r="EJ10" i="1"/>
  <c r="DR33" i="1"/>
  <c r="EY2" i="1"/>
  <c r="FA2" i="1"/>
  <c r="EY4" i="1"/>
  <c r="FA4" i="1"/>
  <c r="EI4" i="1"/>
  <c r="EI2" i="1"/>
  <c r="K7" i="12"/>
  <c r="M7" i="12"/>
  <c r="M12" i="12"/>
  <c r="M15" i="12"/>
  <c r="M16" i="12"/>
  <c r="C126" i="12"/>
  <c r="E126" i="12"/>
  <c r="K27" i="12"/>
  <c r="K126" i="12"/>
  <c r="M126" i="12"/>
  <c r="C89" i="12"/>
  <c r="E89" i="12"/>
  <c r="S126" i="12"/>
  <c r="U126" i="12"/>
  <c r="K48" i="12"/>
  <c r="M48" i="12"/>
  <c r="C7" i="12"/>
  <c r="E7" i="12"/>
  <c r="S48" i="12"/>
  <c r="U48" i="12"/>
  <c r="S7" i="12"/>
  <c r="U7" i="12"/>
  <c r="S89" i="12"/>
  <c r="U89" i="12"/>
  <c r="K89" i="12"/>
  <c r="M89" i="12"/>
  <c r="T59" i="12"/>
  <c r="K68" i="12"/>
  <c r="C68" i="12"/>
  <c r="C146" i="12"/>
  <c r="AA27" i="12"/>
  <c r="C109" i="12"/>
  <c r="S146" i="12"/>
  <c r="S109" i="12"/>
  <c r="C27" i="12"/>
  <c r="S68" i="12"/>
  <c r="S27" i="12"/>
  <c r="C13" i="6"/>
  <c r="U13" i="6"/>
  <c r="S15" i="18"/>
  <c r="AA15" i="18"/>
  <c r="S128" i="18"/>
  <c r="S91" i="18"/>
  <c r="AA53" i="18"/>
  <c r="AA128" i="18"/>
  <c r="AA91" i="18"/>
  <c r="C53" i="18"/>
  <c r="C15" i="18"/>
  <c r="K15" i="18"/>
  <c r="C128" i="18"/>
  <c r="C91" i="18"/>
  <c r="K53" i="18"/>
  <c r="K128" i="18"/>
  <c r="K91" i="18"/>
  <c r="S53" i="18"/>
  <c r="J47" i="18"/>
  <c r="L47" i="18"/>
  <c r="J9" i="18"/>
  <c r="L9" i="18"/>
  <c r="J122" i="18"/>
  <c r="L122" i="18"/>
  <c r="J85" i="18"/>
  <c r="L85" i="18"/>
  <c r="AK11" i="18"/>
  <c r="AK13" i="18"/>
  <c r="AL22" i="18"/>
  <c r="T124" i="18"/>
  <c r="T125" i="18"/>
  <c r="B9" i="12"/>
  <c r="D9" i="12"/>
  <c r="J9" i="12"/>
  <c r="L9" i="12"/>
  <c r="R50" i="12"/>
  <c r="T50" i="12"/>
  <c r="B91" i="12"/>
  <c r="D91" i="12"/>
  <c r="R91" i="12"/>
  <c r="T91" i="12"/>
  <c r="J128" i="12"/>
  <c r="L128" i="12"/>
  <c r="L129" i="12"/>
  <c r="R9" i="12"/>
  <c r="T9" i="12"/>
  <c r="J50" i="12"/>
  <c r="L50" i="12"/>
  <c r="J91" i="12"/>
  <c r="L91" i="12"/>
  <c r="K120" i="18"/>
  <c r="M120" i="18"/>
  <c r="K7" i="18"/>
  <c r="M7" i="18"/>
  <c r="S7" i="18"/>
  <c r="U7" i="18"/>
  <c r="C7" i="18"/>
  <c r="E7" i="18"/>
  <c r="AA120" i="18"/>
  <c r="AC120" i="18"/>
  <c r="AA7" i="18"/>
  <c r="AC7" i="18"/>
  <c r="K83" i="18"/>
  <c r="M83" i="18"/>
  <c r="S120" i="18"/>
  <c r="U120" i="18"/>
  <c r="C120" i="18"/>
  <c r="E120" i="18"/>
  <c r="S83" i="18"/>
  <c r="U83" i="18"/>
  <c r="C83" i="18"/>
  <c r="E83" i="18"/>
  <c r="K45" i="18"/>
  <c r="M45" i="18"/>
  <c r="AA45" i="18"/>
  <c r="AC45" i="18"/>
  <c r="C45" i="18"/>
  <c r="E45" i="18"/>
  <c r="S45" i="18"/>
  <c r="U45" i="18"/>
  <c r="AA83" i="18"/>
  <c r="AC83" i="18"/>
  <c r="L86" i="18"/>
  <c r="L88" i="18"/>
  <c r="B9" i="18"/>
  <c r="D9" i="18"/>
  <c r="B122" i="18"/>
  <c r="D122" i="18"/>
  <c r="B85" i="18"/>
  <c r="D85" i="18"/>
  <c r="B47" i="18"/>
  <c r="D47" i="18"/>
  <c r="R9" i="18"/>
  <c r="T9" i="18"/>
  <c r="R122" i="18"/>
  <c r="T122" i="18"/>
  <c r="R85" i="18"/>
  <c r="T85" i="18"/>
  <c r="R47" i="18"/>
  <c r="T47" i="18"/>
  <c r="AA122" i="18"/>
  <c r="AC122" i="18"/>
  <c r="S86" i="18"/>
  <c r="U86" i="18"/>
  <c r="C10" i="18"/>
  <c r="E10" i="18"/>
  <c r="AA10" i="18"/>
  <c r="AC10" i="18"/>
  <c r="K10" i="18"/>
  <c r="M10" i="18"/>
  <c r="AA9" i="18"/>
  <c r="AC9" i="18"/>
  <c r="K9" i="18"/>
  <c r="M9" i="18"/>
  <c r="K123" i="18"/>
  <c r="C123" i="18"/>
  <c r="E123" i="18"/>
  <c r="K48" i="18"/>
  <c r="M48" i="18"/>
  <c r="S48" i="18"/>
  <c r="U48" i="18"/>
  <c r="S9" i="18"/>
  <c r="U9" i="18"/>
  <c r="C9" i="18"/>
  <c r="E9" i="18"/>
  <c r="L123" i="18"/>
  <c r="L10" i="18"/>
  <c r="L12" i="18"/>
  <c r="T86" i="18"/>
  <c r="T88" i="18"/>
  <c r="M123" i="18"/>
  <c r="T48" i="18"/>
  <c r="T50" i="18"/>
  <c r="T123" i="18"/>
  <c r="AY35" i="11"/>
  <c r="AB123" i="18"/>
  <c r="AB125" i="18"/>
  <c r="L125" i="18"/>
  <c r="D48" i="18"/>
  <c r="D50" i="18"/>
  <c r="D123" i="18"/>
  <c r="D86" i="18"/>
  <c r="D10" i="18"/>
  <c r="D88" i="18"/>
  <c r="D12" i="18"/>
  <c r="AK12" i="18"/>
  <c r="K46" i="18"/>
  <c r="M46" i="18"/>
  <c r="T10" i="18"/>
  <c r="T12" i="18"/>
  <c r="L48" i="18"/>
  <c r="Z91" i="12"/>
  <c r="AB91" i="12"/>
  <c r="Z128" i="12"/>
  <c r="AB128" i="12"/>
  <c r="C32" i="14"/>
  <c r="CH10" i="1"/>
  <c r="BL33" i="1"/>
  <c r="AC91" i="12"/>
  <c r="AB88" i="18"/>
  <c r="FA3" i="1"/>
  <c r="EY3" i="1"/>
  <c r="S22" i="1"/>
  <c r="EB22" i="1"/>
  <c r="DQ22" i="1"/>
  <c r="DW11" i="1"/>
  <c r="CR11" i="1"/>
  <c r="DL8" i="1"/>
  <c r="EQ8" i="1"/>
  <c r="S27" i="1"/>
  <c r="DQ27" i="1"/>
  <c r="EB27" i="1"/>
  <c r="FK29" i="1"/>
  <c r="ET39" i="1"/>
  <c r="ET9" i="1"/>
  <c r="EQ26" i="1"/>
  <c r="DL26" i="1"/>
  <c r="EQ20" i="1"/>
  <c r="DL20" i="1"/>
  <c r="DL18" i="1"/>
  <c r="EQ18" i="1"/>
  <c r="CR17" i="1"/>
  <c r="DW17" i="1"/>
  <c r="DW9" i="1"/>
  <c r="CR9" i="1"/>
  <c r="AY36" i="11"/>
  <c r="AJ36" i="18"/>
  <c r="D20" i="18"/>
  <c r="E20" i="18"/>
  <c r="AY38" i="11"/>
  <c r="D24" i="11"/>
  <c r="E24" i="11"/>
  <c r="CI34" i="1"/>
  <c r="CO14" i="1"/>
  <c r="CO5" i="1"/>
  <c r="AB36" i="1"/>
  <c r="AC36" i="1"/>
  <c r="CP5" i="1"/>
  <c r="CQ5" i="1"/>
  <c r="CO37" i="1"/>
  <c r="CO36" i="1"/>
  <c r="DL9" i="1"/>
  <c r="EQ9" i="1"/>
  <c r="EO17" i="1"/>
  <c r="EW17" i="1"/>
  <c r="DM20" i="1"/>
  <c r="DO20" i="1"/>
  <c r="DO26" i="1"/>
  <c r="DM26" i="1"/>
  <c r="ET33" i="1"/>
  <c r="AJ32" i="12"/>
  <c r="ET34" i="1"/>
  <c r="DM8" i="1"/>
  <c r="DO8" i="1"/>
  <c r="EO11" i="1"/>
  <c r="EW11" i="1"/>
  <c r="AM27" i="12"/>
  <c r="L50" i="18"/>
  <c r="L24" i="11"/>
  <c r="M24" i="11"/>
  <c r="T20" i="18"/>
  <c r="U20" i="18"/>
  <c r="AB20" i="18"/>
  <c r="AC20" i="18"/>
  <c r="L20" i="18"/>
  <c r="M20" i="18"/>
  <c r="AB133" i="18"/>
  <c r="AC133" i="18"/>
  <c r="T133" i="18"/>
  <c r="U133" i="18"/>
  <c r="L133" i="18"/>
  <c r="M133" i="18"/>
  <c r="D133" i="18"/>
  <c r="E133" i="18"/>
  <c r="AB96" i="18"/>
  <c r="AC96" i="18"/>
  <c r="T96" i="18"/>
  <c r="U96" i="18"/>
  <c r="L96" i="18"/>
  <c r="M96" i="18"/>
  <c r="D96" i="18"/>
  <c r="E96" i="18"/>
  <c r="L58" i="18"/>
  <c r="M58" i="18"/>
  <c r="D58" i="18"/>
  <c r="E58" i="18"/>
  <c r="EO9" i="1"/>
  <c r="EW9" i="1"/>
  <c r="DL17" i="1"/>
  <c r="EQ17" i="1"/>
  <c r="DM18" i="1"/>
  <c r="DO18" i="1"/>
  <c r="EX27" i="1"/>
  <c r="EC27" i="1"/>
  <c r="EH27" i="1"/>
  <c r="ED27" i="1"/>
  <c r="EE27" i="1"/>
  <c r="EF27" i="1"/>
  <c r="EG27" i="1"/>
  <c r="DL11" i="1"/>
  <c r="EQ11" i="1"/>
  <c r="EX22" i="1"/>
  <c r="EC22" i="1"/>
  <c r="EH22" i="1"/>
  <c r="EG22" i="1"/>
  <c r="EF22" i="1"/>
  <c r="EE22" i="1"/>
  <c r="ED22" i="1"/>
  <c r="CH36" i="1"/>
  <c r="CH30" i="1"/>
  <c r="CH33" i="1"/>
  <c r="CH35" i="1"/>
  <c r="CH34" i="1"/>
  <c r="AB129" i="12"/>
  <c r="EY22" i="1"/>
  <c r="FA22" i="1"/>
  <c r="DM11" i="1"/>
  <c r="DO11" i="1"/>
  <c r="EI27" i="1"/>
  <c r="EB18" i="1"/>
  <c r="DQ18" i="1"/>
  <c r="S18" i="1"/>
  <c r="S8" i="1"/>
  <c r="DQ8" i="1"/>
  <c r="EB8" i="1"/>
  <c r="S20" i="1"/>
  <c r="DQ20" i="1"/>
  <c r="EB20" i="1"/>
  <c r="DM9" i="1"/>
  <c r="DO9" i="1"/>
  <c r="AY57" i="11"/>
  <c r="CH32" i="1"/>
  <c r="CH31" i="1"/>
  <c r="EI22" i="1"/>
  <c r="EY27" i="1"/>
  <c r="FA27" i="1"/>
  <c r="DM17" i="1"/>
  <c r="DO17" i="1"/>
  <c r="Z50" i="12"/>
  <c r="AB50" i="12"/>
  <c r="Z9" i="12"/>
  <c r="AB9" i="12"/>
  <c r="AB10" i="12"/>
  <c r="D18" i="12"/>
  <c r="E18" i="12"/>
  <c r="AB18" i="12"/>
  <c r="AC18" i="12"/>
  <c r="EB26" i="1"/>
  <c r="DQ26" i="1"/>
  <c r="S26" i="1"/>
  <c r="EF26" i="1"/>
  <c r="ED26" i="1"/>
  <c r="EH26" i="1"/>
  <c r="EX26" i="1"/>
  <c r="EC26" i="1"/>
  <c r="EG26" i="1"/>
  <c r="EE26" i="1"/>
  <c r="D21" i="12"/>
  <c r="S17" i="1"/>
  <c r="EB17" i="1"/>
  <c r="DQ17" i="1"/>
  <c r="S9" i="1"/>
  <c r="DQ9" i="1"/>
  <c r="EB9" i="1"/>
  <c r="EG20" i="1"/>
  <c r="EC20" i="1"/>
  <c r="EH20" i="1"/>
  <c r="EE20" i="1"/>
  <c r="EF20" i="1"/>
  <c r="EX20" i="1"/>
  <c r="ED20" i="1"/>
  <c r="EX18" i="1"/>
  <c r="EC18" i="1"/>
  <c r="EH18" i="1"/>
  <c r="ED18" i="1"/>
  <c r="EF18" i="1"/>
  <c r="EG18" i="1"/>
  <c r="EE18" i="1"/>
  <c r="DQ11" i="1"/>
  <c r="EB11" i="1"/>
  <c r="S11" i="1"/>
  <c r="EC8" i="1"/>
  <c r="EE8" i="1"/>
  <c r="ED8" i="1"/>
  <c r="EG8" i="1"/>
  <c r="EH8" i="1"/>
  <c r="EX8" i="1"/>
  <c r="EF8" i="1"/>
  <c r="EY8" i="1"/>
  <c r="FA8" i="1"/>
  <c r="EG11" i="1"/>
  <c r="EF11" i="1"/>
  <c r="EX11" i="1"/>
  <c r="EE11" i="1"/>
  <c r="EC11" i="1"/>
  <c r="EH11" i="1"/>
  <c r="ED11" i="1"/>
  <c r="EY18" i="1"/>
  <c r="FA18" i="1"/>
  <c r="EY20" i="1"/>
  <c r="FA20" i="1"/>
  <c r="EI20" i="1"/>
  <c r="EC9" i="1"/>
  <c r="EG9" i="1"/>
  <c r="EE9" i="1"/>
  <c r="EX9" i="1"/>
  <c r="EH9" i="1"/>
  <c r="EF9" i="1"/>
  <c r="ED9" i="1"/>
  <c r="EX17" i="1"/>
  <c r="EF17" i="1"/>
  <c r="EE17" i="1"/>
  <c r="EC17" i="1"/>
  <c r="EG17" i="1"/>
  <c r="EH17" i="1"/>
  <c r="ED17" i="1"/>
  <c r="EI26" i="1"/>
  <c r="EI8" i="1"/>
  <c r="EI18" i="1"/>
  <c r="FA26" i="1"/>
  <c r="EY26" i="1"/>
  <c r="EI17" i="1"/>
  <c r="EY9" i="1"/>
  <c r="FA9" i="1"/>
  <c r="EY17" i="1"/>
  <c r="FA17" i="1"/>
  <c r="EI9" i="1"/>
  <c r="EI11" i="1"/>
  <c r="EY11" i="1"/>
  <c r="FA11" i="1"/>
  <c r="S84" i="18"/>
  <c r="U84" i="18"/>
  <c r="K84" i="18"/>
  <c r="M84" i="18"/>
  <c r="K121" i="18"/>
  <c r="M121" i="18"/>
  <c r="C8" i="18"/>
  <c r="E8" i="18"/>
  <c r="AA8" i="18"/>
  <c r="AC8" i="18"/>
  <c r="AJ24" i="11"/>
  <c r="AK24" i="11"/>
  <c r="AI12" i="11"/>
  <c r="AK12" i="11"/>
  <c r="T67" i="11"/>
  <c r="U67" i="11"/>
  <c r="AR67" i="11"/>
  <c r="AS67" i="11"/>
  <c r="D67" i="11"/>
  <c r="E67" i="11"/>
  <c r="L67" i="11"/>
  <c r="M67" i="11"/>
  <c r="AQ12" i="11"/>
  <c r="AS12" i="11"/>
  <c r="S12" i="11"/>
  <c r="AB24" i="11"/>
  <c r="AC24" i="11"/>
  <c r="AY9" i="11"/>
  <c r="AY10" i="11"/>
  <c r="AR14" i="11"/>
  <c r="AR16" i="11"/>
  <c r="AY53" i="11"/>
  <c r="AY54" i="11"/>
  <c r="D57" i="11"/>
  <c r="D59" i="11"/>
  <c r="T57" i="11"/>
  <c r="T59" i="11"/>
  <c r="L14" i="11"/>
  <c r="L16" i="11"/>
  <c r="L57" i="11"/>
  <c r="L59" i="11"/>
  <c r="AB57" i="11"/>
  <c r="AB59" i="11"/>
  <c r="AJ57" i="11"/>
  <c r="AR57" i="11"/>
  <c r="AC12" i="11"/>
  <c r="U12" i="11"/>
  <c r="T24" i="11"/>
  <c r="U24" i="11"/>
  <c r="AR24" i="11"/>
  <c r="AS24" i="11"/>
  <c r="AI11" i="11"/>
  <c r="AK11" i="11"/>
  <c r="S11" i="11"/>
  <c r="U11" i="11"/>
  <c r="AB51" i="12"/>
  <c r="AC51" i="12"/>
  <c r="R128" i="12"/>
  <c r="T128" i="12"/>
  <c r="T129" i="12"/>
  <c r="AK40" i="18"/>
  <c r="AJ32" i="18"/>
  <c r="AY34" i="11"/>
  <c r="D22" i="11"/>
  <c r="T18" i="12"/>
  <c r="L18" i="12"/>
  <c r="AB58" i="18"/>
  <c r="AC58" i="18"/>
  <c r="T58" i="18"/>
  <c r="U58" i="18"/>
  <c r="AJ33" i="18"/>
  <c r="AB59" i="12"/>
  <c r="L59" i="12"/>
  <c r="M59" i="12"/>
  <c r="AC100" i="12"/>
  <c r="T100" i="12"/>
  <c r="L137" i="12"/>
  <c r="D137" i="12"/>
  <c r="AB137" i="12"/>
  <c r="AC137" i="12"/>
  <c r="L100" i="12"/>
  <c r="T137" i="12"/>
  <c r="AJ34" i="18"/>
  <c r="L61" i="12"/>
  <c r="M61" i="12"/>
  <c r="T20" i="12"/>
  <c r="U20" i="12"/>
  <c r="D61" i="12"/>
  <c r="E61" i="12"/>
  <c r="AB20" i="12"/>
  <c r="L139" i="12"/>
  <c r="M139" i="12"/>
  <c r="T102" i="12"/>
  <c r="U102" i="12"/>
  <c r="L20" i="12"/>
  <c r="M20" i="12"/>
  <c r="AB139" i="12"/>
  <c r="AC139" i="12"/>
  <c r="T61" i="12"/>
  <c r="U61" i="12"/>
  <c r="D102" i="12"/>
  <c r="AB61" i="12"/>
  <c r="AC61" i="12"/>
  <c r="AB102" i="12"/>
  <c r="AC102" i="12"/>
  <c r="AB12" i="12"/>
  <c r="AB131" i="12"/>
  <c r="AB92" i="12"/>
  <c r="AB94" i="12"/>
  <c r="U59" i="12"/>
  <c r="T62" i="12"/>
  <c r="E59" i="12"/>
  <c r="C55" i="11"/>
  <c r="E55" i="11"/>
  <c r="AQ55" i="11"/>
  <c r="AS55" i="11"/>
  <c r="S55" i="11"/>
  <c r="U55" i="11"/>
  <c r="K11" i="11"/>
  <c r="M11" i="11"/>
  <c r="AA55" i="11"/>
  <c r="AC55" i="11"/>
  <c r="C11" i="11"/>
  <c r="E11" i="11"/>
  <c r="AQ11" i="11"/>
  <c r="AS11" i="11"/>
  <c r="K55" i="11"/>
  <c r="M55" i="11"/>
  <c r="AJ22" i="11"/>
  <c r="S121" i="18"/>
  <c r="U121" i="18"/>
  <c r="S8" i="18"/>
  <c r="U8" i="18"/>
  <c r="AA46" i="18"/>
  <c r="AC46" i="18"/>
  <c r="S46" i="18"/>
  <c r="U46" i="18"/>
  <c r="L62" i="12"/>
  <c r="AI55" i="11"/>
  <c r="AK55" i="11"/>
  <c r="L22" i="11"/>
  <c r="C46" i="18"/>
  <c r="E46" i="18"/>
  <c r="AB140" i="12"/>
  <c r="AJ14" i="11"/>
  <c r="AJ16" i="11"/>
  <c r="AB14" i="11"/>
  <c r="T14" i="11"/>
  <c r="D14" i="11"/>
  <c r="D16" i="11"/>
  <c r="AR59" i="11"/>
  <c r="AJ59" i="11"/>
  <c r="AB22" i="11"/>
  <c r="AB25" i="11"/>
  <c r="AB53" i="12"/>
  <c r="S140" i="18"/>
  <c r="AA65" i="18"/>
  <c r="S103" i="18"/>
  <c r="C27" i="18"/>
  <c r="K140" i="18"/>
  <c r="K65" i="18"/>
  <c r="C103" i="18"/>
  <c r="K27" i="18"/>
  <c r="E102" i="12"/>
  <c r="D103" i="12"/>
  <c r="AC20" i="12"/>
  <c r="AB21" i="12"/>
  <c r="U137" i="12"/>
  <c r="T140" i="12"/>
  <c r="L140" i="12"/>
  <c r="M137" i="12"/>
  <c r="AB103" i="12"/>
  <c r="AB62" i="12"/>
  <c r="AC59" i="12"/>
  <c r="D62" i="12"/>
  <c r="U18" i="12"/>
  <c r="T21" i="12"/>
  <c r="T18" i="18"/>
  <c r="D18" i="18"/>
  <c r="L18" i="18"/>
  <c r="AB18" i="18"/>
  <c r="T94" i="18"/>
  <c r="AB94" i="18"/>
  <c r="D94" i="18"/>
  <c r="L94" i="18"/>
  <c r="T131" i="18"/>
  <c r="D131" i="18"/>
  <c r="AB131" i="18"/>
  <c r="L131" i="18"/>
  <c r="L103" i="12"/>
  <c r="M100" i="12"/>
  <c r="D140" i="12"/>
  <c r="E137" i="12"/>
  <c r="U100" i="12"/>
  <c r="T103" i="12"/>
  <c r="D56" i="18"/>
  <c r="T56" i="18"/>
  <c r="L56" i="18"/>
  <c r="AB56" i="18"/>
  <c r="M18" i="12"/>
  <c r="L21" i="12"/>
  <c r="AY78" i="11"/>
  <c r="T22" i="11"/>
  <c r="AR22" i="11"/>
  <c r="D25" i="11"/>
  <c r="E22" i="11"/>
  <c r="AJ25" i="11"/>
  <c r="AK22" i="11"/>
  <c r="M22" i="11"/>
  <c r="L25" i="11"/>
  <c r="AC22" i="11"/>
  <c r="T16" i="11"/>
  <c r="AB16" i="11"/>
  <c r="AS22" i="11"/>
  <c r="AR25" i="11"/>
  <c r="AR65" i="11"/>
  <c r="D65" i="11"/>
  <c r="T65" i="11"/>
  <c r="L65" i="11"/>
  <c r="AJ65" i="11"/>
  <c r="AB65" i="11"/>
  <c r="M56" i="18"/>
  <c r="L59" i="18"/>
  <c r="E56" i="18"/>
  <c r="D59" i="18"/>
  <c r="AC131" i="18"/>
  <c r="AB134" i="18"/>
  <c r="T134" i="18"/>
  <c r="U131" i="18"/>
  <c r="E94" i="18"/>
  <c r="D97" i="18"/>
  <c r="U94" i="18"/>
  <c r="T97" i="18"/>
  <c r="AC18" i="18"/>
  <c r="AB21" i="18"/>
  <c r="D21" i="18"/>
  <c r="E18" i="18"/>
  <c r="T25" i="11"/>
  <c r="U22" i="11"/>
  <c r="AC56" i="18"/>
  <c r="AB59" i="18"/>
  <c r="U56" i="18"/>
  <c r="T59" i="18"/>
  <c r="M131" i="18"/>
  <c r="L134" i="18"/>
  <c r="D134" i="18"/>
  <c r="E131" i="18"/>
  <c r="L97" i="18"/>
  <c r="M94" i="18"/>
  <c r="AB97" i="18"/>
  <c r="AC94" i="18"/>
  <c r="L21" i="18"/>
  <c r="M18" i="18"/>
  <c r="U18" i="18"/>
  <c r="T21" i="18"/>
  <c r="AB68" i="11"/>
  <c r="AC65" i="11"/>
  <c r="L68" i="11"/>
  <c r="M65" i="11"/>
  <c r="E65" i="11"/>
  <c r="D68" i="11"/>
  <c r="AJ68" i="11"/>
  <c r="AK65" i="11"/>
  <c r="U65" i="11"/>
  <c r="T68" i="11"/>
  <c r="AS65" i="11"/>
  <c r="AR68" i="11"/>
  <c r="T92" i="12"/>
  <c r="T94" i="12"/>
  <c r="U91" i="12"/>
  <c r="T51" i="12"/>
  <c r="T53" i="12"/>
  <c r="U50" i="12"/>
  <c r="D10" i="12"/>
  <c r="E10" i="12"/>
  <c r="E9" i="12"/>
  <c r="E91" i="12"/>
  <c r="C12" i="11"/>
  <c r="E12" i="11"/>
  <c r="D12" i="12"/>
  <c r="AA27" i="18"/>
  <c r="AA103" i="18"/>
  <c r="AA140" i="18"/>
  <c r="S65" i="18"/>
  <c r="S27" i="18"/>
  <c r="K103" i="18"/>
  <c r="C140" i="18"/>
  <c r="C65" i="18"/>
  <c r="O94" i="6"/>
  <c r="O9" i="6"/>
  <c r="X9" i="6"/>
  <c r="F9" i="6"/>
  <c r="U92" i="12"/>
  <c r="AH78" i="29"/>
  <c r="AH33" i="29"/>
  <c r="AH9" i="29"/>
  <c r="AH10" i="29"/>
  <c r="AB14" i="29"/>
  <c r="AB16" i="29"/>
  <c r="I63" i="29"/>
  <c r="O63" i="29"/>
  <c r="J17" i="28"/>
  <c r="U50" i="28"/>
  <c r="W10" i="28"/>
  <c r="C9" i="28"/>
  <c r="I9" i="28"/>
  <c r="C50" i="28"/>
  <c r="O50" i="28"/>
  <c r="I127" i="28"/>
  <c r="K127" i="28"/>
  <c r="C127" i="28"/>
  <c r="E127" i="28"/>
  <c r="C90" i="28"/>
  <c r="E90" i="28"/>
  <c r="C49" i="28"/>
  <c r="E49" i="28"/>
  <c r="U90" i="28"/>
  <c r="W90" i="28"/>
  <c r="U129" i="28"/>
  <c r="W129" i="28"/>
  <c r="I129" i="28"/>
  <c r="U92" i="28"/>
  <c r="W92" i="28"/>
  <c r="I92" i="28"/>
  <c r="K92" i="28"/>
  <c r="O129" i="28"/>
  <c r="Q129" i="28"/>
  <c r="B128" i="28"/>
  <c r="D128" i="28"/>
  <c r="B91" i="28"/>
  <c r="D91" i="28"/>
  <c r="B50" i="28"/>
  <c r="D50" i="28"/>
  <c r="E50" i="28"/>
  <c r="N91" i="28"/>
  <c r="P91" i="28"/>
  <c r="P9" i="28"/>
  <c r="Q9" i="28"/>
  <c r="I96" i="28"/>
  <c r="I14" i="28"/>
  <c r="J58" i="28"/>
  <c r="P138" i="28"/>
  <c r="Q138" i="28"/>
  <c r="D138" i="28"/>
  <c r="V138" i="28"/>
  <c r="J138" i="28"/>
  <c r="K138" i="28"/>
  <c r="V101" i="28"/>
  <c r="W101" i="28"/>
  <c r="P101" i="28"/>
  <c r="Q101" i="28"/>
  <c r="J101" i="28"/>
  <c r="D101" i="28"/>
  <c r="E101" i="28"/>
  <c r="V60" i="28"/>
  <c r="P60" i="28"/>
  <c r="Q60" i="28"/>
  <c r="J60" i="28"/>
  <c r="D60" i="28"/>
  <c r="V19" i="28"/>
  <c r="W19" i="28"/>
  <c r="J19" i="28"/>
  <c r="I49" i="28"/>
  <c r="K49" i="28"/>
  <c r="U49" i="28"/>
  <c r="W49" i="28"/>
  <c r="W52" i="28"/>
  <c r="O126" i="28"/>
  <c r="Q126" i="28"/>
  <c r="C126" i="28"/>
  <c r="E126" i="28"/>
  <c r="U128" i="28"/>
  <c r="O128" i="28"/>
  <c r="I128" i="28"/>
  <c r="C128" i="28"/>
  <c r="U91" i="28"/>
  <c r="W91" i="28"/>
  <c r="O91" i="28"/>
  <c r="H91" i="28"/>
  <c r="J91" i="28"/>
  <c r="D136" i="28"/>
  <c r="V99" i="28"/>
  <c r="C48" i="28"/>
  <c r="E48" i="28"/>
  <c r="C91" i="28"/>
  <c r="I91" i="28"/>
  <c r="U19" i="29"/>
  <c r="AA19" i="29"/>
  <c r="C19" i="29"/>
  <c r="Q99" i="28"/>
  <c r="K19" i="28"/>
  <c r="K58" i="28"/>
  <c r="O22" i="28"/>
  <c r="U22" i="28"/>
  <c r="C22" i="28"/>
  <c r="C141" i="28"/>
  <c r="I141" i="28"/>
  <c r="O104" i="28"/>
  <c r="C104" i="28"/>
  <c r="C63" i="28"/>
  <c r="O63" i="28"/>
  <c r="I22" i="28"/>
  <c r="O141" i="28"/>
  <c r="U141" i="28"/>
  <c r="U104" i="28"/>
  <c r="I104" i="28"/>
  <c r="I63" i="28"/>
  <c r="U63" i="28"/>
  <c r="O23" i="30"/>
  <c r="U23" i="30"/>
  <c r="C23" i="30"/>
  <c r="C139" i="30"/>
  <c r="I139" i="30"/>
  <c r="O101" i="30"/>
  <c r="C101" i="30"/>
  <c r="O62" i="30"/>
  <c r="C62" i="30"/>
  <c r="I23" i="30"/>
  <c r="O139" i="30"/>
  <c r="U139" i="30"/>
  <c r="U101" i="30"/>
  <c r="I101" i="30"/>
  <c r="U62" i="30"/>
  <c r="I62" i="30"/>
  <c r="U27" i="29"/>
  <c r="I27" i="29"/>
  <c r="AA27" i="29"/>
  <c r="O27" i="29"/>
  <c r="C27" i="29"/>
  <c r="AA71" i="29"/>
  <c r="O71" i="29"/>
  <c r="C71" i="29"/>
  <c r="U71" i="29"/>
  <c r="I71" i="29"/>
  <c r="CO24" i="1"/>
  <c r="CO28" i="1"/>
  <c r="CP28" i="1"/>
  <c r="CQ28" i="1"/>
  <c r="O95" i="6"/>
  <c r="U28" i="30"/>
  <c r="O106" i="30"/>
  <c r="C28" i="30"/>
  <c r="U67" i="30"/>
  <c r="I32" i="29"/>
  <c r="U32" i="29"/>
  <c r="C32" i="29"/>
  <c r="O32" i="29"/>
  <c r="K101" i="28"/>
  <c r="W138" i="28"/>
  <c r="J9" i="28"/>
  <c r="J11" i="28"/>
  <c r="H128" i="28"/>
  <c r="J128" i="28"/>
  <c r="H50" i="28"/>
  <c r="J50" i="28"/>
  <c r="K50" i="28"/>
  <c r="O96" i="28"/>
  <c r="O14" i="28"/>
  <c r="D58" i="28"/>
  <c r="AB37" i="30"/>
  <c r="V59" i="30"/>
  <c r="P19" i="28"/>
  <c r="D19" i="28"/>
  <c r="E19" i="28"/>
  <c r="C27" i="28"/>
  <c r="C68" i="28"/>
  <c r="O27" i="28"/>
  <c r="AB33" i="30"/>
  <c r="AH35" i="29"/>
  <c r="D22" i="29"/>
  <c r="AH37" i="29"/>
  <c r="AH82" i="29"/>
  <c r="AB34" i="30"/>
  <c r="J57" i="30"/>
  <c r="AH36" i="29"/>
  <c r="AH81" i="29"/>
  <c r="P136" i="30"/>
  <c r="Q136" i="30"/>
  <c r="D20" i="30"/>
  <c r="E20" i="30"/>
  <c r="AH39" i="29"/>
  <c r="AB24" i="29"/>
  <c r="AC24" i="29"/>
  <c r="I27" i="28"/>
  <c r="U27" i="28"/>
  <c r="I68" i="28"/>
  <c r="U68" i="28"/>
  <c r="I109" i="28"/>
  <c r="U109" i="28"/>
  <c r="I146" i="28"/>
  <c r="U146" i="28"/>
  <c r="O68" i="28"/>
  <c r="C109" i="28"/>
  <c r="O109" i="28"/>
  <c r="C146" i="28"/>
  <c r="J59" i="30"/>
  <c r="K59" i="30"/>
  <c r="D98" i="30"/>
  <c r="E98" i="30"/>
  <c r="J136" i="30"/>
  <c r="K136" i="30"/>
  <c r="J20" i="30"/>
  <c r="K20" i="30"/>
  <c r="Q19" i="28"/>
  <c r="E58" i="28"/>
  <c r="P24" i="29"/>
  <c r="Q24" i="29"/>
  <c r="D57" i="30"/>
  <c r="E57" i="30"/>
  <c r="P22" i="29"/>
  <c r="Q22" i="29"/>
  <c r="AH80" i="29"/>
  <c r="AB66" i="29"/>
  <c r="AC66" i="29"/>
  <c r="J22" i="29"/>
  <c r="K22" i="29"/>
  <c r="D18" i="30"/>
  <c r="D21" i="30"/>
  <c r="J18" i="30"/>
  <c r="V66" i="29"/>
  <c r="W66" i="29"/>
  <c r="D66" i="29"/>
  <c r="E66" i="29"/>
  <c r="P66" i="29"/>
  <c r="Q66" i="29"/>
  <c r="P25" i="29"/>
  <c r="CP23" i="1"/>
  <c r="CQ23" i="1"/>
  <c r="K9" i="28"/>
  <c r="C62" i="11"/>
  <c r="S19" i="11"/>
  <c r="C19" i="11"/>
  <c r="AQ62" i="11"/>
  <c r="AI62" i="11"/>
  <c r="AI19" i="11"/>
  <c r="K19" i="11"/>
  <c r="AQ19" i="11"/>
  <c r="S62" i="11"/>
  <c r="AA19" i="11"/>
  <c r="U63" i="29"/>
  <c r="AA63" i="29"/>
  <c r="C63" i="29"/>
  <c r="I19" i="29"/>
  <c r="O19" i="29"/>
  <c r="AA62" i="11"/>
  <c r="K62" i="11"/>
  <c r="D92" i="12"/>
  <c r="E92" i="12"/>
  <c r="L10" i="12"/>
  <c r="M10" i="12"/>
  <c r="C15" i="11"/>
  <c r="E15" i="11"/>
  <c r="AA58" i="11"/>
  <c r="AC58" i="11"/>
  <c r="AA15" i="11"/>
  <c r="AC15" i="11"/>
  <c r="K15" i="11"/>
  <c r="M15" i="11"/>
  <c r="S15" i="11"/>
  <c r="U15" i="11"/>
  <c r="AI15" i="11"/>
  <c r="AK15" i="11"/>
  <c r="S58" i="11"/>
  <c r="U58" i="11"/>
  <c r="AQ58" i="11"/>
  <c r="AS58" i="11"/>
  <c r="AI58" i="11"/>
  <c r="AK58" i="11"/>
  <c r="C58" i="11"/>
  <c r="E58" i="11"/>
  <c r="K58" i="11"/>
  <c r="M58" i="11"/>
  <c r="AQ15" i="11"/>
  <c r="AS15" i="11"/>
  <c r="AB22" i="30"/>
  <c r="D127" i="30"/>
  <c r="D130" i="12"/>
  <c r="AJ22" i="18"/>
  <c r="D124" i="18"/>
  <c r="D125" i="18"/>
  <c r="O97" i="6"/>
  <c r="O112" i="6"/>
  <c r="P112" i="6"/>
  <c r="AA123" i="18"/>
  <c r="AC123" i="18"/>
  <c r="K122" i="18"/>
  <c r="M122" i="18"/>
  <c r="AA86" i="18"/>
  <c r="AC86" i="18"/>
  <c r="AA85" i="18"/>
  <c r="AC85" i="18"/>
  <c r="K85" i="18"/>
  <c r="M85" i="18"/>
  <c r="S123" i="18"/>
  <c r="U123" i="18"/>
  <c r="C47" i="18"/>
  <c r="E47" i="18"/>
  <c r="S47" i="18"/>
  <c r="U47" i="18"/>
  <c r="AA47" i="18"/>
  <c r="AC47" i="18"/>
  <c r="AA48" i="18"/>
  <c r="AC48" i="18"/>
  <c r="C48" i="18"/>
  <c r="E48" i="18"/>
  <c r="S10" i="18"/>
  <c r="U10" i="18"/>
  <c r="S122" i="18"/>
  <c r="U122" i="18"/>
  <c r="C122" i="18"/>
  <c r="E122" i="18"/>
  <c r="K86" i="18"/>
  <c r="M86" i="18"/>
  <c r="S85" i="18"/>
  <c r="U85" i="18"/>
  <c r="C85" i="18"/>
  <c r="E85" i="18"/>
  <c r="C86" i="18"/>
  <c r="E86" i="18"/>
  <c r="K47" i="18"/>
  <c r="M47" i="18"/>
  <c r="AK14" i="18"/>
  <c r="K93" i="12"/>
  <c r="M93" i="12"/>
  <c r="S93" i="12"/>
  <c r="U93" i="12"/>
  <c r="S11" i="12"/>
  <c r="U11" i="12"/>
  <c r="S52" i="12"/>
  <c r="U52" i="12"/>
  <c r="C52" i="12"/>
  <c r="E52" i="12"/>
  <c r="C130" i="12"/>
  <c r="K11" i="12"/>
  <c r="M11" i="12"/>
  <c r="C11" i="12"/>
  <c r="E11" i="12"/>
  <c r="AA52" i="12"/>
  <c r="AC52" i="12"/>
  <c r="AA11" i="12"/>
  <c r="AC11" i="12"/>
  <c r="C93" i="12"/>
  <c r="E93" i="12"/>
  <c r="AA130" i="12"/>
  <c r="AC130" i="12"/>
  <c r="K130" i="12"/>
  <c r="M130" i="12"/>
  <c r="K128" i="12"/>
  <c r="M128" i="12"/>
  <c r="C51" i="12"/>
  <c r="AA50" i="12"/>
  <c r="AC50" i="12"/>
  <c r="AA129" i="12"/>
  <c r="AC129" i="12"/>
  <c r="AA9" i="12"/>
  <c r="AC9" i="12"/>
  <c r="AA92" i="12"/>
  <c r="AC92" i="12"/>
  <c r="AY15" i="11"/>
  <c r="K51" i="12"/>
  <c r="S128" i="12"/>
  <c r="U128" i="12"/>
  <c r="K91" i="12"/>
  <c r="S9" i="12"/>
  <c r="K9" i="12"/>
  <c r="M9" i="12"/>
  <c r="K50" i="12"/>
  <c r="M50" i="12"/>
  <c r="S51" i="12"/>
  <c r="U51" i="12"/>
  <c r="C128" i="12"/>
  <c r="B128" i="12"/>
  <c r="D128" i="12"/>
  <c r="B50" i="12"/>
  <c r="D50" i="12"/>
  <c r="CP15" i="1"/>
  <c r="CQ15" i="1"/>
  <c r="CO10" i="1"/>
  <c r="CP10" i="1"/>
  <c r="CQ10" i="1"/>
  <c r="CO35" i="1"/>
  <c r="CO33" i="1"/>
  <c r="CO38" i="1"/>
  <c r="CO34" i="1"/>
  <c r="CP21" i="1"/>
  <c r="CQ21" i="1"/>
  <c r="CO21" i="1"/>
  <c r="C14" i="11"/>
  <c r="E14" i="11"/>
  <c r="C56" i="11"/>
  <c r="E56" i="11"/>
  <c r="AQ13" i="11"/>
  <c r="AS13" i="11"/>
  <c r="S13" i="11"/>
  <c r="U13" i="11"/>
  <c r="AA56" i="11"/>
  <c r="AC56" i="11"/>
  <c r="AC59" i="11"/>
  <c r="AC62" i="11"/>
  <c r="AC63" i="11"/>
  <c r="K13" i="11"/>
  <c r="M13" i="11"/>
  <c r="K14" i="11"/>
  <c r="M14" i="11"/>
  <c r="AA57" i="11"/>
  <c r="AC57" i="11"/>
  <c r="S14" i="11"/>
  <c r="U14" i="11"/>
  <c r="AQ14" i="11"/>
  <c r="AS14" i="11"/>
  <c r="AA13" i="11"/>
  <c r="AC13" i="11"/>
  <c r="AI57" i="11"/>
  <c r="AK57" i="11"/>
  <c r="AA14" i="11"/>
  <c r="AC14" i="11"/>
  <c r="AI14" i="11"/>
  <c r="AK14" i="11"/>
  <c r="K57" i="11"/>
  <c r="M57" i="11"/>
  <c r="C13" i="11"/>
  <c r="E13" i="11"/>
  <c r="E16" i="11"/>
  <c r="E19" i="11"/>
  <c r="E20" i="11"/>
  <c r="S57" i="11"/>
  <c r="U57" i="11"/>
  <c r="AQ56" i="11"/>
  <c r="AS56" i="11"/>
  <c r="K56" i="11"/>
  <c r="M56" i="11"/>
  <c r="M59" i="11"/>
  <c r="M62" i="11"/>
  <c r="M63" i="11"/>
  <c r="C57" i="11"/>
  <c r="E57" i="11"/>
  <c r="S56" i="11"/>
  <c r="U56" i="11"/>
  <c r="U59" i="11"/>
  <c r="U62" i="11"/>
  <c r="U63" i="11"/>
  <c r="AI13" i="11"/>
  <c r="AK13" i="11"/>
  <c r="AK16" i="11"/>
  <c r="AK19" i="11"/>
  <c r="AK20" i="11"/>
  <c r="AQ57" i="11"/>
  <c r="AS57" i="11"/>
  <c r="AI56" i="11"/>
  <c r="AK56" i="11"/>
  <c r="AK59" i="11"/>
  <c r="AK62" i="11"/>
  <c r="AK63" i="11"/>
  <c r="O142" i="6"/>
  <c r="O102" i="6"/>
  <c r="O122" i="6"/>
  <c r="O132" i="6"/>
  <c r="E130" i="12"/>
  <c r="AA87" i="18"/>
  <c r="AC87" i="18"/>
  <c r="K87" i="18"/>
  <c r="M87" i="18"/>
  <c r="M88" i="18"/>
  <c r="M91" i="18"/>
  <c r="M92" i="18"/>
  <c r="S124" i="18"/>
  <c r="C49" i="18"/>
  <c r="E49" i="18"/>
  <c r="AA11" i="18"/>
  <c r="AC11" i="18"/>
  <c r="AC12" i="18"/>
  <c r="AC15" i="18"/>
  <c r="AC16" i="18"/>
  <c r="AA49" i="18"/>
  <c r="AC49" i="18"/>
  <c r="K49" i="18"/>
  <c r="M49" i="18"/>
  <c r="K124" i="18"/>
  <c r="M124" i="18"/>
  <c r="S87" i="18"/>
  <c r="U87" i="18"/>
  <c r="S49" i="18"/>
  <c r="U49" i="18"/>
  <c r="U50" i="18"/>
  <c r="U53" i="18"/>
  <c r="U54" i="18"/>
  <c r="C11" i="18"/>
  <c r="E11" i="18"/>
  <c r="C124" i="18"/>
  <c r="E124" i="18"/>
  <c r="C87" i="18"/>
  <c r="E87" i="18"/>
  <c r="S11" i="18"/>
  <c r="U11" i="18"/>
  <c r="U12" i="18"/>
  <c r="U15" i="18"/>
  <c r="U16" i="18"/>
  <c r="K11" i="18"/>
  <c r="M11" i="18"/>
  <c r="AA124" i="18"/>
  <c r="AC124" i="18"/>
  <c r="D128" i="30"/>
  <c r="L12" i="12"/>
  <c r="D94" i="12"/>
  <c r="W99" i="28"/>
  <c r="V102" i="28"/>
  <c r="V58" i="28"/>
  <c r="P58" i="28"/>
  <c r="U133" i="28"/>
  <c r="U96" i="28"/>
  <c r="U55" i="28"/>
  <c r="U14" i="28"/>
  <c r="I133" i="28"/>
  <c r="C96" i="28"/>
  <c r="C55" i="28"/>
  <c r="C14" i="28"/>
  <c r="AB35" i="30"/>
  <c r="P134" i="30"/>
  <c r="P136" i="28"/>
  <c r="V136" i="28"/>
  <c r="V139" i="28"/>
  <c r="J136" i="28"/>
  <c r="J99" i="28"/>
  <c r="J102" i="28"/>
  <c r="D99" i="28"/>
  <c r="U8" i="30"/>
  <c r="W8" i="30"/>
  <c r="O8" i="30"/>
  <c r="Q8" i="30"/>
  <c r="C8" i="30"/>
  <c r="E8" i="30"/>
  <c r="U124" i="30"/>
  <c r="W124" i="30"/>
  <c r="I124" i="30"/>
  <c r="K124" i="30"/>
  <c r="O124" i="30"/>
  <c r="Q124" i="30"/>
  <c r="C124" i="30"/>
  <c r="E124" i="30"/>
  <c r="O86" i="30"/>
  <c r="Q86" i="30"/>
  <c r="C86" i="30"/>
  <c r="E86" i="30"/>
  <c r="I47" i="30"/>
  <c r="K47" i="30"/>
  <c r="U47" i="30"/>
  <c r="W47" i="30"/>
  <c r="I86" i="30"/>
  <c r="K86" i="30"/>
  <c r="U86" i="30"/>
  <c r="W86" i="30"/>
  <c r="AH15" i="29"/>
  <c r="C14" i="29"/>
  <c r="AC13" i="30"/>
  <c r="O125" i="30"/>
  <c r="Q125" i="30"/>
  <c r="BU23" i="36"/>
  <c r="BU25" i="36"/>
  <c r="O88" i="30"/>
  <c r="Q88" i="30"/>
  <c r="C88" i="30"/>
  <c r="E88" i="30"/>
  <c r="U49" i="30"/>
  <c r="W49" i="30"/>
  <c r="U126" i="30"/>
  <c r="W126" i="30"/>
  <c r="I48" i="30"/>
  <c r="K48" i="30"/>
  <c r="K99" i="28"/>
  <c r="W136" i="28"/>
  <c r="V96" i="30"/>
  <c r="W96" i="30"/>
  <c r="P96" i="30"/>
  <c r="J96" i="30"/>
  <c r="K96" i="30"/>
  <c r="D96" i="30"/>
  <c r="E96" i="30"/>
  <c r="P61" i="28"/>
  <c r="Q58" i="28"/>
  <c r="O58" i="29"/>
  <c r="AA57" i="29"/>
  <c r="AC57" i="29"/>
  <c r="U57" i="29"/>
  <c r="W57" i="29"/>
  <c r="O57" i="29"/>
  <c r="Q57" i="29"/>
  <c r="C57" i="29"/>
  <c r="E57" i="29"/>
  <c r="I58" i="29"/>
  <c r="I13" i="29"/>
  <c r="K13" i="29"/>
  <c r="C13" i="29"/>
  <c r="E13" i="29"/>
  <c r="U58" i="29"/>
  <c r="E99" i="28"/>
  <c r="D102" i="28"/>
  <c r="K136" i="28"/>
  <c r="J139" i="28"/>
  <c r="Q136" i="28"/>
  <c r="P139" i="28"/>
  <c r="V61" i="28"/>
  <c r="W58" i="28"/>
  <c r="D99" i="30"/>
  <c r="Q96" i="30"/>
  <c r="C163" i="6"/>
  <c r="L163" i="6"/>
  <c r="L98" i="6"/>
  <c r="L34" i="6"/>
  <c r="O10" i="30"/>
  <c r="Q10" i="30"/>
  <c r="J60" i="30"/>
  <c r="K57" i="30"/>
  <c r="J134" i="30"/>
  <c r="V134" i="30"/>
  <c r="W134" i="30"/>
  <c r="D134" i="30"/>
  <c r="U88" i="30"/>
  <c r="W88" i="30"/>
  <c r="U48" i="30"/>
  <c r="W48" i="30"/>
  <c r="C125" i="30"/>
  <c r="E125" i="30"/>
  <c r="I9" i="30"/>
  <c r="K9" i="30"/>
  <c r="U10" i="30"/>
  <c r="W10" i="30"/>
  <c r="C9" i="30"/>
  <c r="E9" i="30"/>
  <c r="O9" i="30"/>
  <c r="Q9" i="30"/>
  <c r="I10" i="30"/>
  <c r="K10" i="30"/>
  <c r="C49" i="30"/>
  <c r="E49" i="30"/>
  <c r="I87" i="30"/>
  <c r="K87" i="30"/>
  <c r="U9" i="30"/>
  <c r="W9" i="30"/>
  <c r="W12" i="30"/>
  <c r="U125" i="30"/>
  <c r="W125" i="30"/>
  <c r="O87" i="30"/>
  <c r="Q87" i="30"/>
  <c r="O126" i="30"/>
  <c r="Q126" i="30"/>
  <c r="I125" i="30"/>
  <c r="K125" i="30"/>
  <c r="C126" i="30"/>
  <c r="E126" i="30"/>
  <c r="I126" i="30"/>
  <c r="K126" i="30"/>
  <c r="C10" i="30"/>
  <c r="E10" i="30"/>
  <c r="O49" i="30"/>
  <c r="Q49" i="30"/>
  <c r="U87" i="30"/>
  <c r="W87" i="30"/>
  <c r="C48" i="30"/>
  <c r="E48" i="30"/>
  <c r="O48" i="30"/>
  <c r="Q48" i="30"/>
  <c r="I49" i="30"/>
  <c r="K49" i="30"/>
  <c r="K51" i="30"/>
  <c r="C87" i="30"/>
  <c r="E87" i="30"/>
  <c r="I88" i="30"/>
  <c r="K88" i="30"/>
  <c r="J66" i="29"/>
  <c r="K66" i="29"/>
  <c r="J21" i="30"/>
  <c r="V22" i="29"/>
  <c r="AB22" i="29"/>
  <c r="V24" i="29"/>
  <c r="W24" i="29"/>
  <c r="D136" i="30"/>
  <c r="E136" i="30"/>
  <c r="P98" i="30"/>
  <c r="Q98" i="30"/>
  <c r="V20" i="30"/>
  <c r="W20" i="30"/>
  <c r="P59" i="30"/>
  <c r="Q59" i="30"/>
  <c r="V98" i="30"/>
  <c r="K18" i="30"/>
  <c r="P102" i="28"/>
  <c r="E8" i="28"/>
  <c r="Q8" i="28"/>
  <c r="W48" i="28"/>
  <c r="D139" i="28"/>
  <c r="E136" i="28"/>
  <c r="K128" i="28"/>
  <c r="E60" i="28"/>
  <c r="D61" i="28"/>
  <c r="K17" i="28"/>
  <c r="J20" i="28"/>
  <c r="AH84" i="29"/>
  <c r="D24" i="29"/>
  <c r="E24" i="29"/>
  <c r="J24" i="29"/>
  <c r="D59" i="30"/>
  <c r="J98" i="30"/>
  <c r="V136" i="30"/>
  <c r="P20" i="30"/>
  <c r="Q20" i="30"/>
  <c r="V57" i="30"/>
  <c r="W57" i="30"/>
  <c r="P57" i="30"/>
  <c r="V18" i="30"/>
  <c r="P18" i="30"/>
  <c r="O55" i="28"/>
  <c r="C133" i="28"/>
  <c r="O89" i="28"/>
  <c r="Q89" i="28"/>
  <c r="C89" i="28"/>
  <c r="E89" i="28"/>
  <c r="K60" i="28"/>
  <c r="W60" i="28"/>
  <c r="E138" i="28"/>
  <c r="I55" i="28"/>
  <c r="N50" i="28"/>
  <c r="P50" i="28"/>
  <c r="Q50" i="28"/>
  <c r="I90" i="28"/>
  <c r="K90" i="28"/>
  <c r="U8" i="28"/>
  <c r="W8" i="28"/>
  <c r="O49" i="28"/>
  <c r="Q49" i="28"/>
  <c r="O90" i="28"/>
  <c r="Q90" i="28"/>
  <c r="O127" i="28"/>
  <c r="Q127" i="28"/>
  <c r="U127" i="28"/>
  <c r="W127" i="28"/>
  <c r="AB7" i="28"/>
  <c r="AB8" i="28"/>
  <c r="K8" i="28"/>
  <c r="W25" i="6"/>
  <c r="AH14" i="29"/>
  <c r="AA58" i="29"/>
  <c r="U13" i="29"/>
  <c r="W13" i="29"/>
  <c r="AA14" i="29"/>
  <c r="AC14" i="29"/>
  <c r="O13" i="29"/>
  <c r="Q13" i="29"/>
  <c r="AH60" i="29"/>
  <c r="I57" i="29"/>
  <c r="K57" i="29"/>
  <c r="C58" i="29"/>
  <c r="AA13" i="29"/>
  <c r="AC13" i="29"/>
  <c r="I8" i="30"/>
  <c r="K8" i="30"/>
  <c r="C47" i="30"/>
  <c r="E47" i="30"/>
  <c r="O47" i="30"/>
  <c r="Q47" i="30"/>
  <c r="D158" i="6"/>
  <c r="F158" i="6"/>
  <c r="M158" i="6"/>
  <c r="O158" i="6"/>
  <c r="K10" i="28"/>
  <c r="P17" i="28"/>
  <c r="D17" i="28"/>
  <c r="AH59" i="29"/>
  <c r="AA12" i="29"/>
  <c r="AC12" i="29"/>
  <c r="AC11" i="30"/>
  <c r="AH13" i="29"/>
  <c r="I48" i="28"/>
  <c r="K48" i="28"/>
  <c r="K52" i="28"/>
  <c r="K64" i="28"/>
  <c r="U89" i="28"/>
  <c r="W89" i="28"/>
  <c r="W93" i="28"/>
  <c r="W96" i="28"/>
  <c r="O7" i="28"/>
  <c r="Q7" i="28"/>
  <c r="C7" i="28"/>
  <c r="E7" i="28"/>
  <c r="I89" i="28"/>
  <c r="K89" i="28"/>
  <c r="U126" i="28"/>
  <c r="W126" i="28"/>
  <c r="I126" i="28"/>
  <c r="K126" i="28"/>
  <c r="J61" i="28"/>
  <c r="I7" i="28"/>
  <c r="K7" i="28"/>
  <c r="K11" i="28"/>
  <c r="U7" i="28"/>
  <c r="W7" i="28"/>
  <c r="V17" i="28"/>
  <c r="T50" i="28"/>
  <c r="V50" i="28"/>
  <c r="W50" i="28"/>
  <c r="V9" i="28"/>
  <c r="AH16" i="29"/>
  <c r="C129" i="28"/>
  <c r="E129" i="28"/>
  <c r="O92" i="28"/>
  <c r="Q92" i="28"/>
  <c r="C92" i="28"/>
  <c r="E92" i="28"/>
  <c r="O51" i="28"/>
  <c r="Q51" i="28"/>
  <c r="C51" i="28"/>
  <c r="E51" i="28"/>
  <c r="O10" i="28"/>
  <c r="Q10" i="28"/>
  <c r="C10" i="28"/>
  <c r="E10" i="28"/>
  <c r="U51" i="28"/>
  <c r="W51" i="28"/>
  <c r="I51" i="28"/>
  <c r="K51" i="28"/>
  <c r="C12" i="29"/>
  <c r="AC14" i="30"/>
  <c r="E12" i="29"/>
  <c r="D14" i="29"/>
  <c r="D16" i="29"/>
  <c r="J14" i="29"/>
  <c r="J16" i="29"/>
  <c r="P14" i="29"/>
  <c r="P16" i="29"/>
  <c r="V14" i="29"/>
  <c r="V16" i="29"/>
  <c r="E14" i="29"/>
  <c r="U14" i="29"/>
  <c r="W14" i="29"/>
  <c r="I14" i="29"/>
  <c r="K14" i="29"/>
  <c r="O14" i="29"/>
  <c r="Q14" i="29"/>
  <c r="V58" i="29"/>
  <c r="J58" i="29"/>
  <c r="D58" i="29"/>
  <c r="P58" i="29"/>
  <c r="AB58" i="29"/>
  <c r="P142" i="6"/>
  <c r="P102" i="6"/>
  <c r="P122" i="6"/>
  <c r="R130" i="6"/>
  <c r="G122" i="34"/>
  <c r="P132" i="6"/>
  <c r="AB25" i="29"/>
  <c r="AC22" i="29"/>
  <c r="W98" i="30"/>
  <c r="V99" i="30"/>
  <c r="V25" i="29"/>
  <c r="W22" i="29"/>
  <c r="E134" i="30"/>
  <c r="D137" i="30"/>
  <c r="J137" i="30"/>
  <c r="K134" i="30"/>
  <c r="P99" i="30"/>
  <c r="M29" i="6"/>
  <c r="O29" i="6"/>
  <c r="D29" i="6"/>
  <c r="F29" i="6"/>
  <c r="P21" i="30"/>
  <c r="Q18" i="30"/>
  <c r="Q57" i="30"/>
  <c r="P60" i="30"/>
  <c r="K98" i="30"/>
  <c r="J99" i="30"/>
  <c r="K24" i="29"/>
  <c r="J25" i="29"/>
  <c r="P68" i="29"/>
  <c r="AB68" i="29"/>
  <c r="D68" i="29"/>
  <c r="J68" i="29"/>
  <c r="V68" i="29"/>
  <c r="O12" i="29"/>
  <c r="Q12" i="29"/>
  <c r="U12" i="29"/>
  <c r="W12" i="29"/>
  <c r="I12" i="29"/>
  <c r="K12" i="29"/>
  <c r="W18" i="30"/>
  <c r="V21" i="30"/>
  <c r="W136" i="30"/>
  <c r="V137" i="30"/>
  <c r="E59" i="30"/>
  <c r="D60" i="30"/>
  <c r="O89" i="30"/>
  <c r="Q89" i="30"/>
  <c r="C89" i="30"/>
  <c r="E89" i="30"/>
  <c r="C50" i="30"/>
  <c r="E50" i="30"/>
  <c r="O50" i="30"/>
  <c r="Q50" i="30"/>
  <c r="C11" i="30"/>
  <c r="E11" i="30"/>
  <c r="C127" i="30"/>
  <c r="E127" i="30"/>
  <c r="I11" i="30"/>
  <c r="K11" i="30"/>
  <c r="U127" i="30"/>
  <c r="W127" i="30"/>
  <c r="I127" i="30"/>
  <c r="K127" i="30"/>
  <c r="U89" i="30"/>
  <c r="W89" i="30"/>
  <c r="O127" i="30"/>
  <c r="Q127" i="30"/>
  <c r="I50" i="30"/>
  <c r="K50" i="30"/>
  <c r="U50" i="30"/>
  <c r="W50" i="30"/>
  <c r="I89" i="30"/>
  <c r="K89" i="30"/>
  <c r="O11" i="30"/>
  <c r="Q11" i="30"/>
  <c r="U11" i="30"/>
  <c r="W11" i="30"/>
  <c r="V11" i="28"/>
  <c r="W9" i="28"/>
  <c r="W17" i="28"/>
  <c r="V20" i="28"/>
  <c r="O7" i="30"/>
  <c r="Q7" i="30"/>
  <c r="O46" i="30"/>
  <c r="Q46" i="30"/>
  <c r="U85" i="30"/>
  <c r="W85" i="30"/>
  <c r="W90" i="30"/>
  <c r="W102" i="30"/>
  <c r="O123" i="30"/>
  <c r="Q123" i="30"/>
  <c r="U46" i="30"/>
  <c r="W46" i="30"/>
  <c r="W51" i="30"/>
  <c r="U123" i="30"/>
  <c r="W123" i="30"/>
  <c r="U7" i="30"/>
  <c r="W7" i="30"/>
  <c r="I7" i="30"/>
  <c r="K7" i="30"/>
  <c r="I123" i="30"/>
  <c r="K123" i="30"/>
  <c r="C123" i="30"/>
  <c r="E123" i="30"/>
  <c r="C85" i="30"/>
  <c r="E85" i="30"/>
  <c r="E90" i="30"/>
  <c r="I85" i="30"/>
  <c r="K85" i="30"/>
  <c r="I46" i="30"/>
  <c r="K46" i="30"/>
  <c r="C46" i="30"/>
  <c r="E46" i="30"/>
  <c r="O85" i="30"/>
  <c r="Q85" i="30"/>
  <c r="Q90" i="30"/>
  <c r="C7" i="30"/>
  <c r="E7" i="30"/>
  <c r="Q17" i="28"/>
  <c r="P20" i="28"/>
  <c r="I59" i="29"/>
  <c r="K59" i="29"/>
  <c r="AH61" i="29"/>
  <c r="C15" i="29"/>
  <c r="E15" i="29"/>
  <c r="I15" i="29"/>
  <c r="K15" i="29"/>
  <c r="O15" i="29"/>
  <c r="Q15" i="29"/>
  <c r="U15" i="29"/>
  <c r="W15" i="29"/>
  <c r="AA15" i="29"/>
  <c r="AC15" i="29"/>
  <c r="O59" i="29"/>
  <c r="Q59" i="29"/>
  <c r="U59" i="29"/>
  <c r="W59" i="29"/>
  <c r="AA59" i="29"/>
  <c r="AC59" i="29"/>
  <c r="C59" i="29"/>
  <c r="E59" i="29"/>
  <c r="O11" i="29"/>
  <c r="Q11" i="29"/>
  <c r="C56" i="29"/>
  <c r="E56" i="29"/>
  <c r="U56" i="29"/>
  <c r="W56" i="29"/>
  <c r="I11" i="29"/>
  <c r="K11" i="29"/>
  <c r="AH58" i="29"/>
  <c r="O56" i="29"/>
  <c r="Q56" i="29"/>
  <c r="I56" i="29"/>
  <c r="K56" i="29"/>
  <c r="C11" i="29"/>
  <c r="E11" i="29"/>
  <c r="E16" i="29"/>
  <c r="AA56" i="29"/>
  <c r="AC56" i="29"/>
  <c r="AA11" i="29"/>
  <c r="AC11" i="29"/>
  <c r="U11" i="29"/>
  <c r="W11" i="29"/>
  <c r="E17" i="28"/>
  <c r="D20" i="28"/>
  <c r="P60" i="29"/>
  <c r="Q58" i="29"/>
  <c r="J60" i="29"/>
  <c r="K58" i="29"/>
  <c r="K60" i="29"/>
  <c r="AB60" i="29"/>
  <c r="AC58" i="29"/>
  <c r="D60" i="29"/>
  <c r="E58" i="29"/>
  <c r="V60" i="29"/>
  <c r="W58" i="29"/>
  <c r="W60" i="29"/>
  <c r="R123" i="6"/>
  <c r="G115" i="34"/>
  <c r="R127" i="6"/>
  <c r="G119" i="34"/>
  <c r="R125" i="6"/>
  <c r="G117" i="34"/>
  <c r="R129" i="6"/>
  <c r="G121" i="34"/>
  <c r="R146" i="6"/>
  <c r="R144" i="6"/>
  <c r="R148" i="6"/>
  <c r="R142" i="6"/>
  <c r="R150" i="6"/>
  <c r="R145" i="6"/>
  <c r="R147" i="6"/>
  <c r="R149" i="6"/>
  <c r="R143" i="6"/>
  <c r="R134" i="6"/>
  <c r="H116" i="34"/>
  <c r="R138" i="6"/>
  <c r="H120" i="34"/>
  <c r="R135" i="6"/>
  <c r="H117" i="34"/>
  <c r="R140" i="6"/>
  <c r="H122" i="34"/>
  <c r="R139" i="6"/>
  <c r="H121" i="34"/>
  <c r="R137" i="6"/>
  <c r="H119" i="34"/>
  <c r="R136" i="6"/>
  <c r="H118" i="34"/>
  <c r="R133" i="6"/>
  <c r="H115" i="34"/>
  <c r="R132" i="6"/>
  <c r="H114" i="34"/>
  <c r="R108" i="6"/>
  <c r="E120" i="34"/>
  <c r="R107" i="6"/>
  <c r="E119" i="34"/>
  <c r="R102" i="6"/>
  <c r="E114" i="34"/>
  <c r="R106" i="6"/>
  <c r="E118" i="34"/>
  <c r="R105" i="6"/>
  <c r="E117" i="34"/>
  <c r="R104" i="6"/>
  <c r="E116" i="34"/>
  <c r="R110" i="6"/>
  <c r="E122" i="34"/>
  <c r="R109" i="6"/>
  <c r="E121" i="34"/>
  <c r="R103" i="6"/>
  <c r="E115" i="34"/>
  <c r="K16" i="29"/>
  <c r="E60" i="29"/>
  <c r="E63" i="29"/>
  <c r="E64" i="29"/>
  <c r="AC60" i="29"/>
  <c r="Q60" i="29"/>
  <c r="Q72" i="29"/>
  <c r="W16" i="29"/>
  <c r="Q16" i="29"/>
  <c r="Q19" i="29"/>
  <c r="Q20" i="29"/>
  <c r="P52" i="28"/>
  <c r="E52" i="28"/>
  <c r="D52" i="28"/>
  <c r="K68" i="29"/>
  <c r="J69" i="29"/>
  <c r="AC68" i="29"/>
  <c r="AB69" i="29"/>
  <c r="J93" i="28"/>
  <c r="J130" i="28"/>
  <c r="D93" i="28"/>
  <c r="F30" i="6"/>
  <c r="F32" i="6"/>
  <c r="F31" i="6"/>
  <c r="W68" i="29"/>
  <c r="V69" i="29"/>
  <c r="D69" i="29"/>
  <c r="E68" i="29"/>
  <c r="Q68" i="29"/>
  <c r="P69" i="29"/>
  <c r="V93" i="28"/>
  <c r="J52" i="28"/>
  <c r="O30" i="6"/>
  <c r="O31" i="6"/>
  <c r="O33" i="6"/>
  <c r="W19" i="29"/>
  <c r="W20" i="29"/>
  <c r="W28" i="29"/>
  <c r="Q28" i="29"/>
  <c r="E19" i="29"/>
  <c r="E20" i="29"/>
  <c r="E28" i="29"/>
  <c r="V52" i="28"/>
  <c r="K55" i="28"/>
  <c r="K56" i="28"/>
  <c r="Q102" i="30"/>
  <c r="K63" i="30"/>
  <c r="E102" i="30"/>
  <c r="W24" i="30"/>
  <c r="W63" i="30"/>
  <c r="E72" i="29"/>
  <c r="AC63" i="29"/>
  <c r="AC64" i="29"/>
  <c r="AC72" i="29"/>
  <c r="Q63" i="29"/>
  <c r="Q64" i="29"/>
  <c r="Q70" i="29"/>
  <c r="K19" i="29"/>
  <c r="K20" i="29"/>
  <c r="K28" i="29"/>
  <c r="F33" i="6"/>
  <c r="W105" i="28"/>
  <c r="W97" i="28"/>
  <c r="W103" i="28"/>
  <c r="W104" i="28"/>
  <c r="W106" i="28"/>
  <c r="E55" i="28"/>
  <c r="E56" i="28"/>
  <c r="D56" i="28"/>
  <c r="E64" i="28"/>
  <c r="D20" i="29"/>
  <c r="W55" i="28"/>
  <c r="W56" i="28"/>
  <c r="W64" i="28"/>
  <c r="Q26" i="29"/>
  <c r="Q27" i="29"/>
  <c r="Q29" i="29"/>
  <c r="P20" i="29"/>
  <c r="W26" i="29"/>
  <c r="W27" i="29"/>
  <c r="W29" i="29"/>
  <c r="V20" i="29"/>
  <c r="P64" i="29"/>
  <c r="D64" i="29"/>
  <c r="E70" i="29"/>
  <c r="F77" i="6"/>
  <c r="G77" i="6"/>
  <c r="F47" i="6"/>
  <c r="G47" i="6"/>
  <c r="F57" i="6"/>
  <c r="G57" i="6"/>
  <c r="V97" i="28"/>
  <c r="W115" i="28"/>
  <c r="H34" i="34"/>
  <c r="W113" i="28"/>
  <c r="H32" i="34"/>
  <c r="V56" i="28"/>
  <c r="W62" i="28"/>
  <c r="E71" i="29"/>
  <c r="E73" i="29"/>
  <c r="Q71" i="29"/>
  <c r="Q73" i="29"/>
  <c r="W118" i="28"/>
  <c r="H37" i="34"/>
  <c r="W114" i="28"/>
  <c r="H33" i="34"/>
  <c r="W116" i="28"/>
  <c r="H35" i="34"/>
  <c r="W117" i="28"/>
  <c r="H36" i="34"/>
  <c r="W110" i="28"/>
  <c r="H29" i="34"/>
  <c r="W63" i="28"/>
  <c r="W65" i="28"/>
  <c r="E83" i="29"/>
  <c r="E71" i="34"/>
  <c r="E78" i="29"/>
  <c r="E66" i="34"/>
  <c r="E80" i="29"/>
  <c r="E68" i="34"/>
  <c r="R126" i="6"/>
  <c r="G118" i="34"/>
  <c r="R124" i="6"/>
  <c r="G116" i="34"/>
  <c r="R128" i="6"/>
  <c r="G120" i="34"/>
  <c r="R122" i="6"/>
  <c r="G114" i="34"/>
  <c r="AC94" i="12"/>
  <c r="AC97" i="12"/>
  <c r="AC98" i="12"/>
  <c r="L13" i="6"/>
  <c r="D51" i="12"/>
  <c r="E50" i="12"/>
  <c r="M50" i="18"/>
  <c r="M53" i="18"/>
  <c r="M54" i="18"/>
  <c r="AQ74" i="11"/>
  <c r="AI31" i="11"/>
  <c r="C31" i="11"/>
  <c r="AQ31" i="11"/>
  <c r="AA31" i="11"/>
  <c r="S31" i="11"/>
  <c r="C74" i="11"/>
  <c r="S74" i="11"/>
  <c r="AI74" i="11"/>
  <c r="K31" i="11"/>
  <c r="K74" i="11"/>
  <c r="AA74" i="11"/>
  <c r="E128" i="12"/>
  <c r="D129" i="12"/>
  <c r="E129" i="12"/>
  <c r="E131" i="12"/>
  <c r="E134" i="12"/>
  <c r="E135" i="12"/>
  <c r="C15" i="30"/>
  <c r="U54" i="30"/>
  <c r="W54" i="30"/>
  <c r="W55" i="30"/>
  <c r="V55" i="30"/>
  <c r="U93" i="30"/>
  <c r="W93" i="30"/>
  <c r="W94" i="30"/>
  <c r="O131" i="30"/>
  <c r="O54" i="30"/>
  <c r="O93" i="30"/>
  <c r="C131" i="30"/>
  <c r="U15" i="30"/>
  <c r="W15" i="30"/>
  <c r="W16" i="30"/>
  <c r="O15" i="30"/>
  <c r="I54" i="30"/>
  <c r="K54" i="30"/>
  <c r="K55" i="30"/>
  <c r="I93" i="30"/>
  <c r="U131" i="30"/>
  <c r="I15" i="30"/>
  <c r="C54" i="30"/>
  <c r="C93" i="30"/>
  <c r="I131" i="30"/>
  <c r="E12" i="18"/>
  <c r="E15" i="18"/>
  <c r="M125" i="18"/>
  <c r="M128" i="18"/>
  <c r="M129" i="18"/>
  <c r="AC50" i="18"/>
  <c r="AC53" i="18"/>
  <c r="AC54" i="18"/>
  <c r="U124" i="18"/>
  <c r="U125" i="18"/>
  <c r="U128" i="18"/>
  <c r="U129" i="18"/>
  <c r="AS59" i="11"/>
  <c r="AS62" i="11"/>
  <c r="AS63" i="11"/>
  <c r="E59" i="11"/>
  <c r="E62" i="11"/>
  <c r="E63" i="11"/>
  <c r="AC12" i="12"/>
  <c r="AC15" i="12"/>
  <c r="AC16" i="12"/>
  <c r="Q93" i="30"/>
  <c r="Q94" i="30"/>
  <c r="E93" i="30"/>
  <c r="E94" i="30"/>
  <c r="U88" i="18"/>
  <c r="U91" i="18"/>
  <c r="U92" i="18"/>
  <c r="E50" i="18"/>
  <c r="E53" i="18"/>
  <c r="E54" i="18"/>
  <c r="U16" i="11"/>
  <c r="U19" i="11"/>
  <c r="U20" i="11"/>
  <c r="U94" i="12"/>
  <c r="U97" i="12"/>
  <c r="U98" i="12"/>
  <c r="E85" i="29"/>
  <c r="E73" i="34"/>
  <c r="E84" i="29"/>
  <c r="E72" i="34"/>
  <c r="E75" i="29"/>
  <c r="E81" i="29"/>
  <c r="E69" i="34"/>
  <c r="V16" i="30"/>
  <c r="W22" i="30"/>
  <c r="J55" i="30"/>
  <c r="K61" i="30"/>
  <c r="E77" i="29"/>
  <c r="E65" i="34"/>
  <c r="E79" i="29"/>
  <c r="E67" i="34"/>
  <c r="E82" i="29"/>
  <c r="E70" i="34"/>
  <c r="Q78" i="29"/>
  <c r="G66" i="34"/>
  <c r="Q82" i="29"/>
  <c r="G70" i="34"/>
  <c r="Q80" i="29"/>
  <c r="G68" i="34"/>
  <c r="Q83" i="29"/>
  <c r="G71" i="34"/>
  <c r="Q85" i="29"/>
  <c r="G73" i="34"/>
  <c r="Q81" i="29"/>
  <c r="G69" i="34"/>
  <c r="Q77" i="29"/>
  <c r="G65" i="34"/>
  <c r="Q84" i="29"/>
  <c r="G72" i="34"/>
  <c r="Q79" i="29"/>
  <c r="G67" i="34"/>
  <c r="Q75" i="29"/>
  <c r="AB64" i="29"/>
  <c r="AC70" i="29"/>
  <c r="E16" i="18"/>
  <c r="E22" i="18"/>
  <c r="D16" i="18"/>
  <c r="M135" i="18"/>
  <c r="L129" i="18"/>
  <c r="AC60" i="18"/>
  <c r="AB54" i="18"/>
  <c r="T129" i="18"/>
  <c r="U135" i="18"/>
  <c r="D135" i="12"/>
  <c r="E141" i="12"/>
  <c r="AK69" i="11"/>
  <c r="AJ63" i="11"/>
  <c r="AK26" i="11"/>
  <c r="AJ20" i="11"/>
  <c r="AS69" i="11"/>
  <c r="AR63" i="11"/>
  <c r="E26" i="11"/>
  <c r="D20" i="11"/>
  <c r="M16" i="11"/>
  <c r="M19" i="11"/>
  <c r="M20" i="11"/>
  <c r="E69" i="11"/>
  <c r="D63" i="11"/>
  <c r="L54" i="18"/>
  <c r="M60" i="18"/>
  <c r="T16" i="18"/>
  <c r="U22" i="18"/>
  <c r="T54" i="18"/>
  <c r="U60" i="18"/>
  <c r="T92" i="18"/>
  <c r="U98" i="18"/>
  <c r="AC22" i="18"/>
  <c r="AB16" i="18"/>
  <c r="E60" i="18"/>
  <c r="D54" i="18"/>
  <c r="L92" i="18"/>
  <c r="M98" i="18"/>
  <c r="L16" i="12"/>
  <c r="M22" i="12"/>
  <c r="T63" i="11"/>
  <c r="U69" i="11"/>
  <c r="L63" i="11"/>
  <c r="M69" i="11"/>
  <c r="AC16" i="11"/>
  <c r="AC19" i="11"/>
  <c r="AC20" i="11"/>
  <c r="U26" i="11"/>
  <c r="T20" i="11"/>
  <c r="AC69" i="11"/>
  <c r="AB63" i="11"/>
  <c r="AS16" i="11"/>
  <c r="AS19" i="11"/>
  <c r="AS20" i="11"/>
  <c r="AC22" i="12"/>
  <c r="AB16" i="12"/>
  <c r="L51" i="12"/>
  <c r="M51" i="12"/>
  <c r="M53" i="12"/>
  <c r="M56" i="12"/>
  <c r="M57" i="12"/>
  <c r="M129" i="12"/>
  <c r="M131" i="12"/>
  <c r="M134" i="12"/>
  <c r="M135" i="12"/>
  <c r="L131" i="12"/>
  <c r="E12" i="12"/>
  <c r="E15" i="12"/>
  <c r="AC131" i="12"/>
  <c r="AC134" i="12"/>
  <c r="AC135" i="12"/>
  <c r="AC53" i="12"/>
  <c r="AC56" i="12"/>
  <c r="AC57" i="12"/>
  <c r="T131" i="12"/>
  <c r="U129" i="12"/>
  <c r="U131" i="12"/>
  <c r="U134" i="12"/>
  <c r="U135" i="12"/>
  <c r="L92" i="12"/>
  <c r="M92" i="12"/>
  <c r="M91" i="12"/>
  <c r="T10" i="12"/>
  <c r="U10" i="12"/>
  <c r="U9" i="12"/>
  <c r="U53" i="12"/>
  <c r="U56" i="12"/>
  <c r="U57" i="12"/>
  <c r="E94" i="12"/>
  <c r="E97" i="12"/>
  <c r="E98" i="12"/>
  <c r="F95" i="6"/>
  <c r="F97" i="6"/>
  <c r="E44" i="31"/>
  <c r="F42" i="31"/>
  <c r="F44" i="31"/>
  <c r="K6" i="35"/>
  <c r="K8" i="35"/>
  <c r="K10" i="35"/>
  <c r="K12" i="35"/>
  <c r="L5" i="35"/>
  <c r="L7" i="35"/>
  <c r="L9" i="35"/>
  <c r="L11" i="35"/>
  <c r="L13" i="35"/>
  <c r="M6" i="35"/>
  <c r="M8" i="35"/>
  <c r="M10" i="35"/>
  <c r="M12" i="35"/>
  <c r="N5" i="35"/>
  <c r="N7" i="35"/>
  <c r="N9" i="35"/>
  <c r="N11" i="35"/>
  <c r="N13" i="35"/>
  <c r="N93" i="35"/>
  <c r="M17" i="35"/>
  <c r="M18" i="35"/>
  <c r="M19" i="35"/>
  <c r="M20" i="35"/>
  <c r="M21" i="35"/>
  <c r="M22" i="35"/>
  <c r="M23" i="35"/>
  <c r="M24" i="35"/>
  <c r="M25" i="35"/>
  <c r="M29" i="35"/>
  <c r="M30" i="35"/>
  <c r="M31" i="35"/>
  <c r="M32" i="35"/>
  <c r="M33" i="35"/>
  <c r="M34" i="35"/>
  <c r="M35" i="35"/>
  <c r="M36" i="35"/>
  <c r="M37" i="35"/>
  <c r="M41" i="35"/>
  <c r="M42" i="35"/>
  <c r="M43" i="35"/>
  <c r="M44" i="35"/>
  <c r="M45" i="35"/>
  <c r="M46" i="35"/>
  <c r="M47" i="35"/>
  <c r="M48" i="35"/>
  <c r="M49" i="35"/>
  <c r="M53" i="35"/>
  <c r="L54" i="35"/>
  <c r="K55" i="35"/>
  <c r="O55" i="35"/>
  <c r="L57" i="35"/>
  <c r="O58" i="35"/>
  <c r="M60" i="35"/>
  <c r="K65" i="35"/>
  <c r="N66" i="35"/>
  <c r="L68" i="35"/>
  <c r="O69" i="35"/>
  <c r="M71" i="35"/>
  <c r="K73" i="35"/>
  <c r="N78" i="35"/>
  <c r="N80" i="35"/>
  <c r="N82" i="35"/>
  <c r="N84" i="35"/>
  <c r="N86" i="35"/>
  <c r="N91" i="35"/>
  <c r="N197" i="35"/>
  <c r="N196" i="35"/>
  <c r="N195" i="35"/>
  <c r="N194" i="35"/>
  <c r="N193" i="35"/>
  <c r="N192" i="35"/>
  <c r="N191" i="35"/>
  <c r="N190" i="35"/>
  <c r="N189" i="35"/>
  <c r="N185" i="35"/>
  <c r="N184" i="35"/>
  <c r="N183" i="35"/>
  <c r="N182" i="35"/>
  <c r="N181" i="35"/>
  <c r="N180" i="35"/>
  <c r="N179" i="35"/>
  <c r="N178" i="35"/>
  <c r="N177" i="35"/>
  <c r="N173" i="35"/>
  <c r="N172" i="35"/>
  <c r="N10" i="35"/>
  <c r="N6" i="35"/>
  <c r="M11" i="35"/>
  <c r="M7" i="35"/>
  <c r="L12" i="35"/>
  <c r="L8" i="35"/>
  <c r="K13" i="35"/>
  <c r="K9" i="35"/>
  <c r="K5" i="35"/>
  <c r="C84" i="18"/>
  <c r="E84" i="18"/>
  <c r="E88" i="18"/>
  <c r="E91" i="18"/>
  <c r="E92" i="18"/>
  <c r="C121" i="18"/>
  <c r="E121" i="18"/>
  <c r="E125" i="18"/>
  <c r="E128" i="18"/>
  <c r="E129" i="18"/>
  <c r="AA84" i="18"/>
  <c r="AC84" i="18"/>
  <c r="AC88" i="18"/>
  <c r="AC91" i="18"/>
  <c r="AC92" i="18"/>
  <c r="AA121" i="18"/>
  <c r="AC121" i="18"/>
  <c r="AC125" i="18"/>
  <c r="AC128" i="18"/>
  <c r="AC129" i="18"/>
  <c r="K8" i="18"/>
  <c r="M8" i="18"/>
  <c r="M12" i="18"/>
  <c r="M15" i="18"/>
  <c r="M16" i="18"/>
  <c r="K32" i="35"/>
  <c r="K30" i="35"/>
  <c r="K25" i="35"/>
  <c r="K23" i="35"/>
  <c r="K21" i="35"/>
  <c r="K19" i="35"/>
  <c r="K17" i="35"/>
  <c r="N12" i="35"/>
  <c r="N8" i="35"/>
  <c r="M13" i="35"/>
  <c r="M9" i="35"/>
  <c r="M5" i="35"/>
  <c r="L10" i="35"/>
  <c r="L6" i="35"/>
  <c r="K11" i="35"/>
  <c r="K7" i="35"/>
  <c r="CO39" i="1"/>
  <c r="CP16" i="1"/>
  <c r="CQ16" i="1"/>
  <c r="CO16" i="1"/>
  <c r="CP13" i="1"/>
  <c r="CQ13" i="1"/>
  <c r="CP25" i="1"/>
  <c r="CQ25" i="1"/>
  <c r="CO25" i="1"/>
  <c r="CO12" i="1"/>
  <c r="CP12" i="1"/>
  <c r="CQ12" i="1"/>
  <c r="CP6" i="1"/>
  <c r="CQ6" i="1"/>
  <c r="CO6" i="1"/>
  <c r="C67" i="30"/>
  <c r="C106" i="30"/>
  <c r="O144" i="30"/>
  <c r="C144" i="30"/>
  <c r="O67" i="30"/>
  <c r="U144" i="30"/>
  <c r="I144" i="30"/>
  <c r="O28" i="30"/>
  <c r="U106" i="30"/>
  <c r="I28" i="30"/>
  <c r="E62" i="28"/>
  <c r="W72" i="28"/>
  <c r="H20" i="34"/>
  <c r="W77" i="28"/>
  <c r="H25" i="34"/>
  <c r="W74" i="28"/>
  <c r="H22" i="34"/>
  <c r="W73" i="28"/>
  <c r="H21" i="34"/>
  <c r="W70" i="28"/>
  <c r="H18" i="34"/>
  <c r="W69" i="28"/>
  <c r="H17" i="34"/>
  <c r="W67" i="28"/>
  <c r="W76" i="28"/>
  <c r="H24" i="34"/>
  <c r="W75" i="28"/>
  <c r="H23" i="34"/>
  <c r="W71" i="28"/>
  <c r="H19" i="34"/>
  <c r="W112" i="28"/>
  <c r="H31" i="34"/>
  <c r="W111" i="28"/>
  <c r="H30" i="34"/>
  <c r="W108" i="28"/>
  <c r="F67" i="6"/>
  <c r="G67" i="6"/>
  <c r="F37" i="6"/>
  <c r="G37" i="6"/>
  <c r="K26" i="29"/>
  <c r="K27" i="29"/>
  <c r="K29" i="29"/>
  <c r="J20" i="29"/>
  <c r="E100" i="30"/>
  <c r="D94" i="30"/>
  <c r="F159" i="6"/>
  <c r="F160" i="6"/>
  <c r="F161" i="6"/>
  <c r="F162" i="6"/>
  <c r="V60" i="30"/>
  <c r="W59" i="30"/>
  <c r="W61" i="30"/>
  <c r="K90" i="30"/>
  <c r="Q128" i="30"/>
  <c r="K93" i="28"/>
  <c r="O161" i="6"/>
  <c r="O159" i="6"/>
  <c r="O160" i="6"/>
  <c r="O162" i="6"/>
  <c r="Q91" i="28"/>
  <c r="Q93" i="28"/>
  <c r="P93" i="28"/>
  <c r="D11" i="28"/>
  <c r="E9" i="28"/>
  <c r="E11" i="28"/>
  <c r="E51" i="30"/>
  <c r="E128" i="30"/>
  <c r="Q51" i="30"/>
  <c r="K91" i="28"/>
  <c r="AC16" i="29"/>
  <c r="E12" i="30"/>
  <c r="K128" i="30"/>
  <c r="K12" i="30"/>
  <c r="W128" i="30"/>
  <c r="Q12" i="30"/>
  <c r="W11" i="28"/>
  <c r="E91" i="28"/>
  <c r="E93" i="28"/>
  <c r="K129" i="28"/>
  <c r="K130" i="28"/>
  <c r="Q48" i="28"/>
  <c r="Q52" i="28"/>
  <c r="W37" i="29"/>
  <c r="H57" i="34"/>
  <c r="W41" i="29"/>
  <c r="H61" i="34"/>
  <c r="W38" i="29"/>
  <c r="H58" i="34"/>
  <c r="W31" i="29"/>
  <c r="W36" i="29"/>
  <c r="H56" i="34"/>
  <c r="W40" i="29"/>
  <c r="H60" i="34"/>
  <c r="W34" i="29"/>
  <c r="H54" i="34"/>
  <c r="W39" i="29"/>
  <c r="H59" i="34"/>
  <c r="W33" i="29"/>
  <c r="H53" i="34"/>
  <c r="W35" i="29"/>
  <c r="H55" i="34"/>
  <c r="Q41" i="29"/>
  <c r="G61" i="34"/>
  <c r="Q39" i="29"/>
  <c r="G59" i="34"/>
  <c r="Q40" i="29"/>
  <c r="G60" i="34"/>
  <c r="Q34" i="29"/>
  <c r="G54" i="34"/>
  <c r="Q31" i="29"/>
  <c r="Q36" i="29"/>
  <c r="G56" i="34"/>
  <c r="Q37" i="29"/>
  <c r="G57" i="34"/>
  <c r="Q35" i="29"/>
  <c r="G55" i="34"/>
  <c r="Q33" i="29"/>
  <c r="G53" i="34"/>
  <c r="Q38" i="29"/>
  <c r="G58" i="34"/>
  <c r="K62" i="28"/>
  <c r="J56" i="28"/>
  <c r="W63" i="29"/>
  <c r="W64" i="29"/>
  <c r="W72" i="29"/>
  <c r="K63" i="29"/>
  <c r="K64" i="29"/>
  <c r="K72" i="29"/>
  <c r="W100" i="30"/>
  <c r="V94" i="30"/>
  <c r="O37" i="6"/>
  <c r="P37" i="6"/>
  <c r="O77" i="6"/>
  <c r="P77" i="6"/>
  <c r="O57" i="6"/>
  <c r="P57" i="6"/>
  <c r="O67" i="6"/>
  <c r="P67" i="6"/>
  <c r="O47" i="6"/>
  <c r="P47" i="6"/>
  <c r="Q134" i="30"/>
  <c r="P137" i="30"/>
  <c r="Q128" i="28"/>
  <c r="W128" i="28"/>
  <c r="K14" i="28"/>
  <c r="K15" i="28"/>
  <c r="K23" i="28"/>
  <c r="E22" i="29"/>
  <c r="E26" i="29"/>
  <c r="D25" i="29"/>
  <c r="E128" i="28"/>
  <c r="E18" i="30"/>
  <c r="U12" i="12"/>
  <c r="U15" i="12"/>
  <c r="U16" i="12"/>
  <c r="M94" i="12"/>
  <c r="M97" i="12"/>
  <c r="M98" i="12"/>
  <c r="AB98" i="12"/>
  <c r="AC104" i="12"/>
  <c r="L53" i="12"/>
  <c r="T98" i="12"/>
  <c r="U104" i="12"/>
  <c r="Q100" i="30"/>
  <c r="P94" i="30"/>
  <c r="D131" i="12"/>
  <c r="D53" i="12"/>
  <c r="E51" i="12"/>
  <c r="E53" i="12"/>
  <c r="E56" i="12"/>
  <c r="E57" i="12"/>
  <c r="F112" i="6"/>
  <c r="G112" i="6"/>
  <c r="F102" i="6"/>
  <c r="G102" i="6"/>
  <c r="F132" i="6"/>
  <c r="G132" i="6"/>
  <c r="F142" i="6"/>
  <c r="G142" i="6"/>
  <c r="F122" i="6"/>
  <c r="G122" i="6"/>
  <c r="U22" i="12"/>
  <c r="T16" i="12"/>
  <c r="L98" i="12"/>
  <c r="M104" i="12"/>
  <c r="T135" i="12"/>
  <c r="U141" i="12"/>
  <c r="M22" i="18"/>
  <c r="L16" i="18"/>
  <c r="AC98" i="18"/>
  <c r="AB92" i="18"/>
  <c r="E98" i="18"/>
  <c r="D92" i="18"/>
  <c r="U63" i="12"/>
  <c r="T57" i="12"/>
  <c r="AB135" i="12"/>
  <c r="AC141" i="12"/>
  <c r="AR20" i="11"/>
  <c r="AS26" i="11"/>
  <c r="M26" i="11"/>
  <c r="L20" i="11"/>
  <c r="K62" i="30"/>
  <c r="K64" i="30"/>
  <c r="W23" i="30"/>
  <c r="W25" i="30"/>
  <c r="AC135" i="18"/>
  <c r="AB129" i="18"/>
  <c r="D129" i="18"/>
  <c r="E135" i="18"/>
  <c r="D98" i="12"/>
  <c r="E104" i="12"/>
  <c r="T12" i="12"/>
  <c r="L94" i="12"/>
  <c r="AC63" i="12"/>
  <c r="AB57" i="12"/>
  <c r="L135" i="12"/>
  <c r="M141" i="12"/>
  <c r="E16" i="12"/>
  <c r="E22" i="12"/>
  <c r="D16" i="12"/>
  <c r="L57" i="12"/>
  <c r="M63" i="12"/>
  <c r="AB20" i="11"/>
  <c r="AC26" i="11"/>
  <c r="AC71" i="29"/>
  <c r="AC73" i="29"/>
  <c r="DW16" i="1"/>
  <c r="CR16" i="1"/>
  <c r="E63" i="28"/>
  <c r="E65" i="28"/>
  <c r="K142" i="28"/>
  <c r="K133" i="28"/>
  <c r="K134" i="28"/>
  <c r="O177" i="6"/>
  <c r="P177" i="6"/>
  <c r="O207" i="6"/>
  <c r="P207" i="6"/>
  <c r="O187" i="6"/>
  <c r="P187" i="6"/>
  <c r="O167" i="6"/>
  <c r="P167" i="6"/>
  <c r="O197" i="6"/>
  <c r="P197" i="6"/>
  <c r="W23" i="28"/>
  <c r="W14" i="28"/>
  <c r="W15" i="28"/>
  <c r="Q15" i="30"/>
  <c r="Q16" i="30"/>
  <c r="Q24" i="30"/>
  <c r="K24" i="30"/>
  <c r="K15" i="30"/>
  <c r="K16" i="30"/>
  <c r="E15" i="30"/>
  <c r="E24" i="30"/>
  <c r="Q63" i="30"/>
  <c r="Q54" i="30"/>
  <c r="Q55" i="30"/>
  <c r="E54" i="30"/>
  <c r="E55" i="30"/>
  <c r="E63" i="30"/>
  <c r="Q96" i="28"/>
  <c r="Q97" i="28"/>
  <c r="Q105" i="28"/>
  <c r="K102" i="30"/>
  <c r="K93" i="30"/>
  <c r="K94" i="30"/>
  <c r="Q55" i="28"/>
  <c r="Q56" i="28"/>
  <c r="Q64" i="28"/>
  <c r="E105" i="28"/>
  <c r="E96" i="28"/>
  <c r="E97" i="28"/>
  <c r="Q14" i="28"/>
  <c r="Q15" i="28"/>
  <c r="Q23" i="28"/>
  <c r="W131" i="30"/>
  <c r="W132" i="30"/>
  <c r="W140" i="30"/>
  <c r="K131" i="30"/>
  <c r="K132" i="30"/>
  <c r="K140" i="30"/>
  <c r="AC28" i="29"/>
  <c r="AC19" i="29"/>
  <c r="AC20" i="29"/>
  <c r="E23" i="28"/>
  <c r="E14" i="28"/>
  <c r="E131" i="30"/>
  <c r="E132" i="30"/>
  <c r="E140" i="30"/>
  <c r="K105" i="28"/>
  <c r="K96" i="28"/>
  <c r="K97" i="28"/>
  <c r="Q140" i="30"/>
  <c r="Q131" i="30"/>
  <c r="Q132" i="30"/>
  <c r="P132" i="30"/>
  <c r="W62" i="30"/>
  <c r="W64" i="30"/>
  <c r="E101" i="30"/>
  <c r="E103" i="30"/>
  <c r="K33" i="29"/>
  <c r="F53" i="34"/>
  <c r="K41" i="29"/>
  <c r="F61" i="34"/>
  <c r="K40" i="29"/>
  <c r="F60" i="34"/>
  <c r="K37" i="29"/>
  <c r="F57" i="34"/>
  <c r="K36" i="29"/>
  <c r="F56" i="34"/>
  <c r="K38" i="29"/>
  <c r="F58" i="34"/>
  <c r="K39" i="29"/>
  <c r="F59" i="34"/>
  <c r="K34" i="29"/>
  <c r="F54" i="34"/>
  <c r="K35" i="29"/>
  <c r="F55" i="34"/>
  <c r="K31" i="29"/>
  <c r="E27" i="29"/>
  <c r="E29" i="29"/>
  <c r="R69" i="6"/>
  <c r="H92" i="34"/>
  <c r="R72" i="6"/>
  <c r="H95" i="34"/>
  <c r="R71" i="6"/>
  <c r="H94" i="34"/>
  <c r="R68" i="6"/>
  <c r="H91" i="34"/>
  <c r="R67" i="6"/>
  <c r="H90" i="34"/>
  <c r="R70" i="6"/>
  <c r="H93" i="34"/>
  <c r="R74" i="6"/>
  <c r="H97" i="34"/>
  <c r="R75" i="6"/>
  <c r="H98" i="34"/>
  <c r="R73" i="6"/>
  <c r="H96" i="34"/>
  <c r="R84" i="6"/>
  <c r="R80" i="6"/>
  <c r="R83" i="6"/>
  <c r="R82" i="6"/>
  <c r="R85" i="6"/>
  <c r="R79" i="6"/>
  <c r="R81" i="6"/>
  <c r="R78" i="6"/>
  <c r="R77" i="6"/>
  <c r="W103" i="30"/>
  <c r="W101" i="30"/>
  <c r="J64" i="29"/>
  <c r="K70" i="29"/>
  <c r="W70" i="29"/>
  <c r="V64" i="29"/>
  <c r="K65" i="28"/>
  <c r="K63" i="28"/>
  <c r="E130" i="28"/>
  <c r="K21" i="28"/>
  <c r="J15" i="28"/>
  <c r="D130" i="28"/>
  <c r="W130" i="28"/>
  <c r="V130" i="28"/>
  <c r="Q130" i="28"/>
  <c r="P130" i="28"/>
  <c r="R53" i="6"/>
  <c r="F96" i="34"/>
  <c r="R52" i="6"/>
  <c r="F95" i="34"/>
  <c r="R54" i="6"/>
  <c r="F97" i="34"/>
  <c r="R55" i="6"/>
  <c r="F98" i="34"/>
  <c r="R50" i="6"/>
  <c r="F93" i="34"/>
  <c r="R49" i="6"/>
  <c r="F92" i="34"/>
  <c r="R51" i="6"/>
  <c r="F94" i="34"/>
  <c r="R47" i="6"/>
  <c r="F90" i="34"/>
  <c r="R48" i="6"/>
  <c r="F91" i="34"/>
  <c r="R62" i="6"/>
  <c r="G95" i="34"/>
  <c r="R57" i="6"/>
  <c r="G90" i="34"/>
  <c r="R61" i="6"/>
  <c r="G94" i="34"/>
  <c r="R65" i="6"/>
  <c r="G98" i="34"/>
  <c r="R59" i="6"/>
  <c r="G92" i="34"/>
  <c r="R63" i="6"/>
  <c r="G96" i="34"/>
  <c r="R64" i="6"/>
  <c r="G97" i="34"/>
  <c r="R58" i="6"/>
  <c r="G91" i="34"/>
  <c r="R60" i="6"/>
  <c r="G93" i="34"/>
  <c r="R40" i="6"/>
  <c r="E93" i="34"/>
  <c r="R43" i="6"/>
  <c r="E96" i="34"/>
  <c r="R38" i="6"/>
  <c r="E91" i="34"/>
  <c r="R37" i="6"/>
  <c r="E90" i="34"/>
  <c r="R45" i="6"/>
  <c r="E98" i="34"/>
  <c r="R44" i="6"/>
  <c r="E97" i="34"/>
  <c r="R39" i="6"/>
  <c r="E92" i="34"/>
  <c r="R42" i="6"/>
  <c r="E95" i="34"/>
  <c r="R41" i="6"/>
  <c r="E94" i="34"/>
  <c r="I102" i="6"/>
  <c r="I104" i="6"/>
  <c r="I106" i="6"/>
  <c r="I108" i="6"/>
  <c r="I110" i="6"/>
  <c r="I103" i="6"/>
  <c r="E103" i="34"/>
  <c r="I105" i="6"/>
  <c r="E105" i="34"/>
  <c r="I107" i="6"/>
  <c r="I109" i="6"/>
  <c r="Q101" i="30"/>
  <c r="Q103" i="30"/>
  <c r="D57" i="12"/>
  <c r="E63" i="12"/>
  <c r="AC85" i="29"/>
  <c r="AC78" i="29"/>
  <c r="AC82" i="29"/>
  <c r="AC77" i="29"/>
  <c r="AC81" i="29"/>
  <c r="AC84" i="29"/>
  <c r="AC79" i="29"/>
  <c r="AC80" i="29"/>
  <c r="AC75" i="29"/>
  <c r="AC83" i="29"/>
  <c r="W34" i="30"/>
  <c r="W29" i="30"/>
  <c r="W37" i="30"/>
  <c r="W36" i="30"/>
  <c r="W35" i="30"/>
  <c r="W30" i="30"/>
  <c r="W33" i="30"/>
  <c r="W32" i="30"/>
  <c r="W31" i="30"/>
  <c r="W27" i="30"/>
  <c r="K66" i="30"/>
  <c r="I144" i="6"/>
  <c r="I142" i="6"/>
  <c r="I148" i="6"/>
  <c r="I145" i="6"/>
  <c r="I149" i="6"/>
  <c r="I143" i="6"/>
  <c r="I150" i="6"/>
  <c r="I146" i="6"/>
  <c r="I147" i="6"/>
  <c r="E104" i="34"/>
  <c r="E109" i="34"/>
  <c r="E108" i="34"/>
  <c r="E102" i="34"/>
  <c r="E110" i="34"/>
  <c r="E107" i="34"/>
  <c r="E106" i="34"/>
  <c r="I124" i="6"/>
  <c r="G104" i="34"/>
  <c r="I125" i="6"/>
  <c r="G105" i="34"/>
  <c r="I122" i="6"/>
  <c r="G102" i="34"/>
  <c r="I123" i="6"/>
  <c r="G103" i="34"/>
  <c r="I128" i="6"/>
  <c r="G108" i="34"/>
  <c r="I130" i="6"/>
  <c r="G110" i="34"/>
  <c r="I129" i="6"/>
  <c r="G109" i="34"/>
  <c r="I127" i="6"/>
  <c r="G107" i="34"/>
  <c r="I126" i="6"/>
  <c r="G106" i="34"/>
  <c r="I132" i="6"/>
  <c r="H102" i="34"/>
  <c r="I134" i="6"/>
  <c r="H104" i="34"/>
  <c r="I138" i="6"/>
  <c r="H108" i="34"/>
  <c r="I135" i="6"/>
  <c r="H105" i="34"/>
  <c r="I133" i="6"/>
  <c r="H103" i="34"/>
  <c r="I137" i="6"/>
  <c r="H107" i="34"/>
  <c r="I139" i="6"/>
  <c r="H109" i="34"/>
  <c r="I140" i="6"/>
  <c r="H110" i="34"/>
  <c r="I136" i="6"/>
  <c r="H106" i="34"/>
  <c r="EW16" i="1"/>
  <c r="EO16" i="1"/>
  <c r="DL16" i="1"/>
  <c r="EQ16" i="1"/>
  <c r="E67" i="28"/>
  <c r="E73" i="28"/>
  <c r="E21" i="34"/>
  <c r="E71" i="28"/>
  <c r="E19" i="34"/>
  <c r="E70" i="28"/>
  <c r="E18" i="34"/>
  <c r="E75" i="28"/>
  <c r="E23" i="34"/>
  <c r="E76" i="28"/>
  <c r="E24" i="34"/>
  <c r="E77" i="28"/>
  <c r="E25" i="34"/>
  <c r="E72" i="28"/>
  <c r="E20" i="34"/>
  <c r="E74" i="28"/>
  <c r="E22" i="34"/>
  <c r="E69" i="28"/>
  <c r="E17" i="34"/>
  <c r="D132" i="30"/>
  <c r="E138" i="30"/>
  <c r="K138" i="30"/>
  <c r="J132" i="30"/>
  <c r="W138" i="30"/>
  <c r="V132" i="30"/>
  <c r="P15" i="28"/>
  <c r="Q24" i="28"/>
  <c r="P56" i="28"/>
  <c r="Q62" i="28"/>
  <c r="K100" i="30"/>
  <c r="J94" i="30"/>
  <c r="Q61" i="30"/>
  <c r="P55" i="30"/>
  <c r="K22" i="30"/>
  <c r="J16" i="30"/>
  <c r="V15" i="28"/>
  <c r="W21" i="28"/>
  <c r="Q138" i="30"/>
  <c r="R205" i="6"/>
  <c r="H146" i="34"/>
  <c r="R200" i="6"/>
  <c r="H141" i="34"/>
  <c r="R202" i="6"/>
  <c r="H143" i="34"/>
  <c r="R198" i="6"/>
  <c r="H139" i="34"/>
  <c r="R197" i="6"/>
  <c r="H138" i="34"/>
  <c r="R201" i="6"/>
  <c r="H142" i="34"/>
  <c r="R203" i="6"/>
  <c r="H144" i="34"/>
  <c r="R204" i="6"/>
  <c r="H145" i="34"/>
  <c r="R199" i="6"/>
  <c r="H140" i="34"/>
  <c r="R191" i="6"/>
  <c r="G142" i="34"/>
  <c r="R193" i="6"/>
  <c r="G144" i="34"/>
  <c r="R190" i="6"/>
  <c r="G141" i="34"/>
  <c r="R187" i="6"/>
  <c r="G138" i="34"/>
  <c r="R192" i="6"/>
  <c r="G143" i="34"/>
  <c r="R194" i="6"/>
  <c r="G145" i="34"/>
  <c r="R189" i="6"/>
  <c r="G140" i="34"/>
  <c r="R195" i="6"/>
  <c r="G146" i="34"/>
  <c r="R188" i="6"/>
  <c r="G139" i="34"/>
  <c r="R183" i="6"/>
  <c r="F144" i="34"/>
  <c r="R177" i="6"/>
  <c r="F138" i="34"/>
  <c r="R184" i="6"/>
  <c r="F145" i="34"/>
  <c r="R180" i="6"/>
  <c r="F141" i="34"/>
  <c r="R182" i="6"/>
  <c r="F143" i="34"/>
  <c r="R179" i="6"/>
  <c r="F140" i="34"/>
  <c r="R181" i="6"/>
  <c r="F142" i="34"/>
  <c r="R185" i="6"/>
  <c r="F146" i="34"/>
  <c r="R178" i="6"/>
  <c r="F139" i="34"/>
  <c r="K140" i="28"/>
  <c r="J134" i="28"/>
  <c r="E105" i="30"/>
  <c r="W73" i="30"/>
  <c r="W68" i="30"/>
  <c r="W71" i="30"/>
  <c r="W75" i="30"/>
  <c r="W66" i="30"/>
  <c r="W69" i="30"/>
  <c r="W72" i="30"/>
  <c r="W76" i="30"/>
  <c r="W70" i="30"/>
  <c r="W74" i="30"/>
  <c r="K103" i="28"/>
  <c r="K104" i="28"/>
  <c r="K106" i="28"/>
  <c r="J97" i="28"/>
  <c r="E15" i="28"/>
  <c r="E21" i="28"/>
  <c r="D15" i="28"/>
  <c r="AB20" i="29"/>
  <c r="AC26" i="29"/>
  <c r="AC27" i="29"/>
  <c r="AC29" i="29"/>
  <c r="D97" i="28"/>
  <c r="E103" i="28"/>
  <c r="E104" i="28"/>
  <c r="E106" i="28"/>
  <c r="P97" i="28"/>
  <c r="Q103" i="28"/>
  <c r="D55" i="30"/>
  <c r="E61" i="30"/>
  <c r="D16" i="30"/>
  <c r="E16" i="30"/>
  <c r="E22" i="30"/>
  <c r="Q22" i="30"/>
  <c r="P16" i="30"/>
  <c r="R173" i="6"/>
  <c r="E144" i="34"/>
  <c r="R167" i="6"/>
  <c r="E138" i="34"/>
  <c r="R168" i="6"/>
  <c r="E139" i="34"/>
  <c r="R170" i="6"/>
  <c r="E141" i="34"/>
  <c r="R174" i="6"/>
  <c r="E145" i="34"/>
  <c r="R171" i="6"/>
  <c r="E142" i="34"/>
  <c r="R175" i="6"/>
  <c r="E146" i="34"/>
  <c r="R172" i="6"/>
  <c r="E143" i="34"/>
  <c r="R169" i="6"/>
  <c r="E140" i="34"/>
  <c r="R214" i="6"/>
  <c r="R213" i="6"/>
  <c r="R215" i="6"/>
  <c r="R212" i="6"/>
  <c r="R207" i="6"/>
  <c r="R210" i="6"/>
  <c r="R209" i="6"/>
  <c r="R211" i="6"/>
  <c r="R208" i="6"/>
  <c r="Q142" i="28"/>
  <c r="Q133" i="28"/>
  <c r="Q134" i="28"/>
  <c r="W133" i="28"/>
  <c r="W134" i="28"/>
  <c r="W142" i="28"/>
  <c r="K22" i="28"/>
  <c r="K24" i="28"/>
  <c r="K71" i="29"/>
  <c r="K73" i="29"/>
  <c r="E142" i="28"/>
  <c r="E133" i="28"/>
  <c r="E134" i="28"/>
  <c r="K67" i="28"/>
  <c r="K76" i="28"/>
  <c r="F24" i="34"/>
  <c r="K74" i="28"/>
  <c r="F22" i="34"/>
  <c r="K72" i="28"/>
  <c r="F20" i="34"/>
  <c r="K70" i="28"/>
  <c r="F18" i="34"/>
  <c r="K77" i="28"/>
  <c r="F25" i="34"/>
  <c r="K75" i="28"/>
  <c r="F23" i="34"/>
  <c r="K73" i="28"/>
  <c r="F21" i="34"/>
  <c r="K71" i="28"/>
  <c r="F19" i="34"/>
  <c r="K69" i="28"/>
  <c r="F17" i="34"/>
  <c r="W71" i="29"/>
  <c r="W73" i="29"/>
  <c r="W108" i="30"/>
  <c r="W107" i="30"/>
  <c r="W115" i="30"/>
  <c r="W114" i="30"/>
  <c r="W113" i="30"/>
  <c r="W112" i="30"/>
  <c r="W111" i="30"/>
  <c r="W110" i="30"/>
  <c r="W109" i="30"/>
  <c r="W105" i="30"/>
  <c r="E37" i="29"/>
  <c r="E57" i="34"/>
  <c r="E31" i="29"/>
  <c r="E39" i="29"/>
  <c r="E59" i="34"/>
  <c r="E35" i="29"/>
  <c r="E55" i="34"/>
  <c r="E38" i="29"/>
  <c r="E58" i="34"/>
  <c r="E40" i="29"/>
  <c r="E60" i="34"/>
  <c r="E36" i="29"/>
  <c r="E56" i="34"/>
  <c r="E41" i="29"/>
  <c r="E61" i="34"/>
  <c r="E33" i="29"/>
  <c r="E53" i="34"/>
  <c r="E34" i="29"/>
  <c r="E54" i="34"/>
  <c r="Q109" i="30"/>
  <c r="Q108" i="30"/>
  <c r="Q111" i="30"/>
  <c r="Q110" i="30"/>
  <c r="Q105" i="30"/>
  <c r="Q113" i="30"/>
  <c r="Q112" i="30"/>
  <c r="Q107" i="30"/>
  <c r="Q115" i="30"/>
  <c r="Q114" i="30"/>
  <c r="DO16" i="1"/>
  <c r="DM16" i="1"/>
  <c r="W22" i="28"/>
  <c r="W24" i="28"/>
  <c r="Q63" i="28"/>
  <c r="Q65" i="28"/>
  <c r="G6" i="34"/>
  <c r="G9" i="34"/>
  <c r="G13" i="34"/>
  <c r="G11" i="34"/>
  <c r="G5" i="34"/>
  <c r="G7" i="34"/>
  <c r="G10" i="34"/>
  <c r="G8" i="34"/>
  <c r="G12" i="34"/>
  <c r="E139" i="30"/>
  <c r="E141" i="30"/>
  <c r="E23" i="30"/>
  <c r="E25" i="30"/>
  <c r="E62" i="30"/>
  <c r="E64" i="30"/>
  <c r="Q104" i="28"/>
  <c r="Q106" i="28"/>
  <c r="E108" i="28"/>
  <c r="E114" i="28"/>
  <c r="E33" i="34"/>
  <c r="E113" i="28"/>
  <c r="E32" i="34"/>
  <c r="E110" i="28"/>
  <c r="E29" i="34"/>
  <c r="E118" i="28"/>
  <c r="E37" i="34"/>
  <c r="E111" i="28"/>
  <c r="E30" i="34"/>
  <c r="E117" i="28"/>
  <c r="E36" i="34"/>
  <c r="E115" i="28"/>
  <c r="E34" i="34"/>
  <c r="E112" i="28"/>
  <c r="E31" i="34"/>
  <c r="E116" i="28"/>
  <c r="E35" i="34"/>
  <c r="AC34" i="29"/>
  <c r="AC36" i="29"/>
  <c r="AC37" i="29"/>
  <c r="AC41" i="29"/>
  <c r="AC33" i="29"/>
  <c r="AC35" i="29"/>
  <c r="AC31" i="29"/>
  <c r="AC38" i="29"/>
  <c r="AC40" i="29"/>
  <c r="AC39" i="29"/>
  <c r="Q23" i="30"/>
  <c r="Q25" i="30"/>
  <c r="E22" i="28"/>
  <c r="E24" i="28"/>
  <c r="K108" i="28"/>
  <c r="K115" i="28"/>
  <c r="F34" i="34"/>
  <c r="K114" i="28"/>
  <c r="F33" i="34"/>
  <c r="K111" i="28"/>
  <c r="F30" i="34"/>
  <c r="K110" i="28"/>
  <c r="F29" i="34"/>
  <c r="K116" i="28"/>
  <c r="F35" i="34"/>
  <c r="K113" i="28"/>
  <c r="F32" i="34"/>
  <c r="K117" i="28"/>
  <c r="F36" i="34"/>
  <c r="K112" i="28"/>
  <c r="F31" i="34"/>
  <c r="K118" i="28"/>
  <c r="F37" i="34"/>
  <c r="K141" i="28"/>
  <c r="K143" i="28"/>
  <c r="Q139" i="30"/>
  <c r="Q141" i="30"/>
  <c r="K23" i="30"/>
  <c r="K25" i="30"/>
  <c r="Q62" i="30"/>
  <c r="Q64" i="30"/>
  <c r="K101" i="30"/>
  <c r="K103" i="30"/>
  <c r="W139" i="30"/>
  <c r="W141" i="30"/>
  <c r="K139" i="30"/>
  <c r="K141" i="30"/>
  <c r="D134" i="28"/>
  <c r="E140" i="28"/>
  <c r="Q140" i="28"/>
  <c r="P134" i="28"/>
  <c r="W81" i="29"/>
  <c r="H69" i="34"/>
  <c r="W80" i="29"/>
  <c r="H68" i="34"/>
  <c r="W75" i="29"/>
  <c r="W82" i="29"/>
  <c r="H70" i="34"/>
  <c r="W78" i="29"/>
  <c r="H66" i="34"/>
  <c r="W85" i="29"/>
  <c r="H73" i="34"/>
  <c r="W84" i="29"/>
  <c r="H72" i="34"/>
  <c r="W83" i="29"/>
  <c r="H71" i="34"/>
  <c r="W79" i="29"/>
  <c r="H67" i="34"/>
  <c r="W77" i="29"/>
  <c r="H65" i="34"/>
  <c r="K81" i="29"/>
  <c r="F69" i="34"/>
  <c r="K84" i="29"/>
  <c r="F72" i="34"/>
  <c r="K75" i="29"/>
  <c r="K78" i="29"/>
  <c r="F66" i="34"/>
  <c r="K77" i="29"/>
  <c r="F65" i="34"/>
  <c r="K80" i="29"/>
  <c r="F68" i="34"/>
  <c r="K85" i="29"/>
  <c r="F73" i="34"/>
  <c r="K79" i="29"/>
  <c r="F67" i="34"/>
  <c r="K82" i="29"/>
  <c r="F70" i="34"/>
  <c r="K83" i="29"/>
  <c r="F71" i="34"/>
  <c r="K36" i="28"/>
  <c r="F13" i="34"/>
  <c r="K33" i="28"/>
  <c r="F10" i="34"/>
  <c r="K30" i="28"/>
  <c r="F7" i="34"/>
  <c r="K26" i="28"/>
  <c r="K35" i="28"/>
  <c r="F12" i="34"/>
  <c r="K32" i="28"/>
  <c r="F9" i="34"/>
  <c r="K29" i="28"/>
  <c r="F6" i="34"/>
  <c r="F5" i="34"/>
  <c r="K34" i="28"/>
  <c r="F11" i="34"/>
  <c r="K31" i="28"/>
  <c r="F8" i="34"/>
  <c r="V134" i="28"/>
  <c r="W140" i="28"/>
  <c r="EB16" i="1"/>
  <c r="DQ16" i="1"/>
  <c r="S16" i="1"/>
  <c r="Q69" i="30"/>
  <c r="Q72" i="30"/>
  <c r="Q75" i="30"/>
  <c r="Q66" i="30"/>
  <c r="Q68" i="30"/>
  <c r="Q74" i="30"/>
  <c r="Q76" i="30"/>
  <c r="Q71" i="30"/>
  <c r="Q70" i="30"/>
  <c r="Q73" i="30"/>
  <c r="K145" i="28"/>
  <c r="K146" i="28"/>
  <c r="K155" i="28"/>
  <c r="F49" i="34"/>
  <c r="K151" i="28"/>
  <c r="F45" i="34"/>
  <c r="K153" i="28"/>
  <c r="F47" i="34"/>
  <c r="K148" i="28"/>
  <c r="F42" i="34"/>
  <c r="K150" i="28"/>
  <c r="F44" i="34"/>
  <c r="K149" i="28"/>
  <c r="F43" i="34"/>
  <c r="K152" i="28"/>
  <c r="F46" i="34"/>
  <c r="K154" i="28"/>
  <c r="F48" i="34"/>
  <c r="K147" i="28"/>
  <c r="F41" i="34"/>
  <c r="Q31" i="30"/>
  <c r="Q35" i="30"/>
  <c r="Q29" i="30"/>
  <c r="Q33" i="30"/>
  <c r="Q36" i="30"/>
  <c r="Q27" i="30"/>
  <c r="Q30" i="30"/>
  <c r="Q34" i="30"/>
  <c r="Q37" i="30"/>
  <c r="Q32" i="30"/>
  <c r="E147" i="30"/>
  <c r="E150" i="30"/>
  <c r="E145" i="30"/>
  <c r="E148" i="30"/>
  <c r="E152" i="30"/>
  <c r="E151" i="30"/>
  <c r="E146" i="30"/>
  <c r="E149" i="30"/>
  <c r="E153" i="30"/>
  <c r="E143" i="30"/>
  <c r="W34" i="28"/>
  <c r="H11" i="34"/>
  <c r="W32" i="28"/>
  <c r="H9" i="34"/>
  <c r="W33" i="28"/>
  <c r="H10" i="34"/>
  <c r="H5" i="34"/>
  <c r="W30" i="28"/>
  <c r="H7" i="34"/>
  <c r="W31" i="28"/>
  <c r="H8" i="34"/>
  <c r="W35" i="28"/>
  <c r="H12" i="34"/>
  <c r="W36" i="28"/>
  <c r="H13" i="34"/>
  <c r="W29" i="28"/>
  <c r="H6" i="34"/>
  <c r="K143" i="30"/>
  <c r="K144" i="30"/>
  <c r="K105" i="30"/>
  <c r="K36" i="30"/>
  <c r="K37" i="30"/>
  <c r="K27" i="30"/>
  <c r="K31" i="30"/>
  <c r="K35" i="30"/>
  <c r="K32" i="30"/>
  <c r="K33" i="30"/>
  <c r="K30" i="30"/>
  <c r="K34" i="30"/>
  <c r="K29" i="30"/>
  <c r="E5" i="34"/>
  <c r="E29" i="28"/>
  <c r="E6" i="34"/>
  <c r="E32" i="28"/>
  <c r="E9" i="34"/>
  <c r="E33" i="28"/>
  <c r="E10" i="34"/>
  <c r="E35" i="28"/>
  <c r="E12" i="34"/>
  <c r="E36" i="28"/>
  <c r="E13" i="34"/>
  <c r="E26" i="28"/>
  <c r="E30" i="28"/>
  <c r="E7" i="34"/>
  <c r="E31" i="28"/>
  <c r="E8" i="34"/>
  <c r="E34" i="28"/>
  <c r="E11" i="34"/>
  <c r="Q116" i="28"/>
  <c r="G35" i="34"/>
  <c r="Q114" i="28"/>
  <c r="G33" i="34"/>
  <c r="Q117" i="28"/>
  <c r="G36" i="34"/>
  <c r="Q115" i="28"/>
  <c r="G34" i="34"/>
  <c r="Q118" i="28"/>
  <c r="G37" i="34"/>
  <c r="Q108" i="28"/>
  <c r="Q112" i="28"/>
  <c r="G31" i="34"/>
  <c r="Q110" i="28"/>
  <c r="G29" i="34"/>
  <c r="Q113" i="28"/>
  <c r="G32" i="34"/>
  <c r="Q111" i="28"/>
  <c r="G30" i="34"/>
  <c r="Q67" i="28"/>
  <c r="Q73" i="28"/>
  <c r="G21" i="34"/>
  <c r="Q72" i="28"/>
  <c r="G20" i="34"/>
  <c r="Q69" i="28"/>
  <c r="G17" i="34"/>
  <c r="Q77" i="28"/>
  <c r="G25" i="34"/>
  <c r="Q74" i="28"/>
  <c r="G22" i="34"/>
  <c r="Q71" i="28"/>
  <c r="G19" i="34"/>
  <c r="Q75" i="28"/>
  <c r="G23" i="34"/>
  <c r="Q70" i="28"/>
  <c r="G18" i="34"/>
  <c r="Q76" i="28"/>
  <c r="G24" i="34"/>
  <c r="W147" i="30"/>
  <c r="W151" i="30"/>
  <c r="W149" i="30"/>
  <c r="W150" i="30"/>
  <c r="W148" i="30"/>
  <c r="W143" i="30"/>
  <c r="W153" i="30"/>
  <c r="W152" i="30"/>
  <c r="W145" i="30"/>
  <c r="W146" i="30"/>
  <c r="Q145" i="30"/>
  <c r="Q152" i="30"/>
  <c r="Q150" i="30"/>
  <c r="Q148" i="30"/>
  <c r="Q143" i="30"/>
  <c r="Q146" i="30"/>
  <c r="Q149" i="30"/>
  <c r="Q151" i="30"/>
  <c r="Q147" i="30"/>
  <c r="Q153" i="30"/>
  <c r="E75" i="30"/>
  <c r="E69" i="30"/>
  <c r="E72" i="30"/>
  <c r="E66" i="30"/>
  <c r="E73" i="30"/>
  <c r="E76" i="30"/>
  <c r="E68" i="30"/>
  <c r="E71" i="30"/>
  <c r="E74" i="30"/>
  <c r="E70" i="30"/>
  <c r="E31" i="30"/>
  <c r="E36" i="30"/>
  <c r="E34" i="30"/>
  <c r="E32" i="30"/>
  <c r="E29" i="30"/>
  <c r="E30" i="30"/>
  <c r="E37" i="30"/>
  <c r="E35" i="30"/>
  <c r="E33" i="30"/>
  <c r="E27" i="30"/>
  <c r="W141" i="28"/>
  <c r="W143" i="28"/>
  <c r="E141" i="28"/>
  <c r="E143" i="28"/>
  <c r="Q141" i="28"/>
  <c r="Q143" i="28"/>
  <c r="EE16" i="1"/>
  <c r="EX16" i="1"/>
  <c r="EY16" i="1"/>
  <c r="EC16" i="1"/>
  <c r="EI16" i="1"/>
  <c r="EF16" i="1"/>
  <c r="EG16" i="1"/>
  <c r="EH16" i="1"/>
  <c r="ED16" i="1"/>
  <c r="W151" i="28"/>
  <c r="H45" i="34"/>
  <c r="W147" i="28"/>
  <c r="H41" i="34"/>
  <c r="W153" i="28"/>
  <c r="H47" i="34"/>
  <c r="W148" i="28"/>
  <c r="H42" i="34"/>
  <c r="W154" i="28"/>
  <c r="H48" i="34"/>
  <c r="W149" i="28"/>
  <c r="H43" i="34"/>
  <c r="W155" i="28"/>
  <c r="H49" i="34"/>
  <c r="W150" i="28"/>
  <c r="H44" i="34"/>
  <c r="W145" i="28"/>
  <c r="W152" i="28"/>
  <c r="H46" i="34"/>
  <c r="Q152" i="28"/>
  <c r="G46" i="34"/>
  <c r="Q148" i="28"/>
  <c r="G42" i="34"/>
  <c r="Q155" i="28"/>
  <c r="G49" i="34"/>
  <c r="Q153" i="28"/>
  <c r="G47" i="34"/>
  <c r="Q149" i="28"/>
  <c r="G43" i="34"/>
  <c r="Q150" i="28"/>
  <c r="G44" i="34"/>
  <c r="Q147" i="28"/>
  <c r="G41" i="34"/>
  <c r="Q145" i="28"/>
  <c r="Q151" i="28"/>
  <c r="G45" i="34"/>
  <c r="Q154" i="28"/>
  <c r="G48" i="34"/>
  <c r="E145" i="28"/>
  <c r="E153" i="28"/>
  <c r="E47" i="34"/>
  <c r="E149" i="28"/>
  <c r="E43" i="34"/>
  <c r="E147" i="28"/>
  <c r="E41" i="34"/>
  <c r="E154" i="28"/>
  <c r="E48" i="34"/>
  <c r="E152" i="28"/>
  <c r="E46" i="34"/>
  <c r="E151" i="28"/>
  <c r="E45" i="34"/>
  <c r="E148" i="28"/>
  <c r="E42" i="34"/>
  <c r="E155" i="28"/>
  <c r="E49" i="34"/>
  <c r="E150" i="28"/>
  <c r="E44" i="34"/>
  <c r="FA16" i="1"/>
  <c r="I118" i="6"/>
  <c r="F108" i="34"/>
  <c r="I113" i="6"/>
  <c r="F103" i="34"/>
  <c r="I119" i="6"/>
  <c r="F109" i="34"/>
  <c r="I112" i="6"/>
  <c r="F102" i="34"/>
  <c r="I120" i="6"/>
  <c r="F110" i="34"/>
  <c r="I114" i="6"/>
  <c r="F104" i="34"/>
  <c r="I117" i="6"/>
  <c r="F107" i="34"/>
  <c r="I115" i="6"/>
  <c r="F105" i="34"/>
  <c r="I116" i="6"/>
  <c r="F106" i="34"/>
  <c r="F197" i="6"/>
  <c r="G197" i="6"/>
  <c r="F207" i="6"/>
  <c r="G207" i="6"/>
  <c r="F187" i="6"/>
  <c r="G187" i="6"/>
  <c r="F167" i="6"/>
  <c r="G167" i="6"/>
  <c r="F177" i="6"/>
  <c r="G177" i="6"/>
  <c r="I42" i="6"/>
  <c r="E83" i="34"/>
  <c r="I45" i="6"/>
  <c r="E86" i="34"/>
  <c r="I37" i="6"/>
  <c r="E78" i="34"/>
  <c r="I44" i="6"/>
  <c r="E85" i="34"/>
  <c r="I38" i="6"/>
  <c r="E79" i="34"/>
  <c r="I41" i="6"/>
  <c r="E82" i="34"/>
  <c r="I43" i="6"/>
  <c r="E84" i="34"/>
  <c r="I40" i="6"/>
  <c r="E81" i="34"/>
  <c r="I39" i="6"/>
  <c r="E80" i="34"/>
  <c r="I62" i="6"/>
  <c r="G83" i="34"/>
  <c r="I64" i="6"/>
  <c r="G85" i="34"/>
  <c r="I61" i="6"/>
  <c r="G82" i="34"/>
  <c r="I57" i="6"/>
  <c r="G78" i="34"/>
  <c r="I59" i="6"/>
  <c r="G80" i="34"/>
  <c r="I60" i="6"/>
  <c r="G81" i="34"/>
  <c r="I63" i="6"/>
  <c r="G84" i="34"/>
  <c r="I58" i="6"/>
  <c r="G79" i="34"/>
  <c r="I65" i="6"/>
  <c r="G86" i="34"/>
  <c r="I81" i="6"/>
  <c r="I77" i="6"/>
  <c r="I85" i="6"/>
  <c r="I80" i="6"/>
  <c r="I78" i="6"/>
  <c r="I79" i="6"/>
  <c r="I84" i="6"/>
  <c r="I83" i="6"/>
  <c r="I82" i="6"/>
  <c r="I70" i="6"/>
  <c r="H81" i="34"/>
  <c r="I68" i="6"/>
  <c r="H79" i="34"/>
  <c r="I75" i="6"/>
  <c r="H86" i="34"/>
  <c r="I73" i="6"/>
  <c r="H84" i="34"/>
  <c r="I71" i="6"/>
  <c r="H82" i="34"/>
  <c r="I72" i="6"/>
  <c r="H83" i="34"/>
  <c r="I67" i="6"/>
  <c r="H78" i="34"/>
  <c r="I74" i="6"/>
  <c r="H85" i="34"/>
  <c r="I69" i="6"/>
  <c r="H80" i="34"/>
  <c r="I48" i="6"/>
  <c r="F79" i="34"/>
  <c r="I53" i="6"/>
  <c r="F84" i="34"/>
  <c r="I52" i="6"/>
  <c r="F83" i="34"/>
  <c r="I49" i="6"/>
  <c r="F80" i="34"/>
  <c r="I55" i="6"/>
  <c r="F86" i="34"/>
  <c r="I50" i="6"/>
  <c r="F81" i="34"/>
  <c r="I51" i="6"/>
  <c r="F82" i="34"/>
  <c r="I47" i="6"/>
  <c r="F78" i="34"/>
  <c r="I54" i="6"/>
  <c r="F85" i="34"/>
  <c r="R112" i="6"/>
  <c r="F114" i="34"/>
  <c r="R114" i="6"/>
  <c r="F116" i="34"/>
  <c r="R113" i="6"/>
  <c r="F115" i="34"/>
  <c r="R117" i="6"/>
  <c r="F119" i="34"/>
  <c r="R115" i="6"/>
  <c r="F117" i="34"/>
  <c r="R116" i="6"/>
  <c r="F118" i="34"/>
  <c r="R119" i="6"/>
  <c r="F121" i="34"/>
  <c r="R120" i="6"/>
  <c r="F122" i="34"/>
  <c r="R118" i="6"/>
  <c r="F120" i="34"/>
  <c r="I180" i="6"/>
  <c r="F129" i="34"/>
  <c r="I183" i="6"/>
  <c r="F132" i="34"/>
  <c r="I178" i="6"/>
  <c r="F127" i="34"/>
  <c r="I185" i="6"/>
  <c r="F134" i="34"/>
  <c r="I181" i="6"/>
  <c r="F130" i="34"/>
  <c r="I179" i="6"/>
  <c r="F128" i="34"/>
  <c r="I182" i="6"/>
  <c r="F131" i="34"/>
  <c r="I184" i="6"/>
  <c r="F133" i="34"/>
  <c r="I177" i="6"/>
  <c r="F126" i="34"/>
  <c r="I187" i="6"/>
  <c r="G126" i="34"/>
  <c r="I194" i="6"/>
  <c r="G133" i="34"/>
  <c r="I193" i="6"/>
  <c r="G132" i="34"/>
  <c r="I191" i="6"/>
  <c r="G130" i="34"/>
  <c r="I189" i="6"/>
  <c r="G128" i="34"/>
  <c r="I192" i="6"/>
  <c r="G131" i="34"/>
  <c r="I188" i="6"/>
  <c r="G127" i="34"/>
  <c r="I195" i="6"/>
  <c r="G134" i="34"/>
  <c r="I190" i="6"/>
  <c r="G129" i="34"/>
  <c r="I204" i="6"/>
  <c r="H133" i="34"/>
  <c r="I205" i="6"/>
  <c r="H134" i="34"/>
  <c r="I202" i="6"/>
  <c r="H131" i="34"/>
  <c r="I199" i="6"/>
  <c r="H128" i="34"/>
  <c r="I198" i="6"/>
  <c r="H127" i="34"/>
  <c r="I200" i="6"/>
  <c r="H129" i="34"/>
  <c r="I203" i="6"/>
  <c r="H132" i="34"/>
  <c r="I201" i="6"/>
  <c r="H130" i="34"/>
  <c r="I197" i="6"/>
  <c r="H126" i="34"/>
  <c r="I171" i="6"/>
  <c r="E130" i="34"/>
  <c r="I168" i="6"/>
  <c r="E127" i="34"/>
  <c r="I169" i="6"/>
  <c r="E128" i="34"/>
  <c r="I175" i="6"/>
  <c r="E134" i="34"/>
  <c r="I174" i="6"/>
  <c r="E133" i="34"/>
  <c r="I173" i="6"/>
  <c r="E132" i="34"/>
  <c r="I167" i="6"/>
  <c r="E126" i="34"/>
  <c r="I170" i="6"/>
  <c r="E129" i="34"/>
  <c r="I172" i="6"/>
  <c r="E131" i="34"/>
  <c r="I215" i="6"/>
  <c r="I210" i="6"/>
  <c r="I213" i="6"/>
  <c r="I208" i="6"/>
  <c r="I211" i="6"/>
  <c r="I214" i="6"/>
  <c r="I207" i="6"/>
  <c r="I209" i="6"/>
  <c r="I212" i="6"/>
  <c r="CR28" i="1"/>
  <c r="DW28" i="1"/>
  <c r="EO28" i="1"/>
  <c r="DW13" i="1"/>
  <c r="CR13" i="1"/>
  <c r="DL13" i="1"/>
  <c r="DM13" i="1"/>
  <c r="DW21" i="1"/>
  <c r="CR21" i="1"/>
  <c r="EQ21" i="1"/>
  <c r="DW15" i="1"/>
  <c r="CR15" i="1"/>
  <c r="DL15" i="1"/>
  <c r="DM15" i="1"/>
  <c r="CR23" i="1"/>
  <c r="DW23" i="1"/>
  <c r="EO23" i="1"/>
  <c r="EQ23" i="1"/>
  <c r="DL23" i="1"/>
  <c r="EW15" i="1"/>
  <c r="EO15" i="1"/>
  <c r="EW21" i="1"/>
  <c r="EO21" i="1"/>
  <c r="EW13" i="1"/>
  <c r="EO13" i="1"/>
  <c r="DL28" i="1"/>
  <c r="EQ28" i="1"/>
  <c r="EW23" i="1"/>
  <c r="EQ15" i="1"/>
  <c r="DL21" i="1"/>
  <c r="EQ13" i="1"/>
  <c r="EW28" i="1"/>
  <c r="DO13" i="1"/>
  <c r="S13" i="1"/>
  <c r="DO15" i="1"/>
  <c r="DQ15" i="1"/>
  <c r="DO21" i="1"/>
  <c r="DQ21" i="1"/>
  <c r="DM21" i="1"/>
  <c r="DM28" i="1"/>
  <c r="DO28" i="1"/>
  <c r="DM23" i="1"/>
  <c r="DO23" i="1"/>
  <c r="S23" i="1"/>
  <c r="DQ23" i="1"/>
  <c r="EB23" i="1"/>
  <c r="EH23" i="1"/>
  <c r="DQ28" i="1"/>
  <c r="S28" i="1"/>
  <c r="EB28" i="1"/>
  <c r="EB21" i="1"/>
  <c r="EC21" i="1"/>
  <c r="EI21" i="1"/>
  <c r="S15" i="1"/>
  <c r="EB15" i="1"/>
  <c r="EH15" i="1"/>
  <c r="EB13" i="1"/>
  <c r="EX13" i="1"/>
  <c r="EC13" i="1"/>
  <c r="EI13" i="1"/>
  <c r="EE13" i="1"/>
  <c r="EF13" i="1"/>
  <c r="EG13" i="1"/>
  <c r="EC15" i="1"/>
  <c r="EI15" i="1"/>
  <c r="EE15" i="1"/>
  <c r="EF15" i="1"/>
  <c r="EX15" i="1"/>
  <c r="FA15" i="1"/>
  <c r="EH28" i="1"/>
  <c r="EE28" i="1"/>
  <c r="EX28" i="1"/>
  <c r="FA28" i="1"/>
  <c r="EC28" i="1"/>
  <c r="EI28" i="1"/>
  <c r="EF28" i="1"/>
  <c r="EG28" i="1"/>
  <c r="ED28" i="1"/>
  <c r="EG21" i="1"/>
  <c r="EX21" i="1"/>
  <c r="EY21" i="1"/>
  <c r="EE21" i="1"/>
  <c r="EX23" i="1"/>
  <c r="FA23" i="1"/>
  <c r="EC23" i="1"/>
  <c r="EI23" i="1"/>
  <c r="EE23" i="1"/>
  <c r="EF23" i="1"/>
  <c r="EY23" i="1"/>
  <c r="FA21" i="1"/>
  <c r="EY28" i="1"/>
  <c r="EY15" i="1"/>
  <c r="CR6" i="1"/>
  <c r="DW6" i="1"/>
  <c r="CR10" i="1"/>
  <c r="DW10" i="1"/>
  <c r="EY13" i="1"/>
  <c r="FA13" i="1"/>
  <c r="ED23" i="1"/>
  <c r="EG23" i="1"/>
  <c r="ED21" i="1"/>
  <c r="EF21" i="1"/>
  <c r="EH21" i="1"/>
  <c r="ED15" i="1"/>
  <c r="EG15" i="1"/>
  <c r="ED13" i="1"/>
  <c r="EH13" i="1"/>
  <c r="DQ13" i="1"/>
  <c r="S21" i="1"/>
  <c r="DW25" i="1"/>
  <c r="CR25" i="1"/>
  <c r="DW5" i="1"/>
  <c r="CR5" i="1"/>
  <c r="DW24" i="1"/>
  <c r="CR24" i="1"/>
  <c r="K69" i="30"/>
  <c r="K76" i="30"/>
  <c r="K70" i="30"/>
  <c r="K73" i="30"/>
  <c r="K75" i="30"/>
  <c r="K68" i="30"/>
  <c r="K71" i="30"/>
  <c r="K72" i="30"/>
  <c r="K74" i="30"/>
  <c r="K150" i="30"/>
  <c r="K146" i="30"/>
  <c r="K153" i="30"/>
  <c r="K152" i="30"/>
  <c r="K147" i="30"/>
  <c r="K148" i="30"/>
  <c r="K145" i="30"/>
  <c r="K151" i="30"/>
  <c r="K149" i="30"/>
  <c r="E108" i="30"/>
  <c r="E107" i="30"/>
  <c r="E115" i="30"/>
  <c r="E113" i="30"/>
  <c r="E109" i="30"/>
  <c r="I106" i="30"/>
  <c r="E112" i="30"/>
  <c r="E110" i="30"/>
  <c r="E114" i="30"/>
  <c r="E111" i="30"/>
  <c r="CR12" i="1"/>
  <c r="DW12" i="1"/>
  <c r="DW19" i="1"/>
  <c r="CR19" i="1"/>
  <c r="CR14" i="1"/>
  <c r="DW14" i="1"/>
  <c r="EO10" i="1"/>
  <c r="EW10" i="1"/>
  <c r="EW6" i="1"/>
  <c r="EO6" i="1"/>
  <c r="DL10" i="1"/>
  <c r="EQ10" i="1"/>
  <c r="EQ6" i="1"/>
  <c r="DL6" i="1"/>
  <c r="EO19" i="1"/>
  <c r="EW19" i="1"/>
  <c r="EQ12" i="1"/>
  <c r="DL12" i="1"/>
  <c r="EW14" i="1"/>
  <c r="EO14" i="1"/>
  <c r="EQ19" i="1"/>
  <c r="DL19" i="1"/>
  <c r="EO12" i="1"/>
  <c r="EW12" i="1"/>
  <c r="K111" i="30"/>
  <c r="K112" i="30"/>
  <c r="K108" i="30"/>
  <c r="K113" i="30"/>
  <c r="K114" i="30"/>
  <c r="K110" i="30"/>
  <c r="K107" i="30"/>
  <c r="K109" i="30"/>
  <c r="K115" i="30"/>
  <c r="DL24" i="1"/>
  <c r="EQ24" i="1"/>
  <c r="EQ5" i="1"/>
  <c r="DL5" i="1"/>
  <c r="DL25" i="1"/>
  <c r="EQ25" i="1"/>
  <c r="EQ14" i="1"/>
  <c r="DL14" i="1"/>
  <c r="EO24" i="1"/>
  <c r="EW24" i="1"/>
  <c r="EW5" i="1"/>
  <c r="EO5" i="1"/>
  <c r="EO25" i="1"/>
  <c r="EW25" i="1"/>
  <c r="DM6" i="1"/>
  <c r="DO6" i="1"/>
  <c r="DM10" i="1"/>
  <c r="DO10" i="1"/>
  <c r="DO25" i="1"/>
  <c r="DM25" i="1"/>
  <c r="DM24" i="1"/>
  <c r="DO24" i="1"/>
  <c r="DO14" i="1"/>
  <c r="DM14" i="1"/>
  <c r="DO5" i="1"/>
  <c r="DM5" i="1"/>
  <c r="DM33" i="1"/>
  <c r="AJ42" i="12"/>
  <c r="DO19" i="1"/>
  <c r="DM19" i="1"/>
  <c r="DM12" i="1"/>
  <c r="DO12" i="1"/>
  <c r="EB10" i="1"/>
  <c r="DQ10" i="1"/>
  <c r="S10" i="1"/>
  <c r="DQ6" i="1"/>
  <c r="S6" i="1"/>
  <c r="EB6" i="1"/>
  <c r="DQ19" i="1"/>
  <c r="S19" i="1"/>
  <c r="EB19" i="1"/>
  <c r="DQ5" i="1"/>
  <c r="S5" i="1"/>
  <c r="EB5" i="1"/>
  <c r="DQ14" i="1"/>
  <c r="S14" i="1"/>
  <c r="EB14" i="1"/>
  <c r="EB25" i="1"/>
  <c r="DQ25" i="1"/>
  <c r="S25" i="1"/>
  <c r="EB12" i="1"/>
  <c r="S12" i="1"/>
  <c r="DQ12" i="1"/>
  <c r="AA142" i="12"/>
  <c r="AC142" i="12"/>
  <c r="AC143" i="12"/>
  <c r="K142" i="12"/>
  <c r="M142" i="12"/>
  <c r="M143" i="12"/>
  <c r="AY85" i="11"/>
  <c r="S23" i="12"/>
  <c r="U23" i="12"/>
  <c r="U24" i="12"/>
  <c r="S64" i="12"/>
  <c r="U64" i="12"/>
  <c r="U65" i="12"/>
  <c r="C105" i="12"/>
  <c r="E105" i="12"/>
  <c r="E106" i="12"/>
  <c r="C142" i="12"/>
  <c r="E142" i="12"/>
  <c r="E143" i="12"/>
  <c r="C23" i="12"/>
  <c r="E23" i="12"/>
  <c r="E24" i="12"/>
  <c r="K23" i="12"/>
  <c r="M23" i="12"/>
  <c r="M24" i="12"/>
  <c r="C64" i="12"/>
  <c r="E64" i="12"/>
  <c r="E65" i="12"/>
  <c r="U10" i="6"/>
  <c r="X10" i="6"/>
  <c r="X11" i="6"/>
  <c r="X12" i="6"/>
  <c r="Y13" i="6"/>
  <c r="L10" i="6"/>
  <c r="O10" i="6"/>
  <c r="O11" i="6"/>
  <c r="O12" i="6"/>
  <c r="P13" i="6"/>
  <c r="AH87" i="29"/>
  <c r="AA105" i="12"/>
  <c r="AC105" i="12"/>
  <c r="AC106" i="12"/>
  <c r="AA23" i="12"/>
  <c r="AC23" i="12"/>
  <c r="AC24" i="12"/>
  <c r="S142" i="12"/>
  <c r="U142" i="12"/>
  <c r="U143" i="12"/>
  <c r="C10" i="6"/>
  <c r="F10" i="6"/>
  <c r="F11" i="6"/>
  <c r="F12" i="6"/>
  <c r="G13" i="6"/>
  <c r="AA64" i="12"/>
  <c r="AC64" i="12"/>
  <c r="AC65" i="12"/>
  <c r="AJ39" i="18"/>
  <c r="K64" i="12"/>
  <c r="M64" i="12"/>
  <c r="M65" i="12"/>
  <c r="AY41" i="11"/>
  <c r="S105" i="12"/>
  <c r="U105" i="12"/>
  <c r="U106" i="12"/>
  <c r="K105" i="12"/>
  <c r="M105" i="12"/>
  <c r="M106" i="12"/>
  <c r="S24" i="1"/>
  <c r="EB24" i="1"/>
  <c r="EF6" i="1"/>
  <c r="EH6" i="1"/>
  <c r="EE6" i="1"/>
  <c r="EC6" i="1"/>
  <c r="EI6" i="1"/>
  <c r="EG6" i="1"/>
  <c r="ED6" i="1"/>
  <c r="EX6" i="1"/>
  <c r="EC10" i="1"/>
  <c r="EI10" i="1"/>
  <c r="EH10" i="1"/>
  <c r="EF10" i="1"/>
  <c r="EX10" i="1"/>
  <c r="ED10" i="1"/>
  <c r="EE10" i="1"/>
  <c r="EG10" i="1"/>
  <c r="M69" i="12"/>
  <c r="M67" i="12"/>
  <c r="M73" i="12"/>
  <c r="M76" i="12"/>
  <c r="M77" i="12"/>
  <c r="M72" i="12"/>
  <c r="M74" i="12"/>
  <c r="M75" i="12"/>
  <c r="M71" i="12"/>
  <c r="M70" i="12"/>
  <c r="AC75" i="12"/>
  <c r="AC73" i="12"/>
  <c r="AC77" i="12"/>
  <c r="AC76" i="12"/>
  <c r="AC72" i="12"/>
  <c r="AC74" i="12"/>
  <c r="AC71" i="12"/>
  <c r="AC69" i="12"/>
  <c r="AC70" i="12"/>
  <c r="AC67" i="12"/>
  <c r="R13" i="6"/>
  <c r="R20" i="6"/>
  <c r="R18" i="6"/>
  <c r="R14" i="6"/>
  <c r="R16" i="6"/>
  <c r="R21" i="6"/>
  <c r="R19" i="6"/>
  <c r="R17" i="6"/>
  <c r="R15" i="6"/>
  <c r="E71" i="12"/>
  <c r="E70" i="12"/>
  <c r="E75" i="12"/>
  <c r="E67" i="12"/>
  <c r="E74" i="12"/>
  <c r="E69" i="12"/>
  <c r="E72" i="12"/>
  <c r="E73" i="12"/>
  <c r="E76" i="12"/>
  <c r="E77" i="12"/>
  <c r="E28" i="12"/>
  <c r="E33" i="12"/>
  <c r="E31" i="12"/>
  <c r="E34" i="12"/>
  <c r="E35" i="12"/>
  <c r="E26" i="12"/>
  <c r="E29" i="12"/>
  <c r="E36" i="12"/>
  <c r="E30" i="12"/>
  <c r="E32" i="12"/>
  <c r="E114" i="12"/>
  <c r="E116" i="12"/>
  <c r="E111" i="12"/>
  <c r="E118" i="12"/>
  <c r="E110" i="12"/>
  <c r="E115" i="12"/>
  <c r="E117" i="12"/>
  <c r="E112" i="12"/>
  <c r="E113" i="12"/>
  <c r="E108" i="12"/>
  <c r="M152" i="12"/>
  <c r="M145" i="12"/>
  <c r="M146" i="12"/>
  <c r="M149" i="12"/>
  <c r="M147" i="12"/>
  <c r="M150" i="12"/>
  <c r="M155" i="12"/>
  <c r="M153" i="12"/>
  <c r="M154" i="12"/>
  <c r="M151" i="12"/>
  <c r="M148" i="12"/>
  <c r="EE14" i="1"/>
  <c r="EF14" i="1"/>
  <c r="EC14" i="1"/>
  <c r="EI14" i="1"/>
  <c r="EX14" i="1"/>
  <c r="EG14" i="1"/>
  <c r="EH14" i="1"/>
  <c r="ED14" i="1"/>
  <c r="EG24" i="1"/>
  <c r="EE24" i="1"/>
  <c r="EC24" i="1"/>
  <c r="EI24" i="1"/>
  <c r="EF24" i="1"/>
  <c r="EH24" i="1"/>
  <c r="EX24" i="1"/>
  <c r="ED24" i="1"/>
  <c r="M116" i="12"/>
  <c r="M108" i="12"/>
  <c r="M110" i="12"/>
  <c r="M117" i="12"/>
  <c r="M114" i="12"/>
  <c r="M111" i="12"/>
  <c r="M113" i="12"/>
  <c r="M115" i="12"/>
  <c r="M112" i="12"/>
  <c r="M118" i="12"/>
  <c r="AA70" i="11"/>
  <c r="AC70" i="11"/>
  <c r="AC71" i="11"/>
  <c r="AA27" i="11"/>
  <c r="AC27" i="11"/>
  <c r="AC28" i="11"/>
  <c r="S70" i="11"/>
  <c r="U70" i="11"/>
  <c r="U71" i="11"/>
  <c r="C70" i="11"/>
  <c r="E70" i="11"/>
  <c r="E71" i="11"/>
  <c r="K27" i="11"/>
  <c r="M27" i="11"/>
  <c r="M28" i="11"/>
  <c r="AQ70" i="11"/>
  <c r="AS70" i="11"/>
  <c r="AS71" i="11"/>
  <c r="AI70" i="11"/>
  <c r="AK70" i="11"/>
  <c r="AK71" i="11"/>
  <c r="S27" i="11"/>
  <c r="U27" i="11"/>
  <c r="U28" i="11"/>
  <c r="AQ27" i="11"/>
  <c r="AS27" i="11"/>
  <c r="AS28" i="11"/>
  <c r="C27" i="11"/>
  <c r="E27" i="11"/>
  <c r="E28" i="11"/>
  <c r="K70" i="11"/>
  <c r="M70" i="11"/>
  <c r="M71" i="11"/>
  <c r="AI27" i="11"/>
  <c r="AK27" i="11"/>
  <c r="AK28" i="11"/>
  <c r="C23" i="18"/>
  <c r="E23" i="18"/>
  <c r="E24" i="18"/>
  <c r="E26" i="18"/>
  <c r="K61" i="18"/>
  <c r="M61" i="18"/>
  <c r="M62" i="18"/>
  <c r="K136" i="18"/>
  <c r="M136" i="18"/>
  <c r="M137" i="18"/>
  <c r="S23" i="18"/>
  <c r="U23" i="18"/>
  <c r="U24" i="18"/>
  <c r="K99" i="18"/>
  <c r="M99" i="18"/>
  <c r="M100" i="18"/>
  <c r="C61" i="18"/>
  <c r="E61" i="18"/>
  <c r="E62" i="18"/>
  <c r="S136" i="18"/>
  <c r="U136" i="18"/>
  <c r="U137" i="18"/>
  <c r="AA136" i="18"/>
  <c r="AC136" i="18"/>
  <c r="AC137" i="18"/>
  <c r="C136" i="18"/>
  <c r="E136" i="18"/>
  <c r="E137" i="18"/>
  <c r="S61" i="18"/>
  <c r="U61" i="18"/>
  <c r="U62" i="18"/>
  <c r="K23" i="18"/>
  <c r="M23" i="18"/>
  <c r="M24" i="18"/>
  <c r="AA23" i="18"/>
  <c r="AC23" i="18"/>
  <c r="AC24" i="18"/>
  <c r="AA61" i="18"/>
  <c r="AC61" i="18"/>
  <c r="AC62" i="18"/>
  <c r="S99" i="18"/>
  <c r="U99" i="18"/>
  <c r="U100" i="18"/>
  <c r="C99" i="18"/>
  <c r="E99" i="18"/>
  <c r="E100" i="18"/>
  <c r="AA99" i="18"/>
  <c r="AC99" i="18"/>
  <c r="AC100" i="18"/>
  <c r="I15" i="6"/>
  <c r="I18" i="6"/>
  <c r="I17" i="6"/>
  <c r="I20" i="6"/>
  <c r="I21" i="6"/>
  <c r="I16" i="6"/>
  <c r="I19" i="6"/>
  <c r="I14" i="6"/>
  <c r="I13" i="6"/>
  <c r="AC31" i="12"/>
  <c r="AC34" i="12"/>
  <c r="AC26" i="12"/>
  <c r="AC33" i="12"/>
  <c r="AC29" i="12"/>
  <c r="AC35" i="12"/>
  <c r="AC32" i="12"/>
  <c r="AC30" i="12"/>
  <c r="AC28" i="12"/>
  <c r="AC36" i="12"/>
  <c r="AA17" i="6"/>
  <c r="AA18" i="6"/>
  <c r="AA14" i="6"/>
  <c r="AA13" i="6"/>
  <c r="AA19" i="6"/>
  <c r="AA15" i="6"/>
  <c r="AA20" i="6"/>
  <c r="AA16" i="6"/>
  <c r="AA21" i="6"/>
  <c r="M36" i="12"/>
  <c r="M29" i="12"/>
  <c r="M28" i="12"/>
  <c r="M33" i="12"/>
  <c r="M35" i="12"/>
  <c r="M31" i="12"/>
  <c r="M30" i="12"/>
  <c r="M26" i="12"/>
  <c r="M34" i="12"/>
  <c r="M32" i="12"/>
  <c r="E151" i="12"/>
  <c r="E149" i="12"/>
  <c r="E154" i="12"/>
  <c r="E147" i="12"/>
  <c r="E155" i="12"/>
  <c r="E145" i="12"/>
  <c r="E148" i="12"/>
  <c r="E152" i="12"/>
  <c r="E153" i="12"/>
  <c r="E150" i="12"/>
  <c r="U67" i="12"/>
  <c r="U76" i="12"/>
  <c r="U71" i="12"/>
  <c r="U73" i="12"/>
  <c r="U77" i="12"/>
  <c r="U74" i="12"/>
  <c r="U69" i="12"/>
  <c r="U75" i="12"/>
  <c r="U72" i="12"/>
  <c r="U70" i="12"/>
  <c r="AC152" i="12"/>
  <c r="AC148" i="12"/>
  <c r="AC151" i="12"/>
  <c r="AC150" i="12"/>
  <c r="AC153" i="12"/>
  <c r="AC154" i="12"/>
  <c r="AC149" i="12"/>
  <c r="AC145" i="12"/>
  <c r="AC147" i="12"/>
  <c r="AC155" i="12"/>
  <c r="EF25" i="1"/>
  <c r="EC25" i="1"/>
  <c r="EI25" i="1"/>
  <c r="EH25" i="1"/>
  <c r="EG25" i="1"/>
  <c r="EE25" i="1"/>
  <c r="EX25" i="1"/>
  <c r="ED25" i="1"/>
  <c r="EG5" i="1"/>
  <c r="EG33" i="1"/>
  <c r="EH5" i="1"/>
  <c r="EH33" i="1"/>
  <c r="EF5" i="1"/>
  <c r="EF33" i="1"/>
  <c r="EE5" i="1"/>
  <c r="EE33" i="1"/>
  <c r="EC5" i="1"/>
  <c r="EX5" i="1"/>
  <c r="ED5" i="1"/>
  <c r="ED33" i="1"/>
  <c r="U114" i="12"/>
  <c r="U117" i="12"/>
  <c r="U111" i="12"/>
  <c r="U108" i="12"/>
  <c r="U112" i="12"/>
  <c r="U118" i="12"/>
  <c r="U113" i="12"/>
  <c r="U116" i="12"/>
  <c r="U115" i="12"/>
  <c r="U110" i="12"/>
  <c r="U154" i="12"/>
  <c r="U145" i="12"/>
  <c r="U149" i="12"/>
  <c r="U151" i="12"/>
  <c r="U152" i="12"/>
  <c r="U148" i="12"/>
  <c r="U153" i="12"/>
  <c r="U150" i="12"/>
  <c r="U147" i="12"/>
  <c r="U155" i="12"/>
  <c r="AC117" i="12"/>
  <c r="AC113" i="12"/>
  <c r="AC111" i="12"/>
  <c r="AC116" i="12"/>
  <c r="AC114" i="12"/>
  <c r="AC115" i="12"/>
  <c r="AC118" i="12"/>
  <c r="AC112" i="12"/>
  <c r="AC108" i="12"/>
  <c r="AC110" i="12"/>
  <c r="U33" i="12"/>
  <c r="U30" i="12"/>
  <c r="U36" i="12"/>
  <c r="U35" i="12"/>
  <c r="U31" i="12"/>
  <c r="U28" i="12"/>
  <c r="U32" i="12"/>
  <c r="U26" i="12"/>
  <c r="U29" i="12"/>
  <c r="U34" i="12"/>
  <c r="EH12" i="1"/>
  <c r="EE12" i="1"/>
  <c r="EX12" i="1"/>
  <c r="EF12" i="1"/>
  <c r="EC12" i="1"/>
  <c r="EI12" i="1"/>
  <c r="EG12" i="1"/>
  <c r="ED12" i="1"/>
  <c r="EH19" i="1"/>
  <c r="EC19" i="1"/>
  <c r="EI19" i="1"/>
  <c r="EF19" i="1"/>
  <c r="EG19" i="1"/>
  <c r="EE19" i="1"/>
  <c r="EX19" i="1"/>
  <c r="ED19" i="1"/>
  <c r="FA10" i="1"/>
  <c r="EY10" i="1"/>
  <c r="FA6" i="1"/>
  <c r="EY6" i="1"/>
  <c r="EY19" i="1"/>
  <c r="FA19" i="1"/>
  <c r="FA12" i="1"/>
  <c r="EY12" i="1"/>
  <c r="EY5" i="1"/>
  <c r="FA5" i="1"/>
  <c r="E108" i="18"/>
  <c r="E102" i="18"/>
  <c r="E106" i="18"/>
  <c r="E109" i="18"/>
  <c r="E111" i="18"/>
  <c r="E110" i="18"/>
  <c r="E105" i="18"/>
  <c r="E104" i="18"/>
  <c r="E107" i="18"/>
  <c r="E112" i="18"/>
  <c r="AC68" i="18"/>
  <c r="AC73" i="18"/>
  <c r="AC71" i="18"/>
  <c r="AC74" i="18"/>
  <c r="AC64" i="18"/>
  <c r="AC70" i="18"/>
  <c r="AC67" i="18"/>
  <c r="AC66" i="18"/>
  <c r="AC72" i="18"/>
  <c r="AC69" i="18"/>
  <c r="M32" i="18"/>
  <c r="M30" i="18"/>
  <c r="M31" i="18"/>
  <c r="M33" i="18"/>
  <c r="M36" i="18"/>
  <c r="M34" i="18"/>
  <c r="M26" i="18"/>
  <c r="M28" i="18"/>
  <c r="M29" i="18"/>
  <c r="M35" i="18"/>
  <c r="E143" i="18"/>
  <c r="E145" i="18"/>
  <c r="E139" i="18"/>
  <c r="E148" i="18"/>
  <c r="E146" i="18"/>
  <c r="E149" i="18"/>
  <c r="E144" i="18"/>
  <c r="E142" i="18"/>
  <c r="E147" i="18"/>
  <c r="E141" i="18"/>
  <c r="U144" i="18"/>
  <c r="U148" i="18"/>
  <c r="U141" i="18"/>
  <c r="U142" i="18"/>
  <c r="U147" i="18"/>
  <c r="U139" i="18"/>
  <c r="U149" i="18"/>
  <c r="U145" i="18"/>
  <c r="U143" i="18"/>
  <c r="U146" i="18"/>
  <c r="M106" i="18"/>
  <c r="M110" i="18"/>
  <c r="M107" i="18"/>
  <c r="M105" i="18"/>
  <c r="M109" i="18"/>
  <c r="M108" i="18"/>
  <c r="M104" i="18"/>
  <c r="M111" i="18"/>
  <c r="M112" i="18"/>
  <c r="M102" i="18"/>
  <c r="M149" i="18"/>
  <c r="M147" i="18"/>
  <c r="M142" i="18"/>
  <c r="M145" i="18"/>
  <c r="M148" i="18"/>
  <c r="M146" i="18"/>
  <c r="M141" i="18"/>
  <c r="M143" i="18"/>
  <c r="M144" i="18"/>
  <c r="M139" i="18"/>
  <c r="M140" i="18"/>
  <c r="M82" i="11"/>
  <c r="M73" i="11"/>
  <c r="M83" i="11"/>
  <c r="M76" i="11"/>
  <c r="M81" i="11"/>
  <c r="M79" i="11"/>
  <c r="M77" i="11"/>
  <c r="M75" i="11"/>
  <c r="M78" i="11"/>
  <c r="M80" i="11"/>
  <c r="AS38" i="11"/>
  <c r="AT38" i="11"/>
  <c r="AU38" i="11"/>
  <c r="AS37" i="11"/>
  <c r="AT37" i="11"/>
  <c r="AU37" i="11"/>
  <c r="AS33" i="11"/>
  <c r="AT33" i="11"/>
  <c r="AU33" i="11"/>
  <c r="AS39" i="11"/>
  <c r="AT39" i="11"/>
  <c r="AU39" i="11"/>
  <c r="AS35" i="11"/>
  <c r="AT35" i="11"/>
  <c r="AU35" i="11"/>
  <c r="AS32" i="11"/>
  <c r="AT32" i="11"/>
  <c r="AU32" i="11"/>
  <c r="AS30" i="11"/>
  <c r="AS36" i="11"/>
  <c r="AT36" i="11"/>
  <c r="AU36" i="11"/>
  <c r="AS40" i="11"/>
  <c r="AT40" i="11"/>
  <c r="AU40" i="11"/>
  <c r="AS34" i="11"/>
  <c r="AT34" i="11"/>
  <c r="AU34" i="11"/>
  <c r="AK73" i="11"/>
  <c r="AK79" i="11"/>
  <c r="AK75" i="11"/>
  <c r="AK78" i="11"/>
  <c r="AK76" i="11"/>
  <c r="AK82" i="11"/>
  <c r="AK80" i="11"/>
  <c r="AK83" i="11"/>
  <c r="AK77" i="11"/>
  <c r="AK81" i="11"/>
  <c r="N28" i="11"/>
  <c r="M40" i="11"/>
  <c r="M34" i="11"/>
  <c r="M36" i="11"/>
  <c r="M32" i="11"/>
  <c r="M33" i="11"/>
  <c r="M30" i="11"/>
  <c r="N30" i="11"/>
  <c r="M39" i="11"/>
  <c r="M37" i="11"/>
  <c r="M38" i="11"/>
  <c r="M35" i="11"/>
  <c r="U75" i="11"/>
  <c r="U83" i="11"/>
  <c r="U81" i="11"/>
  <c r="U82" i="11"/>
  <c r="U79" i="11"/>
  <c r="U80" i="11"/>
  <c r="U73" i="11"/>
  <c r="U76" i="11"/>
  <c r="U77" i="11"/>
  <c r="U78" i="11"/>
  <c r="AC82" i="11"/>
  <c r="AC73" i="11"/>
  <c r="AC80" i="11"/>
  <c r="AC83" i="11"/>
  <c r="AC76" i="11"/>
  <c r="AC79" i="11"/>
  <c r="AC75" i="11"/>
  <c r="AC78" i="11"/>
  <c r="AC77" i="11"/>
  <c r="AC81" i="11"/>
  <c r="FA24" i="1"/>
  <c r="EY24" i="1"/>
  <c r="EI5" i="1"/>
  <c r="EC33" i="1"/>
  <c r="EY25" i="1"/>
  <c r="FA25" i="1"/>
  <c r="AC109" i="18"/>
  <c r="AC110" i="18"/>
  <c r="AC107" i="18"/>
  <c r="AC108" i="18"/>
  <c r="AC112" i="18"/>
  <c r="AC111" i="18"/>
  <c r="AC102" i="18"/>
  <c r="AC105" i="18"/>
  <c r="AC106" i="18"/>
  <c r="AC104" i="18"/>
  <c r="U111" i="18"/>
  <c r="U107" i="18"/>
  <c r="U110" i="18"/>
  <c r="U109" i="18"/>
  <c r="U105" i="18"/>
  <c r="U106" i="18"/>
  <c r="U102" i="18"/>
  <c r="U108" i="18"/>
  <c r="U112" i="18"/>
  <c r="U104" i="18"/>
  <c r="AC31" i="18"/>
  <c r="AC26" i="18"/>
  <c r="AC36" i="18"/>
  <c r="AC29" i="18"/>
  <c r="AC32" i="18"/>
  <c r="AC30" i="18"/>
  <c r="AC35" i="18"/>
  <c r="AC33" i="18"/>
  <c r="AC34" i="18"/>
  <c r="AC28" i="18"/>
  <c r="U70" i="18"/>
  <c r="U73" i="18"/>
  <c r="U72" i="18"/>
  <c r="U67" i="18"/>
  <c r="U71" i="18"/>
  <c r="U64" i="18"/>
  <c r="U66" i="18"/>
  <c r="U69" i="18"/>
  <c r="U68" i="18"/>
  <c r="U74" i="18"/>
  <c r="AC146" i="18"/>
  <c r="AC143" i="18"/>
  <c r="AC139" i="18"/>
  <c r="AC149" i="18"/>
  <c r="AC144" i="18"/>
  <c r="AC148" i="18"/>
  <c r="AC145" i="18"/>
  <c r="AC142" i="18"/>
  <c r="AC147" i="18"/>
  <c r="AC141" i="18"/>
  <c r="E64" i="18"/>
  <c r="E73" i="18"/>
  <c r="E67" i="18"/>
  <c r="E69" i="18"/>
  <c r="E66" i="18"/>
  <c r="E72" i="18"/>
  <c r="E68" i="18"/>
  <c r="E71" i="18"/>
  <c r="E74" i="18"/>
  <c r="E70" i="18"/>
  <c r="U34" i="18"/>
  <c r="U36" i="18"/>
  <c r="U30" i="18"/>
  <c r="U31" i="18"/>
  <c r="U29" i="18"/>
  <c r="U28" i="18"/>
  <c r="U35" i="18"/>
  <c r="U26" i="18"/>
  <c r="U33" i="18"/>
  <c r="U32" i="18"/>
  <c r="M74" i="18"/>
  <c r="M72" i="18"/>
  <c r="M69" i="18"/>
  <c r="M73" i="18"/>
  <c r="M70" i="18"/>
  <c r="M68" i="18"/>
  <c r="M67" i="18"/>
  <c r="M71" i="18"/>
  <c r="M64" i="18"/>
  <c r="M66" i="18"/>
  <c r="AK37" i="11"/>
  <c r="AK39" i="11"/>
  <c r="AK35" i="11"/>
  <c r="AK30" i="11"/>
  <c r="AK32" i="11"/>
  <c r="AK34" i="11"/>
  <c r="AK38" i="11"/>
  <c r="AK40" i="11"/>
  <c r="AK36" i="11"/>
  <c r="AK33" i="11"/>
  <c r="E30" i="11"/>
  <c r="E36" i="11"/>
  <c r="E37" i="11"/>
  <c r="E34" i="11"/>
  <c r="E33" i="11"/>
  <c r="E40" i="11"/>
  <c r="E38" i="11"/>
  <c r="E39" i="11"/>
  <c r="E35" i="11"/>
  <c r="E32" i="11"/>
  <c r="U39" i="11"/>
  <c r="U36" i="11"/>
  <c r="U33" i="11"/>
  <c r="U37" i="11"/>
  <c r="U32" i="11"/>
  <c r="U38" i="11"/>
  <c r="U34" i="11"/>
  <c r="U30" i="11"/>
  <c r="U40" i="11"/>
  <c r="U35" i="11"/>
  <c r="AS81" i="11"/>
  <c r="AT81" i="11"/>
  <c r="AU81" i="11"/>
  <c r="AS73" i="11"/>
  <c r="AS83" i="11"/>
  <c r="AT83" i="11"/>
  <c r="AU83" i="11"/>
  <c r="AS78" i="11"/>
  <c r="AT78" i="11"/>
  <c r="AU78" i="11"/>
  <c r="AS76" i="11"/>
  <c r="AT76" i="11"/>
  <c r="AU76" i="11"/>
  <c r="AS79" i="11"/>
  <c r="AT79" i="11"/>
  <c r="AU79" i="11"/>
  <c r="AS82" i="11"/>
  <c r="AT82" i="11"/>
  <c r="AU82" i="11"/>
  <c r="AS80" i="11"/>
  <c r="AT80" i="11"/>
  <c r="AU80" i="11"/>
  <c r="AS75" i="11"/>
  <c r="AT75" i="11"/>
  <c r="AU75" i="11"/>
  <c r="AS77" i="11"/>
  <c r="AT77" i="11"/>
  <c r="AU77" i="11"/>
  <c r="E77" i="11"/>
  <c r="E79" i="11"/>
  <c r="E81" i="11"/>
  <c r="E80" i="11"/>
  <c r="E82" i="11"/>
  <c r="E73" i="11"/>
  <c r="E86" i="11"/>
  <c r="E83" i="11"/>
  <c r="E75" i="11"/>
  <c r="E76" i="11"/>
  <c r="E78" i="11"/>
  <c r="AC38" i="11"/>
  <c r="AC34" i="11"/>
  <c r="AC33" i="11"/>
  <c r="AC37" i="11"/>
  <c r="AC32" i="11"/>
  <c r="AC36" i="11"/>
  <c r="AC30" i="11"/>
  <c r="AD30" i="11"/>
  <c r="AC39" i="11"/>
  <c r="AD28" i="11"/>
  <c r="AC35" i="11"/>
  <c r="AC40" i="11"/>
  <c r="FA14" i="1"/>
  <c r="EY14" i="1"/>
</calcChain>
</file>

<file path=xl/comments1.xml><?xml version="1.0" encoding="utf-8"?>
<comments xmlns="http://schemas.openxmlformats.org/spreadsheetml/2006/main">
  <authors>
    <author>hlee</author>
  </authors>
  <commentList>
    <comment ref="AK11" authorId="0">
      <text>
        <r>
          <rPr>
            <b/>
            <sz val="8"/>
            <color indexed="81"/>
            <rFont val="Tahoma"/>
            <family val="2"/>
          </rPr>
          <t>hlee: 3/16/2012</t>
        </r>
        <r>
          <rPr>
            <sz val="8"/>
            <color indexed="81"/>
            <rFont val="Tahoma"/>
            <family val="2"/>
          </rPr>
          <t xml:space="preserve">
It was changed from $51,175 (proposed rate) -&gt; $61,822 (the same rate as YSTS) -&gt; $59,701 (the same rate as IRTP, CIRT in DCF&amp;DMH joint procurement).  </t>
        </r>
      </text>
    </comment>
    <comment ref="AK12" authorId="0">
      <text>
        <r>
          <rPr>
            <b/>
            <sz val="8"/>
            <color indexed="81"/>
            <rFont val="Tahoma"/>
            <family val="2"/>
          </rPr>
          <t>hlee: 3/20/12</t>
        </r>
        <r>
          <rPr>
            <sz val="8"/>
            <color indexed="81"/>
            <rFont val="Tahoma"/>
            <family val="2"/>
          </rPr>
          <t xml:space="preserve">
It was changed from $46,805 (proposed rate) -&gt; $53, 253 (weighted avg of C.Director $60,000 and Clinician, $50,000) -&gt;  $51,948 (the same rate as YSTS DYS Clinical).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hlee: 3/20/12</t>
        </r>
        <r>
          <rPr>
            <sz val="8"/>
            <color indexed="81"/>
            <rFont val="Tahoma"/>
            <family val="2"/>
          </rPr>
          <t xml:space="preserve">
DC Staff was increased from $27,749 (proposed rate) -&gt; $29,812 (weighted avg (1:3) of Supervisory DC $36,000 and DC, $27,749) -&gt; $31,103 (the same rate as YSTS DYS)</t>
        </r>
      </text>
    </comment>
    <comment ref="AK14" authorId="0">
      <text>
        <r>
          <rPr>
            <b/>
            <sz val="8"/>
            <color indexed="81"/>
            <rFont val="Tahoma"/>
            <family val="2"/>
          </rPr>
          <t>hlee: 3/20/12</t>
        </r>
        <r>
          <rPr>
            <sz val="8"/>
            <color indexed="81"/>
            <rFont val="Tahoma"/>
            <family val="2"/>
          </rPr>
          <t xml:space="preserve">
DC Support Staffing was changed from $26,636 (proposed rate, weighted avg) -&gt; $26, 636 (No change was occurred.) -&gt; $30,600 (the same rate as YSTS DYS.)</t>
        </r>
      </text>
    </comment>
    <comment ref="AJ23" authorId="0">
      <text>
        <r>
          <rPr>
            <b/>
            <sz val="8"/>
            <color indexed="81"/>
            <rFont val="Tahoma"/>
            <family val="2"/>
          </rPr>
          <t>hlee:3/20/12</t>
        </r>
        <r>
          <rPr>
            <sz val="8"/>
            <color indexed="81"/>
            <rFont val="Tahoma"/>
            <family val="2"/>
          </rPr>
          <t xml:space="preserve">
Change was made based on POST P.H YSTS update ; Support Staffs FTEs for 12-14 Capacity has been updated from 2 to 3. </t>
        </r>
      </text>
    </comment>
    <comment ref="AJ32" authorId="0">
      <text>
        <r>
          <rPr>
            <b/>
            <sz val="8"/>
            <color indexed="81"/>
            <rFont val="Tahoma"/>
            <family val="2"/>
          </rPr>
          <t>hlee:</t>
        </r>
        <r>
          <rPr>
            <sz val="8"/>
            <color indexed="81"/>
            <rFont val="Tahoma"/>
            <family val="2"/>
          </rPr>
          <t xml:space="preserve">
It should be recalculated to </t>
        </r>
        <r>
          <rPr>
            <b/>
            <sz val="8"/>
            <color indexed="81"/>
            <rFont val="Tahoma"/>
            <family val="2"/>
          </rPr>
          <t>$33.07.</t>
        </r>
        <r>
          <rPr>
            <sz val="8"/>
            <color indexed="81"/>
            <rFont val="Tahoma"/>
            <family val="2"/>
          </rPr>
          <t xml:space="preserve">
-It is currently linked to Leased with Apartments, including Leased and Leased with Apartments providers, $31.19. 
</t>
        </r>
        <r>
          <rPr>
            <b/>
            <sz val="8"/>
            <color indexed="81"/>
            <rFont val="Tahoma"/>
            <family val="2"/>
          </rPr>
          <t>3/12/2012</t>
        </r>
        <r>
          <rPr>
            <sz val="8"/>
            <color indexed="81"/>
            <rFont val="Tahoma"/>
            <family val="2"/>
          </rPr>
          <t xml:space="preserve">
It is updated, the same rate as one for YSTS. 
</t>
        </r>
        <r>
          <rPr>
            <b/>
            <sz val="8"/>
            <color indexed="81"/>
            <rFont val="Tahoma"/>
            <family val="2"/>
          </rPr>
          <t xml:space="preserve">
3/16/2012</t>
        </r>
        <r>
          <rPr>
            <sz val="8"/>
            <color indexed="81"/>
            <rFont val="Tahoma"/>
            <family val="2"/>
          </rPr>
          <t xml:space="preserve">
It was reupdated to $33.07, after discussion with DYS and EOHHS.
</t>
        </r>
      </text>
    </comment>
  </commentList>
</comments>
</file>

<file path=xl/comments2.xml><?xml version="1.0" encoding="utf-8"?>
<comments xmlns="http://schemas.openxmlformats.org/spreadsheetml/2006/main">
  <authors>
    <author>hlee</author>
  </authors>
  <commentList>
    <comment ref="AY57" authorId="0">
      <text>
        <r>
          <rPr>
            <b/>
            <sz val="8"/>
            <color indexed="81"/>
            <rFont val="Tahoma"/>
            <family val="2"/>
          </rPr>
          <t>hlee:3/20/12</t>
        </r>
        <r>
          <rPr>
            <sz val="8"/>
            <color indexed="81"/>
            <rFont val="Tahoma"/>
            <family val="2"/>
          </rPr>
          <t xml:space="preserve">
We haven't had a chance to talk about those benchmarks yet.</t>
        </r>
      </text>
    </comment>
  </commentList>
</comments>
</file>

<file path=xl/comments3.xml><?xml version="1.0" encoding="utf-8"?>
<comments xmlns="http://schemas.openxmlformats.org/spreadsheetml/2006/main">
  <authors>
    <author>hlee</author>
  </authors>
  <commentList>
    <comment ref="AJ23" authorId="0">
      <text>
        <r>
          <rPr>
            <b/>
            <sz val="8"/>
            <color indexed="81"/>
            <rFont val="Tahoma"/>
            <family val="2"/>
          </rPr>
          <t>hlee: 3/5/2012</t>
        </r>
        <r>
          <rPr>
            <sz val="8"/>
            <color indexed="81"/>
            <rFont val="Tahoma"/>
            <family val="2"/>
          </rPr>
          <t xml:space="preserve">
Consistent methodology changes as YSTS Post P.H changes; Support Staffs FTEs for 12-14 Capacity has been updated from 2 to 3. </t>
        </r>
      </text>
    </comment>
  </commentList>
</comments>
</file>

<file path=xl/comments4.xml><?xml version="1.0" encoding="utf-8"?>
<comments xmlns="http://schemas.openxmlformats.org/spreadsheetml/2006/main">
  <authors>
    <author>kara</author>
  </authors>
  <commentList>
    <comment ref="C41" authorId="0">
      <text>
        <r>
          <rPr>
            <b/>
            <sz val="9"/>
            <color indexed="81"/>
            <rFont val="Tahoma"/>
            <family val="2"/>
          </rPr>
          <t>kara: 5.10.17</t>
        </r>
        <r>
          <rPr>
            <sz val="9"/>
            <color indexed="81"/>
            <rFont val="Tahoma"/>
            <family val="2"/>
          </rPr>
          <t xml:space="preserve"> backed out FY18 Mass Start Spend of $406,509 and 343,053 for PLL</t>
        </r>
      </text>
    </comment>
  </commentList>
</comments>
</file>

<file path=xl/comments5.xml><?xml version="1.0" encoding="utf-8"?>
<comments xmlns="http://schemas.openxmlformats.org/spreadsheetml/2006/main">
  <authors>
    <author>hlee</author>
  </authors>
  <commentList>
    <comment ref="AA34" authorId="0">
      <text>
        <r>
          <rPr>
            <b/>
            <sz val="8"/>
            <color indexed="81"/>
            <rFont val="Tahoma"/>
            <family val="2"/>
          </rPr>
          <t>hlee:</t>
        </r>
        <r>
          <rPr>
            <sz val="8"/>
            <color indexed="81"/>
            <rFont val="Tahoma"/>
            <family val="2"/>
          </rPr>
          <t xml:space="preserve">
Y(Clinical Director) column + Z (LICSW) Column</t>
        </r>
      </text>
    </comment>
    <comment ref="AA35" authorId="0">
      <text>
        <r>
          <rPr>
            <b/>
            <sz val="8"/>
            <color indexed="81"/>
            <rFont val="Tahoma"/>
            <family val="2"/>
          </rPr>
          <t>hlee:</t>
        </r>
        <r>
          <rPr>
            <sz val="8"/>
            <color indexed="81"/>
            <rFont val="Tahoma"/>
            <family val="2"/>
          </rPr>
          <t xml:space="preserve">
Clinicians include column AA, AB, and AC.</t>
        </r>
      </text>
    </comment>
    <comment ref="AC36" authorId="0">
      <text>
        <r>
          <rPr>
            <b/>
            <sz val="8"/>
            <color indexed="81"/>
            <rFont val="Tahoma"/>
            <family val="2"/>
          </rPr>
          <t xml:space="preserve">hlee: 3/2/2012
</t>
        </r>
        <r>
          <rPr>
            <sz val="8"/>
            <color indexed="81"/>
            <rFont val="Tahoma"/>
            <family val="2"/>
          </rPr>
          <t xml:space="preserve">Clinical has been changed from $46,805 to $53,253.49 after applying weighted average of Clinical Director and Clinician.
</t>
        </r>
      </text>
    </comment>
    <comment ref="AH36" authorId="0">
      <text>
        <r>
          <rPr>
            <b/>
            <sz val="8"/>
            <color indexed="81"/>
            <rFont val="Tahoma"/>
            <family val="2"/>
          </rPr>
          <t>hlee: 3/2/2012 (Scenario1)</t>
        </r>
        <r>
          <rPr>
            <sz val="8"/>
            <color indexed="81"/>
            <rFont val="Tahoma"/>
            <family val="2"/>
          </rPr>
          <t xml:space="preserve">
Consistent methodology changes as YSTS Post P.H changes.
DC Staffs remains the same as $27,749 and  Supervisory Staffs changed from $27,749 (blended average salary) to $36,000</t>
        </r>
      </text>
    </comment>
    <comment ref="AH41" authorId="0">
      <text>
        <r>
          <rPr>
            <b/>
            <sz val="8"/>
            <color indexed="81"/>
            <rFont val="Tahoma"/>
            <family val="2"/>
          </rPr>
          <t>hlee: 3/2/2012 (Scenario 2)</t>
        </r>
        <r>
          <rPr>
            <sz val="8"/>
            <color indexed="81"/>
            <rFont val="Tahoma"/>
            <family val="2"/>
          </rPr>
          <t xml:space="preserve">
Changes based on Providers' testimony.
DC Staffs changed from $27,749 (blended avg salary) to $30,000.
Supervisory Staffs rchanged from $27,749  to $35,000</t>
        </r>
      </text>
    </comment>
  </commentList>
</comments>
</file>

<file path=xl/sharedStrings.xml><?xml version="1.0" encoding="utf-8"?>
<sst xmlns="http://schemas.openxmlformats.org/spreadsheetml/2006/main" count="3921" uniqueCount="569">
  <si>
    <t>PROVIDER</t>
  </si>
  <si>
    <t>PROGRAM NAME</t>
  </si>
  <si>
    <t>ACTIVITY CODE</t>
  </si>
  <si>
    <t>PROGRAM TYPE</t>
  </si>
  <si>
    <t>PROGRAM LOCATION</t>
  </si>
  <si>
    <t>DYS Region</t>
  </si>
  <si>
    <t>Ownership</t>
  </si>
  <si>
    <t>RFR #</t>
  </si>
  <si>
    <t>INITIAL END DATE</t>
  </si>
  <si>
    <t>RENEWAL END DATE</t>
  </si>
  <si>
    <t>AMEND #</t>
  </si>
  <si>
    <t># OF BEDS</t>
  </si>
  <si>
    <t>BEDS ANNUALIZED</t>
  </si>
  <si>
    <t>FY10 SETTLEMENT AMOUNT</t>
  </si>
  <si>
    <t>DAILY RATE</t>
  </si>
  <si>
    <t>SETTLEMENT DAILY RATE</t>
  </si>
  <si>
    <t>ENDING FY10 DAILY RATE</t>
  </si>
  <si>
    <t>Final Daily Rate</t>
  </si>
  <si>
    <t xml:space="preserve">UTILIZATION% </t>
  </si>
  <si>
    <t>Annualized Capacity @ Utilization</t>
  </si>
  <si>
    <t>101 PROG MGR</t>
  </si>
  <si>
    <t>102 PROG DIR</t>
  </si>
  <si>
    <t>103 ASS'T PROG DIR</t>
  </si>
  <si>
    <t>CLINICAL DIRECTOR</t>
  </si>
  <si>
    <t>124 SOCIAL WORKER (LICSW)</t>
  </si>
  <si>
    <t>125 SOCIAL WORKER (LCSW)</t>
  </si>
  <si>
    <t>126 SOCIAL WORKER (LSW)</t>
  </si>
  <si>
    <t>127 LICENSED COUNSELOR</t>
  </si>
  <si>
    <t>131 CASE WORKER/ MGR (MASTER'S)</t>
  </si>
  <si>
    <t>132 CASE WORKER/ MGR</t>
  </si>
  <si>
    <t>133 DIRECT CARE/ PROGRAM STAFF SUPERVISOR</t>
  </si>
  <si>
    <t>134 DIRECT CARE/ PROGRAM STAFF III</t>
  </si>
  <si>
    <t>135 DIRECT CARE/ PROGRAM STAFF II</t>
  </si>
  <si>
    <t>136 DIRECT CARE/ PROGRAM STAFF I</t>
  </si>
  <si>
    <t>137 PROG SEC CLERICAL STAFF</t>
  </si>
  <si>
    <t>138 PROGRAM SUPPORT</t>
  </si>
  <si>
    <t>141 RELIEF STAFF</t>
  </si>
  <si>
    <t>TOTAL STAFF</t>
  </si>
  <si>
    <t>Direct Care Management Total FTEs</t>
  </si>
  <si>
    <t>Clinical Total FTEs</t>
  </si>
  <si>
    <t>Non-Specialized Direct Care Total FTEs</t>
  </si>
  <si>
    <t>Direct Care Support Total FTEs</t>
  </si>
  <si>
    <t>101 PROGRAM MANAGER $</t>
  </si>
  <si>
    <t>102 PROGRAM DIRECTOR $</t>
  </si>
  <si>
    <t>103 ASS'T PROG DIR $</t>
  </si>
  <si>
    <t>CLINICAL DIRECTOR $</t>
  </si>
  <si>
    <t>124 SOCIAL WORKER (LICSW) $</t>
  </si>
  <si>
    <t>125 SOCIAL WORKER (LCSW) $</t>
  </si>
  <si>
    <t>126 SOCIAL WORKER (LSW) $</t>
  </si>
  <si>
    <t>127 LICENSED COUNSELOR $</t>
  </si>
  <si>
    <t>131 CASE WORKER/ MGR (MASTER'S) $</t>
  </si>
  <si>
    <t>132 CASE WORKER/ MGR $</t>
  </si>
  <si>
    <t>133 DIRECT CARE/ PROGRAM STAFF SUPERVISOR $</t>
  </si>
  <si>
    <t>134 DIRECT CARE/ PROGRAM STAFF III $</t>
  </si>
  <si>
    <t>135 DIRECT CARE/ PROGRAM STAFF II $</t>
  </si>
  <si>
    <t>136 DIRECT CARE/ PROGRAM STAFF I $</t>
  </si>
  <si>
    <t>137 PROG SEC CLERICAL STAFF $</t>
  </si>
  <si>
    <t>138 PROGRAM SUPPORT $</t>
  </si>
  <si>
    <t>141 RELIEF STAFF / OVERTIME $</t>
  </si>
  <si>
    <t>Direct Care Management Total Salaries</t>
  </si>
  <si>
    <t>Clinical Total Salaries</t>
  </si>
  <si>
    <t>Non-Specialized Direct Care Total Salaries</t>
  </si>
  <si>
    <t>Direct Care Support Total Salaries</t>
  </si>
  <si>
    <t>101 PROG MGR Salary / FTE</t>
  </si>
  <si>
    <t>102 PROG DIR Salary / FTE</t>
  </si>
  <si>
    <t>103 ASS'T PROG DIR Salary / FTE</t>
  </si>
  <si>
    <t>CLINICAL DIRECTOR Salary / FTE</t>
  </si>
  <si>
    <t>124 SOCIAL WORKER (LICSW) Salary / FTE</t>
  </si>
  <si>
    <t>125 SOCIAL WORKER (LCSW) Salary / FTE</t>
  </si>
  <si>
    <t>126 SOCIAL WORKER (LSW) Salary / FTE</t>
  </si>
  <si>
    <t>127 LICENSED COUNSELOR Salary / FTE</t>
  </si>
  <si>
    <t>131 CASE WORKER/ MGR (MASTER'S) Salary / FTE</t>
  </si>
  <si>
    <t>132 CASE WORKER/ MGR Salary / FTE</t>
  </si>
  <si>
    <t>133 DIRECT CARE/ PROGRAM STAFF SUPERVISOR Salary / FTE</t>
  </si>
  <si>
    <t>134 DIRECT CARE/ PROGRAM STAFF III Salary / FTE</t>
  </si>
  <si>
    <t>135 DIRECT CARE/ PROGRAM STAFF II Salary / FTE</t>
  </si>
  <si>
    <t>136 DIRECT CARE/ PROGRAM STAFF I Salary / FTE</t>
  </si>
  <si>
    <t>137 PROG SEC CLERICAL STAFF Salary / FTE</t>
  </si>
  <si>
    <t>138 PROGRAM SUPPORT Salary / FTE</t>
  </si>
  <si>
    <t>141 RELIEF STAFF Salary / FTE</t>
  </si>
  <si>
    <t>Salary / FTE All Positions</t>
  </si>
  <si>
    <t>Direct Care Management Total Salary / FTE</t>
  </si>
  <si>
    <t>Clinical Total Salary / FTE</t>
  </si>
  <si>
    <t>Non-Specialized Direct Care Total Salary / FTE</t>
  </si>
  <si>
    <t>Direct Care Support Total Salary / FTE</t>
  </si>
  <si>
    <t>TOTAL TAX $</t>
  </si>
  <si>
    <t>TOTAL FRINGE</t>
  </si>
  <si>
    <t>Tax and Fringe</t>
  </si>
  <si>
    <t>% of Total FTE / Salary &amp; Wages</t>
  </si>
  <si>
    <t>301 PROGRAM FACILITIES</t>
  </si>
  <si>
    <t>390 FACILITIES OPERATION, MAINT, EQUIPMENT, FURNISHING</t>
  </si>
  <si>
    <t>Occupancy</t>
  </si>
  <si>
    <t>201 DIRECT CARE PROGRAM CONSULT</t>
  </si>
  <si>
    <t>206 SUB- CONTRACTED DIRECT CARE</t>
  </si>
  <si>
    <t>Other Staffing Exp</t>
  </si>
  <si>
    <t>204 STAFF TRAINING</t>
  </si>
  <si>
    <t>205 STAFF MILEAGE/ TRAVEL</t>
  </si>
  <si>
    <t>207 MEALS</t>
  </si>
  <si>
    <t>208 CLIENT TRANSPORT</t>
  </si>
  <si>
    <t>209 INCIDENTAL HEALTH/ MEDICAL 
CARE</t>
  </si>
  <si>
    <t>210 MEDICINE/ PHARMACY</t>
  </si>
  <si>
    <t>211 CLIENT PERSONAL ALLOWANCES</t>
  </si>
  <si>
    <t>215 PROG SUPPLIES, MATERIALS, EQUIP &amp; FURNISHINGS</t>
  </si>
  <si>
    <t>216 PROGRAM SUPPORT</t>
  </si>
  <si>
    <t>FY10 BUDGET TOTAL</t>
  </si>
  <si>
    <t>RATE CALC. OFFSET</t>
  </si>
  <si>
    <t>TOTAL CONTRACT FY10</t>
  </si>
  <si>
    <t xml:space="preserve">Direct Care Management Total Salary </t>
  </si>
  <si>
    <t xml:space="preserve">Clinical Total Salary </t>
  </si>
  <si>
    <t xml:space="preserve">Non-Specialized Direct Care Total Salary </t>
  </si>
  <si>
    <t>Direct Care Support Total Salary</t>
  </si>
  <si>
    <t>Direct Program Staff Related Exp Total</t>
  </si>
  <si>
    <t>Tax &amp; Fringe Total</t>
  </si>
  <si>
    <t>Other Staffing Exp Total</t>
  </si>
  <si>
    <t>Occupancy Total</t>
  </si>
  <si>
    <t>Other Program Expense Total</t>
  </si>
  <si>
    <t>Agency Allocation Total</t>
  </si>
  <si>
    <t>Total Reimbursable Expenses</t>
  </si>
  <si>
    <t xml:space="preserve">Tax &amp; Fringe % </t>
  </si>
  <si>
    <t>Other Staffing Costs %</t>
  </si>
  <si>
    <t>Occupancy %</t>
  </si>
  <si>
    <t>% Check</t>
  </si>
  <si>
    <t>Direct Care Management Total Salary Per Unit Cost</t>
  </si>
  <si>
    <t>Clinical Total Salary Per Unit Cost</t>
  </si>
  <si>
    <t>Non-Specialized Direct Care Total Salary Per Unit Cost</t>
  </si>
  <si>
    <t>Direct Care Support Total Salary Per Unit Cost</t>
  </si>
  <si>
    <t>Total Direct Program Staff Related Per Unit Cost</t>
  </si>
  <si>
    <t>Tax &amp; Fringe Per Unit Cost</t>
  </si>
  <si>
    <t>Other Staffing Costs Per Unit Cost</t>
  </si>
  <si>
    <t>ALL Staffing Expenses Per Unit Cost</t>
  </si>
  <si>
    <t>Occupancy Per Unit Cost</t>
  </si>
  <si>
    <t>Other Program Per Unit Cost</t>
  </si>
  <si>
    <t>Agency Allocation Unit Cost</t>
  </si>
  <si>
    <t>Tax and Fringe Per Unit Cost</t>
  </si>
  <si>
    <t>Total Unit Cost</t>
  </si>
  <si>
    <t>Unit Cost Check with DYS Data</t>
  </si>
  <si>
    <t>DIFFERENCE</t>
  </si>
  <si>
    <t>Direct Care Management Total FTEs Per Unit</t>
  </si>
  <si>
    <t>Clinical Total FTEs Per Unit</t>
  </si>
  <si>
    <t>Non-Specialized Direct Care Total FTEs Per Unit</t>
  </si>
  <si>
    <t>Direct Care Support Total FTEs Per Unit</t>
  </si>
  <si>
    <t>Total FTEs Per Unit</t>
  </si>
  <si>
    <t>Clients per Direct Care Management FTEs</t>
  </si>
  <si>
    <t>Clients per Clinical FTEs</t>
  </si>
  <si>
    <t>Clients per Non-Specialized Direct Care FTEs</t>
  </si>
  <si>
    <t>Clients per Direct Care Support FTEs</t>
  </si>
  <si>
    <t>Clients per FTEs</t>
  </si>
  <si>
    <t>NFI</t>
  </si>
  <si>
    <t xml:space="preserve">Alliance House </t>
  </si>
  <si>
    <t>Residential Treatment</t>
  </si>
  <si>
    <t>Stoneham</t>
  </si>
  <si>
    <t xml:space="preserve">Northeastern </t>
  </si>
  <si>
    <t>Provider Owned</t>
  </si>
  <si>
    <t>2008-01</t>
  </si>
  <si>
    <t>LIFE</t>
  </si>
  <si>
    <t>Bishop Ruocco House Girls</t>
  </si>
  <si>
    <t>Lakeville</t>
  </si>
  <si>
    <t xml:space="preserve">Southeastern </t>
  </si>
  <si>
    <t>2005-14</t>
  </si>
  <si>
    <t>2010-01</t>
  </si>
  <si>
    <t>OCY</t>
  </si>
  <si>
    <t>Brewster LEAP</t>
  </si>
  <si>
    <t>Brewster (State Park)</t>
  </si>
  <si>
    <t>State Owned</t>
  </si>
  <si>
    <t>2008-04</t>
  </si>
  <si>
    <t>Brockton Revocation</t>
  </si>
  <si>
    <t>Residential Revocation</t>
  </si>
  <si>
    <t>Brockton</t>
  </si>
  <si>
    <t>2009-05</t>
  </si>
  <si>
    <t>JRI</t>
  </si>
  <si>
    <t>Butler Center</t>
  </si>
  <si>
    <t>Secure Treatment</t>
  </si>
  <si>
    <t>Westborough</t>
  </si>
  <si>
    <t xml:space="preserve">Central </t>
  </si>
  <si>
    <t>2005-11</t>
  </si>
  <si>
    <t>ELIOT</t>
  </si>
  <si>
    <t>Eliot Treatment Center</t>
  </si>
  <si>
    <t>Roxbury</t>
  </si>
  <si>
    <t xml:space="preserve">Metro </t>
  </si>
  <si>
    <t>Leased</t>
  </si>
  <si>
    <t>2008-03</t>
  </si>
  <si>
    <t>RFK</t>
  </si>
  <si>
    <t>Fay Rotenberg School</t>
  </si>
  <si>
    <t>2005-07</t>
  </si>
  <si>
    <t>Harvard House</t>
  </si>
  <si>
    <t>Worcester</t>
  </si>
  <si>
    <t>2008-02</t>
  </si>
  <si>
    <t>GANDARA</t>
  </si>
  <si>
    <t>Hispanic Group Home</t>
  </si>
  <si>
    <t>Springfield</t>
  </si>
  <si>
    <t xml:space="preserve">Western </t>
  </si>
  <si>
    <t>SPECTRUM</t>
  </si>
  <si>
    <t>Juvenile Recovery Academy</t>
  </si>
  <si>
    <t>Methuen</t>
  </si>
  <si>
    <t>2005-16</t>
  </si>
  <si>
    <t>Kennedy School</t>
  </si>
  <si>
    <t>New River Academy</t>
  </si>
  <si>
    <t>Lancaster</t>
  </si>
  <si>
    <t>KEY</t>
  </si>
  <si>
    <t>Oaks D Central Girls STT</t>
  </si>
  <si>
    <t>No. Grafton</t>
  </si>
  <si>
    <t>2007-01</t>
  </si>
  <si>
    <t>Our House</t>
  </si>
  <si>
    <t>Greenfield</t>
  </si>
  <si>
    <t>Phaneuf Center</t>
  </si>
  <si>
    <t>2010-02</t>
  </si>
  <si>
    <t>Pilgrim</t>
  </si>
  <si>
    <t>Braintree</t>
  </si>
  <si>
    <t>2007-09</t>
  </si>
  <si>
    <t xml:space="preserve">Positive Opportunity Program </t>
  </si>
  <si>
    <t>Fitchburg</t>
  </si>
  <si>
    <t>2009-07</t>
  </si>
  <si>
    <t>R.E.A.C.H.</t>
  </si>
  <si>
    <t>2005-09</t>
  </si>
  <si>
    <t>S.T.R.I.V.E.</t>
  </si>
  <si>
    <t>Transitional Living</t>
  </si>
  <si>
    <t>Lowell</t>
  </si>
  <si>
    <t>2007-08</t>
  </si>
  <si>
    <t>South Hadley Girls</t>
  </si>
  <si>
    <t>So. Hadley</t>
  </si>
  <si>
    <t>2007-14</t>
  </si>
  <si>
    <t>Teamworks</t>
  </si>
  <si>
    <t>Plymouth</t>
  </si>
  <si>
    <t>CHD</t>
  </si>
  <si>
    <t>Transition to Indep living</t>
  </si>
  <si>
    <t>Independent Living</t>
  </si>
  <si>
    <t>Leased Apartments</t>
  </si>
  <si>
    <t>2005-01</t>
  </si>
  <si>
    <t xml:space="preserve">Western Secure Treatment </t>
  </si>
  <si>
    <t>Total</t>
  </si>
  <si>
    <t>Short Term Treatment - Boys</t>
  </si>
  <si>
    <t>Camp Amesbury</t>
  </si>
  <si>
    <t>Amesbury</t>
  </si>
  <si>
    <t>2005-08</t>
  </si>
  <si>
    <t>VOA</t>
  </si>
  <si>
    <t xml:space="preserve">Casa Isla </t>
  </si>
  <si>
    <t>Jamaica Plain</t>
  </si>
  <si>
    <t>Residential Assessment/Treatment</t>
  </si>
  <si>
    <t>2009-01</t>
  </si>
  <si>
    <t>2010-03</t>
  </si>
  <si>
    <t>City Owned</t>
  </si>
  <si>
    <t>Western</t>
  </si>
  <si>
    <t>Metro</t>
  </si>
  <si>
    <t>Northeastern</t>
  </si>
  <si>
    <t>114 DIETICIAN/ NUTRITIONIST/ RN</t>
  </si>
  <si>
    <t>Total Staff Sal, Consultant and Subcontract</t>
  </si>
  <si>
    <t>Total Other Program Exp (ecl. Occupancy and Other Staffing/ incl. Nutr.)</t>
  </si>
  <si>
    <t>ALL Staffing Salaries (No Tax / Fringe) Per Unit Cost</t>
  </si>
  <si>
    <t>Total Unit Cost Adj for Utilization</t>
  </si>
  <si>
    <t>Master Look-Up Data</t>
  </si>
  <si>
    <t>Relief Assumptions:</t>
  </si>
  <si>
    <t>Days</t>
  </si>
  <si>
    <t>Hours</t>
  </si>
  <si>
    <t>PROVIDER LEASED</t>
  </si>
  <si>
    <t>vacation</t>
  </si>
  <si>
    <t>Capacity Level A</t>
  </si>
  <si>
    <t>Capacity Level B</t>
  </si>
  <si>
    <t>Capacity Level C</t>
  </si>
  <si>
    <t>Capacity Level D</t>
  </si>
  <si>
    <t>Capacity Level E</t>
  </si>
  <si>
    <t>sick/ personal</t>
  </si>
  <si>
    <t>Consumers:</t>
  </si>
  <si>
    <t>Days:</t>
  </si>
  <si>
    <t>18-22</t>
  </si>
  <si>
    <t>23-26</t>
  </si>
  <si>
    <t>27-30</t>
  </si>
  <si>
    <t>holidays</t>
  </si>
  <si>
    <t>training</t>
  </si>
  <si>
    <t>Total Hours per FTE:</t>
  </si>
  <si>
    <t>Client to Staff Ratio</t>
  </si>
  <si>
    <t>FTE</t>
  </si>
  <si>
    <t>% of FTE</t>
  </si>
  <si>
    <t>Direct Mgmt Staffing</t>
  </si>
  <si>
    <t>Clinical</t>
  </si>
  <si>
    <t>Benchmark Ave Salary</t>
  </si>
  <si>
    <t>Direct Care Staffing</t>
  </si>
  <si>
    <t>Relief</t>
  </si>
  <si>
    <t>Total Dir Care Staff</t>
  </si>
  <si>
    <t>Expenses</t>
  </si>
  <si>
    <t>Unit Cost</t>
  </si>
  <si>
    <t>Taxes &amp; Fringe</t>
  </si>
  <si>
    <t>Capacity:</t>
  </si>
  <si>
    <t>Total Compensation</t>
  </si>
  <si>
    <t xml:space="preserve">Other Exp. </t>
  </si>
  <si>
    <t>Co-located State-Owned Facilities</t>
  </si>
  <si>
    <t>All other programs:</t>
  </si>
  <si>
    <t xml:space="preserve">Admin. Alloc. </t>
  </si>
  <si>
    <t>FTE Ratio</t>
  </si>
  <si>
    <t>TOTAL</t>
  </si>
  <si>
    <t>RATE:</t>
  </si>
  <si>
    <t>CAF</t>
  </si>
  <si>
    <t>Rate with CAF</t>
  </si>
  <si>
    <t>Utilization RATE:</t>
  </si>
  <si>
    <t>Provider Leased Facilities</t>
  </si>
  <si>
    <t>Provider Owned Facilities</t>
  </si>
  <si>
    <t>State Owned Facilities</t>
  </si>
  <si>
    <t>CAF Rate</t>
  </si>
  <si>
    <t>PROVIDER OWNED</t>
  </si>
  <si>
    <t>STATE OWNED - SEPARATE</t>
  </si>
  <si>
    <t>STATE OWNED - COLOCATED</t>
  </si>
  <si>
    <t>Intensive Trans. Indep. Living (Program A)</t>
  </si>
  <si>
    <t>Trans. Indep. Living (Program B)</t>
  </si>
  <si>
    <t>12-17</t>
  </si>
  <si>
    <t>23-30</t>
  </si>
  <si>
    <t>SAL</t>
  </si>
  <si>
    <t>EXP</t>
  </si>
  <si>
    <t>Teacher</t>
  </si>
  <si>
    <t>Teacher / Ed. Coordinator</t>
  </si>
  <si>
    <t>Taxes and Fringe</t>
  </si>
  <si>
    <t>Administrative Overhead</t>
  </si>
  <si>
    <t>ADD-ON RATE:</t>
  </si>
  <si>
    <t>SUMMER TEACHERS ADD-ON RATE</t>
  </si>
  <si>
    <t>Summer Teacher Salary / FTE</t>
  </si>
  <si>
    <t>Summer Teacher Coord. Salary / FTE</t>
  </si>
  <si>
    <t>Clinician Salary / FTE</t>
  </si>
  <si>
    <t>Clinician</t>
  </si>
  <si>
    <t>DC WORKER ADD-ON RATE</t>
  </si>
  <si>
    <t>DC Worker Salary / FTE</t>
  </si>
  <si>
    <t>Capacity</t>
  </si>
  <si>
    <t>Rounded Up:</t>
  </si>
  <si>
    <t>CRJ</t>
  </si>
  <si>
    <t>Somerville Transition</t>
  </si>
  <si>
    <t>Somerville</t>
  </si>
  <si>
    <t>2006-08</t>
  </si>
  <si>
    <t>Residential / Revocation</t>
  </si>
  <si>
    <t>CALCULATIONS:</t>
  </si>
  <si>
    <t>W. AVG:</t>
  </si>
  <si>
    <t>AVERAGE</t>
  </si>
  <si>
    <t>Provider Leased</t>
  </si>
  <si>
    <t>Leased Apts.</t>
  </si>
  <si>
    <t>Leased w/ Apts.</t>
  </si>
  <si>
    <t>AVG:</t>
  </si>
  <si>
    <t>MED:</t>
  </si>
  <si>
    <t>19-22</t>
  </si>
  <si>
    <t>Capacity Level F</t>
  </si>
  <si>
    <t xml:space="preserve"> </t>
  </si>
  <si>
    <t>Level A</t>
  </si>
  <si>
    <t>Level B</t>
  </si>
  <si>
    <t>DC Worker</t>
  </si>
  <si>
    <t>12-14</t>
  </si>
  <si>
    <t>15-17</t>
  </si>
  <si>
    <t>Salary</t>
  </si>
  <si>
    <t>Expense</t>
  </si>
  <si>
    <t>5-11</t>
  </si>
  <si>
    <t>Relief %</t>
  </si>
  <si>
    <t>TOTAL STAFF No Teachers $ (SUBTOTAL ONLY)</t>
  </si>
  <si>
    <t>114 DIETICIAN/ NUTRITIONIST/ RN2</t>
  </si>
  <si>
    <t>TOTAL AGENCY ALLOCATION3</t>
  </si>
  <si>
    <t>Ownership4</t>
  </si>
  <si>
    <t>Tax &amp; Frindge EXC TEACHERS</t>
  </si>
  <si>
    <t>SUBTOTAL EXC TEACHERS</t>
  </si>
  <si>
    <t>Originally Reported Total TEACHER salary $</t>
  </si>
  <si>
    <t>TOTAL STAFF COSTS EXC orginally reported TEACHERS</t>
  </si>
  <si>
    <t>Originally reported TEACHER Tax &amp; Fringe</t>
  </si>
  <si>
    <t>AGENCY ALLOCATION % of Direct Costs</t>
  </si>
  <si>
    <t>wt avg</t>
  </si>
  <si>
    <t>Calculated daily rate (exc Ed costs)</t>
  </si>
  <si>
    <t>Calculated Unit Cost at 100% Utilization:</t>
  </si>
  <si>
    <t>DYS</t>
  </si>
  <si>
    <t>CLINICAL ADD-ON RATE (A)</t>
  </si>
  <si>
    <t>CLINICAL ADD-ON RATE (B)</t>
  </si>
  <si>
    <t>Outliers Removed</t>
  </si>
  <si>
    <t>stdev</t>
  </si>
  <si>
    <t>+2SD</t>
  </si>
  <si>
    <t>-2SD</t>
  </si>
  <si>
    <t>MIN:</t>
  </si>
  <si>
    <t>MAX:</t>
  </si>
  <si>
    <t>OTLR MAX:</t>
  </si>
  <si>
    <t>Median</t>
  </si>
  <si>
    <t>FLIPPED</t>
  </si>
  <si>
    <t>Direct Care Support Staffing</t>
  </si>
  <si>
    <t>Total Reimb. Exp. excl. M &amp; G</t>
  </si>
  <si>
    <t>Expenseense</t>
  </si>
  <si>
    <t>Agency Allocation % of Total Budget</t>
  </si>
  <si>
    <t>Direct Staff Related Expenses %</t>
  </si>
  <si>
    <t>Other Program Expenses %</t>
  </si>
  <si>
    <t>Calc daily rate</t>
  </si>
  <si>
    <t>Utilization</t>
  </si>
  <si>
    <t>WITH CAF:</t>
  </si>
  <si>
    <t>To cover 2 weekend days</t>
  </si>
  <si>
    <t>average client-staff ratios</t>
  </si>
  <si>
    <t>23-25</t>
  </si>
  <si>
    <t>Total FTEs</t>
  </si>
  <si>
    <t>Ratio</t>
  </si>
  <si>
    <t>Exp.Salary</t>
  </si>
  <si>
    <t>Clinical Director</t>
  </si>
  <si>
    <t>Clinicians</t>
  </si>
  <si>
    <t>Weighted AVG</t>
  </si>
  <si>
    <t>DC Staff</t>
  </si>
  <si>
    <t>DC Staffs</t>
  </si>
  <si>
    <t>Supervisory Staffs</t>
  </si>
  <si>
    <t>Ratio (3:1)</t>
  </si>
  <si>
    <t>Weighted Avg</t>
  </si>
  <si>
    <t>.</t>
  </si>
  <si>
    <t xml:space="preserve">*Columns filled with purple are the rates or FTEs that were updated as original proposed rates. </t>
  </si>
  <si>
    <t>2016 Review
CAF added</t>
  </si>
  <si>
    <t>2018 Review
CAF added</t>
  </si>
  <si>
    <t>Dept</t>
  </si>
  <si>
    <t>Code</t>
  </si>
  <si>
    <t>FY17 
Anticipated Spend</t>
  </si>
  <si>
    <t>Rate Review CAF</t>
  </si>
  <si>
    <t>Projected Spend 
Annualized</t>
  </si>
  <si>
    <t>FY18 Spend 
rates eff. 1/1/18</t>
  </si>
  <si>
    <t>Rebased with prior CAFs</t>
  </si>
  <si>
    <t>rebased with prior CAFs</t>
  </si>
  <si>
    <t>Rate</t>
  </si>
  <si>
    <t>Fiscal Impact</t>
  </si>
  <si>
    <t>Document ID</t>
  </si>
  <si>
    <t>Encumbered</t>
  </si>
  <si>
    <t>INTERMEDIATE</t>
  </si>
  <si>
    <t>2501</t>
  </si>
  <si>
    <t>2503</t>
  </si>
  <si>
    <t>2505</t>
  </si>
  <si>
    <t>2506</t>
  </si>
  <si>
    <t>2516</t>
  </si>
  <si>
    <t>SCDYS910215140563016</t>
  </si>
  <si>
    <t>SCDYS910716160663020</t>
  </si>
  <si>
    <t>SCDYS910813120363016</t>
  </si>
  <si>
    <t>SCDYS911013120306316</t>
  </si>
  <si>
    <t>SCDYS912513120363016</t>
  </si>
  <si>
    <t>SCDYS920413120363016</t>
  </si>
  <si>
    <t>SCDYS921013120363016</t>
  </si>
  <si>
    <t>SCDYS921313120363016</t>
  </si>
  <si>
    <t>SCDYS921613120363016</t>
  </si>
  <si>
    <t>SCDYS925216160663020</t>
  </si>
  <si>
    <t>SCDYS930614143063016</t>
  </si>
  <si>
    <t>SCDYS932214144063016</t>
  </si>
  <si>
    <t>SCDYS933016160863018</t>
  </si>
  <si>
    <t>SCDYS935316160663020</t>
  </si>
  <si>
    <t>SCDYS941116160663019</t>
  </si>
  <si>
    <t>SCDYS941713120363016</t>
  </si>
  <si>
    <t>SCDYS942514141763016</t>
  </si>
  <si>
    <t>SCDYS950213120363016</t>
  </si>
  <si>
    <t>SCDYS952114141763016</t>
  </si>
  <si>
    <t>SCDYS955213120363016</t>
  </si>
  <si>
    <t>SCDYS955313120363016</t>
  </si>
  <si>
    <t>SCDYS955513120363016</t>
  </si>
  <si>
    <t>SCDYS956014143063016</t>
  </si>
  <si>
    <t>SCDYS957213120463016</t>
  </si>
  <si>
    <t>2018 CAF</t>
  </si>
  <si>
    <t>annualized</t>
  </si>
  <si>
    <t>due to DYS for implementation date January 2018 (1/2 year)</t>
  </si>
  <si>
    <t>Consolidated Fiscal Impact</t>
  </si>
  <si>
    <t>Above</t>
  </si>
  <si>
    <t>Massachusetts Economic Indicators</t>
  </si>
  <si>
    <t>Prepared by Michael Lynch, 781-301-9129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</si>
  <si>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</si>
  <si>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</si>
  <si>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</si>
  <si>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</si>
  <si>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</si>
  <si>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</si>
  <si>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</si>
  <si>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</si>
  <si>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</si>
  <si>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</si>
  <si>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</si>
  <si>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</si>
  <si>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</si>
  <si>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</si>
  <si>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</si>
  <si>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</si>
  <si>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</si>
  <si>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</si>
  <si>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</si>
  <si>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</si>
  <si>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</si>
  <si>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</si>
  <si>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</si>
  <si>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</si>
  <si>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</si>
  <si>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</si>
  <si>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</si>
  <si>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</si>
  <si>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</si>
  <si>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</si>
  <si>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</si>
  <si>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</si>
  <si>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</si>
  <si>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</si>
  <si>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</si>
  <si>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</si>
  <si>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</si>
  <si>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</si>
  <si>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</si>
  <si>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</si>
  <si>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</si>
  <si>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</si>
  <si>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</si>
  <si>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</si>
  <si>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</si>
  <si>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</si>
  <si>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</si>
  <si>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</si>
  <si>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</si>
  <si>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</si>
  <si>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</si>
  <si>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</si>
  <si>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</si>
  <si>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</si>
  <si>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</si>
  <si>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</si>
  <si>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</si>
  <si>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</si>
  <si>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</si>
  <si>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</si>
  <si>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</si>
  <si>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</si>
  <si>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</si>
  <si>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</si>
  <si>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</si>
  <si>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</si>
  <si>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</si>
  <si>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</si>
  <si>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</si>
  <si>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</si>
  <si>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</si>
  <si>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</si>
  <si>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</si>
  <si>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</si>
  <si>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2022Q3</t>
  </si>
  <si>
    <t>2022Q4</t>
  </si>
  <si>
    <t>2023Q1</t>
  </si>
  <si>
    <t>2023Q2</t>
  </si>
  <si>
    <t>2023Q3</t>
  </si>
  <si>
    <t>2023Q4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</si>
  <si>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</si>
  <si>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</si>
  <si>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</si>
  <si>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</si>
  <si>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</si>
  <si>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</si>
  <si>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</si>
  <si>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</si>
  <si>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</si>
  <si>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>FY20Q2</t>
  </si>
  <si>
    <t>Average</t>
  </si>
  <si>
    <t xml:space="preserve">Prospective rate period: </t>
  </si>
  <si>
    <t>CAF:</t>
  </si>
  <si>
    <t>PFMLA Trust Contribution</t>
  </si>
  <si>
    <t>Effective 7/1/19</t>
  </si>
  <si>
    <t>PFLMA Trust Contribution</t>
  </si>
  <si>
    <t>Current Rates effective 1/1/16 - 12/31/17</t>
  </si>
  <si>
    <t>Rate Review Rates Effective 1/1/18 - 12/31/19</t>
  </si>
  <si>
    <t>ADJUDICATED YOUTH RESIDENTIAL TREATMENT BASE RATES</t>
  </si>
  <si>
    <t>Utilization %</t>
  </si>
  <si>
    <t># of Clients:</t>
  </si>
  <si>
    <t>STATE OWNED – CO-LOCATED</t>
  </si>
  <si>
    <t>Intensive Trans. Indep. Living (A)</t>
  </si>
  <si>
    <t>Trans. Indep. Living (B)</t>
  </si>
  <si>
    <t>ADJUDICATED YOUTH RESIDENTIAL TREATMENT RATES FOR HIGHER NEED</t>
  </si>
  <si>
    <r>
      <t xml:space="preserve">ADJUDICATED YOUTH RESIDENTIAL TREATMENT ADD-ON RATES - </t>
    </r>
    <r>
      <rPr>
        <i/>
        <sz val="11"/>
        <rFont val="Times New Roman"/>
        <family val="1"/>
      </rPr>
      <t>Per Diem</t>
    </r>
  </si>
  <si>
    <t>FTE Amount: 0.5</t>
  </si>
  <si>
    <t>FTE Amount: 1.0</t>
  </si>
  <si>
    <t>FTE Amount:  0.5</t>
  </si>
  <si>
    <t>FTE Amount:  1.0</t>
  </si>
  <si>
    <t>ADJUDICATED YOUTH RESIDENTIAL TREATMENT ADD-ON RATES - Per Diem</t>
  </si>
  <si>
    <t>Rate Review Rates Effective 1/1/20- 12/31/21</t>
  </si>
  <si>
    <t>IHS Markit, Spring 2019 Forecast</t>
  </si>
  <si>
    <t>FY17</t>
  </si>
  <si>
    <t>FY18</t>
  </si>
  <si>
    <t>2021Q1</t>
  </si>
  <si>
    <t>2021Q2</t>
  </si>
  <si>
    <t>2021Q3</t>
  </si>
  <si>
    <t>2021Q4</t>
  </si>
  <si>
    <t>2022Q1</t>
  </si>
  <si>
    <t>2022Q2</t>
  </si>
  <si>
    <t>Assumption for Rate Reviews that are to be promulgated  XXXX</t>
  </si>
  <si>
    <t>1/1/20 - 12/31/21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</si>
</sst>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"/>
    <numFmt numFmtId="166" formatCode="#,##0.0_);\(#,##0.0\)"/>
    <numFmt numFmtId="167" formatCode="\$#,##0.00"/>
    <numFmt numFmtId="168" formatCode="0.0%"/>
    <numFmt numFmtId="169" formatCode="0.000"/>
    <numFmt numFmtId="170" formatCode="m/d/yy;@"/>
    <numFmt numFmtId="171" formatCode="_(&quot;$&quot;* #,##0_);_(&quot;$&quot;* \(#,##0\);_(&quot;$&quot;* &quot;-&quot;??_);_(@_)"/>
    <numFmt numFmtId="173" formatCode="&quot;$&quot;#,##0.00"/>
  </numFmts>
  <fonts count="46" x14ac:knownFonts="1">
    <font>
      <sz val="11"/>
      <name val="Arial"/>
    </font>
    <font>
      <sz val="11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5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name val="Times New Roman"/>
      <family val="1"/>
    </font>
    <font>
      <sz val="12"/>
      <name val="Courier New"/>
      <family val="3"/>
    </font>
    <font>
      <sz val="11"/>
      <name val="Courier New"/>
      <family val="3"/>
    </font>
    <font>
      <i/>
      <sz val="11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trike/>
      <sz val="10"/>
      <color rgb="FFFF0000"/>
      <name val="Arial"/>
      <family val="2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47"/>
        <bgColor indexed="0"/>
      </patternFill>
    </fill>
    <fill>
      <patternFill patternType="solid">
        <fgColor indexed="41"/>
        <bgColor indexed="0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double">
        <color indexed="5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7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19" fillId="0" borderId="0"/>
    <xf numFmtId="0" fontId="35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1167">
    <xf numFmtId="0" fontId="0" fillId="0" borderId="0" xfId="0"/>
    <xf numFmtId="0" fontId="4" fillId="0" borderId="0" xfId="23" applyFont="1" applyFill="1" applyBorder="1" applyAlignment="1">
      <alignment wrapText="1"/>
    </xf>
    <xf numFmtId="0" fontId="8" fillId="0" borderId="0" xfId="23" applyFont="1" applyFill="1" applyBorder="1" applyAlignment="1" applyProtection="1">
      <protection locked="0"/>
    </xf>
    <xf numFmtId="0" fontId="8" fillId="0" borderId="0" xfId="23" applyNumberFormat="1" applyFont="1" applyFill="1" applyBorder="1" applyAlignment="1" applyProtection="1">
      <alignment horizontal="center"/>
      <protection locked="0"/>
    </xf>
    <xf numFmtId="0" fontId="2" fillId="0" borderId="0" xfId="23"/>
    <xf numFmtId="49" fontId="8" fillId="0" borderId="0" xfId="23" applyNumberFormat="1" applyFont="1" applyFill="1" applyBorder="1" applyAlignment="1" applyProtection="1">
      <alignment horizontal="center"/>
      <protection locked="0"/>
    </xf>
    <xf numFmtId="170" fontId="8" fillId="0" borderId="0" xfId="23" applyNumberFormat="1" applyFont="1" applyFill="1" applyBorder="1" applyAlignment="1" applyProtection="1">
      <alignment horizontal="center"/>
      <protection locked="0"/>
    </xf>
    <xf numFmtId="1" fontId="8" fillId="0" borderId="0" xfId="23" applyNumberFormat="1" applyFont="1" applyFill="1" applyBorder="1" applyAlignment="1" applyProtection="1">
      <alignment horizontal="center"/>
      <protection locked="0"/>
    </xf>
    <xf numFmtId="37" fontId="8" fillId="0" borderId="0" xfId="1" applyNumberFormat="1" applyFont="1" applyFill="1" applyBorder="1" applyAlignment="1" applyProtection="1">
      <alignment horizontal="center"/>
    </xf>
    <xf numFmtId="44" fontId="8" fillId="0" borderId="0" xfId="6" applyFont="1" applyFill="1" applyBorder="1" applyAlignment="1" applyProtection="1">
      <alignment horizontal="center"/>
    </xf>
    <xf numFmtId="44" fontId="8" fillId="0" borderId="0" xfId="6" applyFont="1" applyFill="1" applyBorder="1" applyAlignment="1" applyProtection="1">
      <alignment horizontal="center"/>
      <protection locked="0"/>
    </xf>
    <xf numFmtId="9" fontId="8" fillId="0" borderId="0" xfId="26" applyFont="1" applyFill="1" applyBorder="1" applyAlignment="1" applyProtection="1">
      <alignment horizontal="center"/>
      <protection locked="0"/>
    </xf>
    <xf numFmtId="3" fontId="8" fillId="0" borderId="0" xfId="26" applyNumberFormat="1" applyFont="1" applyFill="1" applyBorder="1" applyAlignment="1" applyProtection="1">
      <alignment horizontal="center"/>
    </xf>
    <xf numFmtId="2" fontId="8" fillId="0" borderId="0" xfId="23" applyNumberFormat="1" applyFont="1" applyFill="1" applyBorder="1" applyAlignment="1" applyProtection="1">
      <alignment horizontal="center"/>
    </xf>
    <xf numFmtId="2" fontId="8" fillId="0" borderId="0" xfId="6" applyNumberFormat="1" applyFont="1" applyFill="1" applyBorder="1" applyAlignment="1" applyProtection="1">
      <alignment horizontal="center"/>
    </xf>
    <xf numFmtId="44" fontId="8" fillId="0" borderId="0" xfId="6" applyFont="1" applyFill="1" applyBorder="1" applyAlignment="1" applyProtection="1"/>
    <xf numFmtId="44" fontId="8" fillId="0" borderId="0" xfId="23" applyNumberFormat="1" applyFont="1" applyFill="1" applyBorder="1" applyAlignment="1"/>
    <xf numFmtId="9" fontId="8" fillId="0" borderId="0" xfId="26" applyFont="1" applyFill="1" applyBorder="1" applyAlignment="1" applyProtection="1">
      <alignment horizontal="center"/>
    </xf>
    <xf numFmtId="44" fontId="8" fillId="0" borderId="0" xfId="6" applyFont="1" applyFill="1" applyBorder="1" applyAlignment="1" applyProtection="1">
      <protection locked="0"/>
    </xf>
    <xf numFmtId="9" fontId="8" fillId="0" borderId="0" xfId="26" applyFont="1" applyFill="1" applyBorder="1" applyAlignment="1">
      <alignment horizontal="center"/>
    </xf>
    <xf numFmtId="168" fontId="8" fillId="0" borderId="0" xfId="26" applyNumberFormat="1" applyFont="1" applyFill="1" applyBorder="1" applyAlignment="1">
      <alignment horizontal="center"/>
    </xf>
    <xf numFmtId="9" fontId="8" fillId="0" borderId="0" xfId="23" applyNumberFormat="1" applyFont="1" applyFill="1" applyBorder="1" applyAlignment="1"/>
    <xf numFmtId="39" fontId="8" fillId="0" borderId="0" xfId="23" applyNumberFormat="1" applyFont="1" applyFill="1" applyBorder="1" applyAlignment="1"/>
    <xf numFmtId="4" fontId="8" fillId="0" borderId="0" xfId="23" applyNumberFormat="1" applyFont="1" applyFill="1" applyBorder="1" applyAlignment="1"/>
    <xf numFmtId="0" fontId="8" fillId="0" borderId="0" xfId="23" applyFont="1" applyFill="1" applyBorder="1" applyAlignment="1"/>
    <xf numFmtId="1" fontId="8" fillId="2" borderId="0" xfId="23" applyNumberFormat="1" applyFont="1" applyFill="1" applyBorder="1" applyAlignment="1" applyProtection="1">
      <alignment horizontal="center"/>
      <protection locked="0"/>
    </xf>
    <xf numFmtId="2" fontId="8" fillId="0" borderId="0" xfId="23" applyNumberFormat="1" applyFont="1" applyFill="1" applyBorder="1" applyAlignment="1" applyProtection="1">
      <alignment horizontal="center"/>
      <protection locked="0"/>
    </xf>
    <xf numFmtId="2" fontId="8" fillId="0" borderId="0" xfId="6" applyNumberFormat="1" applyFont="1" applyFill="1" applyBorder="1" applyAlignment="1" applyProtection="1">
      <alignment horizontal="center"/>
      <protection locked="0"/>
    </xf>
    <xf numFmtId="44" fontId="8" fillId="0" borderId="0" xfId="6" applyFont="1" applyFill="1" applyBorder="1" applyAlignment="1"/>
    <xf numFmtId="170" fontId="8" fillId="0" borderId="0" xfId="23" applyNumberFormat="1" applyFont="1" applyFill="1" applyBorder="1" applyAlignment="1">
      <alignment horizontal="center"/>
    </xf>
    <xf numFmtId="1" fontId="8" fillId="0" borderId="0" xfId="23" applyNumberFormat="1" applyFont="1" applyFill="1" applyBorder="1" applyAlignment="1">
      <alignment horizontal="center"/>
    </xf>
    <xf numFmtId="44" fontId="8" fillId="0" borderId="0" xfId="6" applyFont="1" applyFill="1" applyBorder="1" applyAlignment="1">
      <alignment horizontal="center"/>
    </xf>
    <xf numFmtId="0" fontId="4" fillId="0" borderId="0" xfId="23" applyFont="1" applyFill="1" applyBorder="1" applyAlignment="1" applyProtection="1">
      <protection locked="0"/>
    </xf>
    <xf numFmtId="0" fontId="8" fillId="0" borderId="0" xfId="23" applyFont="1" applyFill="1" applyBorder="1"/>
    <xf numFmtId="0" fontId="8" fillId="0" borderId="0" xfId="23" applyFont="1" applyFill="1" applyBorder="1" applyAlignment="1">
      <alignment wrapText="1"/>
    </xf>
    <xf numFmtId="170" fontId="8" fillId="0" borderId="0" xfId="23" applyNumberFormat="1" applyFont="1" applyFill="1" applyBorder="1" applyAlignment="1">
      <alignment horizontal="center" wrapText="1"/>
    </xf>
    <xf numFmtId="1" fontId="8" fillId="0" borderId="0" xfId="23" applyNumberFormat="1" applyFont="1" applyFill="1" applyBorder="1" applyAlignment="1">
      <alignment horizontal="center" wrapText="1"/>
    </xf>
    <xf numFmtId="44" fontId="8" fillId="0" borderId="0" xfId="6" applyFont="1" applyFill="1" applyBorder="1" applyAlignment="1">
      <alignment horizontal="center" wrapText="1"/>
    </xf>
    <xf numFmtId="9" fontId="8" fillId="0" borderId="0" xfId="26" applyFont="1" applyFill="1" applyBorder="1" applyAlignment="1">
      <alignment horizontal="center" wrapText="1"/>
    </xf>
    <xf numFmtId="2" fontId="8" fillId="0" borderId="0" xfId="23" applyNumberFormat="1" applyFont="1" applyFill="1" applyBorder="1" applyAlignment="1">
      <alignment horizontal="center" wrapText="1"/>
    </xf>
    <xf numFmtId="2" fontId="8" fillId="0" borderId="0" xfId="6" applyNumberFormat="1" applyFont="1" applyFill="1" applyBorder="1" applyAlignment="1">
      <alignment horizontal="center" wrapText="1"/>
    </xf>
    <xf numFmtId="44" fontId="8" fillId="0" borderId="0" xfId="23" applyNumberFormat="1" applyFont="1" applyFill="1" applyBorder="1"/>
    <xf numFmtId="10" fontId="8" fillId="0" borderId="0" xfId="26" applyNumberFormat="1" applyFont="1" applyFill="1" applyBorder="1" applyAlignment="1">
      <alignment horizontal="center" wrapText="1"/>
    </xf>
    <xf numFmtId="44" fontId="8" fillId="0" borderId="0" xfId="6" applyFont="1" applyFill="1" applyBorder="1" applyAlignment="1">
      <alignment wrapText="1"/>
    </xf>
    <xf numFmtId="0" fontId="4" fillId="0" borderId="0" xfId="23" applyFont="1" applyFill="1" applyBorder="1" applyAlignment="1">
      <alignment horizontal="center" wrapText="1"/>
    </xf>
    <xf numFmtId="9" fontId="4" fillId="0" borderId="0" xfId="26" applyFont="1" applyFill="1" applyBorder="1" applyAlignment="1">
      <alignment horizontal="center" wrapText="1"/>
    </xf>
    <xf numFmtId="42" fontId="4" fillId="0" borderId="0" xfId="23" applyNumberFormat="1" applyFont="1" applyFill="1" applyBorder="1" applyAlignment="1" applyProtection="1">
      <alignment horizontal="center" wrapText="1"/>
    </xf>
    <xf numFmtId="42" fontId="8" fillId="0" borderId="0" xfId="6" applyNumberFormat="1" applyFont="1" applyFill="1" applyBorder="1" applyAlignment="1" applyProtection="1">
      <alignment horizontal="center"/>
      <protection locked="0"/>
    </xf>
    <xf numFmtId="42" fontId="8" fillId="0" borderId="0" xfId="26" applyNumberFormat="1" applyFont="1" applyFill="1" applyBorder="1" applyAlignment="1" applyProtection="1">
      <alignment horizontal="center"/>
      <protection locked="0"/>
    </xf>
    <xf numFmtId="42" fontId="8" fillId="0" borderId="0" xfId="23" applyNumberFormat="1" applyFont="1" applyFill="1" applyBorder="1" applyAlignment="1" applyProtection="1">
      <alignment horizontal="center"/>
    </xf>
    <xf numFmtId="42" fontId="8" fillId="0" borderId="0" xfId="6" applyNumberFormat="1" applyFont="1" applyFill="1" applyBorder="1" applyAlignment="1" applyProtection="1">
      <alignment horizontal="center"/>
    </xf>
    <xf numFmtId="42" fontId="8" fillId="0" borderId="0" xfId="6" applyNumberFormat="1" applyFont="1" applyFill="1" applyBorder="1" applyAlignment="1" applyProtection="1"/>
    <xf numFmtId="4" fontId="4" fillId="0" borderId="0" xfId="23" applyNumberFormat="1" applyFont="1" applyFill="1" applyBorder="1" applyAlignment="1" applyProtection="1">
      <alignment horizontal="center" wrapText="1"/>
    </xf>
    <xf numFmtId="4" fontId="8" fillId="0" borderId="0" xfId="6" applyNumberFormat="1" applyFont="1" applyFill="1" applyBorder="1" applyAlignment="1" applyProtection="1">
      <alignment horizontal="center"/>
      <protection locked="0"/>
    </xf>
    <xf numFmtId="4" fontId="8" fillId="0" borderId="0" xfId="26" applyNumberFormat="1" applyFont="1" applyFill="1" applyBorder="1" applyAlignment="1" applyProtection="1">
      <alignment horizontal="center"/>
    </xf>
    <xf numFmtId="4" fontId="8" fillId="0" borderId="0" xfId="23" applyNumberFormat="1" applyFont="1" applyFill="1" applyBorder="1" applyAlignment="1" applyProtection="1">
      <alignment horizontal="center"/>
    </xf>
    <xf numFmtId="4" fontId="8" fillId="0" borderId="0" xfId="6" applyNumberFormat="1" applyFont="1" applyFill="1" applyBorder="1" applyAlignment="1" applyProtection="1">
      <alignment horizontal="center"/>
    </xf>
    <xf numFmtId="4" fontId="8" fillId="0" borderId="0" xfId="6" applyNumberFormat="1" applyFont="1" applyFill="1" applyBorder="1" applyAlignment="1" applyProtection="1"/>
    <xf numFmtId="0" fontId="8" fillId="0" borderId="0" xfId="23" applyNumberFormat="1" applyFont="1" applyFill="1" applyBorder="1" applyAlignment="1" applyProtection="1">
      <alignment horizontal="left"/>
      <protection locked="0"/>
    </xf>
    <xf numFmtId="14" fontId="8" fillId="0" borderId="0" xfId="23" applyNumberFormat="1" applyFont="1" applyFill="1" applyBorder="1" applyAlignment="1" applyProtection="1">
      <alignment horizontal="center"/>
      <protection locked="0"/>
    </xf>
    <xf numFmtId="0" fontId="2" fillId="0" borderId="0" xfId="23" applyNumberFormat="1" applyAlignment="1">
      <alignment horizontal="center"/>
    </xf>
    <xf numFmtId="0" fontId="8" fillId="0" borderId="0" xfId="23" applyFont="1" applyFill="1" applyBorder="1" applyAlignment="1" applyProtection="1">
      <alignment horizontal="left"/>
      <protection locked="0"/>
    </xf>
    <xf numFmtId="0" fontId="8" fillId="0" borderId="0" xfId="23" applyFont="1" applyFill="1" applyBorder="1" applyAlignment="1">
      <alignment horizontal="left"/>
    </xf>
    <xf numFmtId="4" fontId="8" fillId="2" borderId="0" xfId="23" applyNumberFormat="1" applyFont="1" applyFill="1" applyBorder="1" applyAlignment="1" applyProtection="1">
      <alignment horizontal="center"/>
    </xf>
    <xf numFmtId="42" fontId="8" fillId="0" borderId="0" xfId="23" applyNumberFormat="1" applyFont="1" applyFill="1" applyBorder="1" applyAlignment="1"/>
    <xf numFmtId="42" fontId="8" fillId="0" borderId="0" xfId="6" applyNumberFormat="1" applyFont="1" applyFill="1" applyBorder="1" applyAlignment="1" applyProtection="1">
      <protection locked="0"/>
    </xf>
    <xf numFmtId="42" fontId="8" fillId="0" borderId="0" xfId="6" applyNumberFormat="1" applyFont="1" applyFill="1" applyBorder="1" applyAlignment="1">
      <alignment horizontal="center" wrapText="1"/>
    </xf>
    <xf numFmtId="42" fontId="8" fillId="0" borderId="0" xfId="26" applyNumberFormat="1" applyFont="1" applyFill="1" applyBorder="1" applyAlignment="1" applyProtection="1">
      <alignment horizontal="center"/>
    </xf>
    <xf numFmtId="42" fontId="8" fillId="0" borderId="0" xfId="6" applyNumberFormat="1" applyFont="1" applyFill="1" applyBorder="1" applyAlignment="1"/>
    <xf numFmtId="9" fontId="8" fillId="0" borderId="0" xfId="26" applyFont="1" applyFill="1" applyBorder="1"/>
    <xf numFmtId="42" fontId="8" fillId="2" borderId="0" xfId="6" applyNumberFormat="1" applyFont="1" applyFill="1" applyBorder="1" applyAlignment="1" applyProtection="1"/>
    <xf numFmtId="0" fontId="4" fillId="0" borderId="0" xfId="0" applyFont="1" applyFill="1"/>
    <xf numFmtId="0" fontId="8" fillId="0" borderId="0" xfId="0" applyFont="1"/>
    <xf numFmtId="0" fontId="8" fillId="0" borderId="0" xfId="0" applyFont="1" applyBorder="1"/>
    <xf numFmtId="0" fontId="11" fillId="0" borderId="0" xfId="0" applyFont="1" applyFill="1" applyBorder="1"/>
    <xf numFmtId="164" fontId="8" fillId="0" borderId="0" xfId="0" applyNumberFormat="1" applyFont="1"/>
    <xf numFmtId="1" fontId="8" fillId="0" borderId="0" xfId="0" applyNumberFormat="1" applyFont="1"/>
    <xf numFmtId="164" fontId="8" fillId="0" borderId="0" xfId="0" applyNumberFormat="1" applyFont="1" applyBorder="1"/>
    <xf numFmtId="0" fontId="11" fillId="0" borderId="0" xfId="0" applyFont="1"/>
    <xf numFmtId="0" fontId="4" fillId="0" borderId="1" xfId="0" applyFont="1" applyBorder="1"/>
    <xf numFmtId="164" fontId="4" fillId="0" borderId="2" xfId="0" applyNumberFormat="1" applyFont="1" applyBorder="1" applyAlignment="1">
      <alignment horizontal="center"/>
    </xf>
    <xf numFmtId="1" fontId="12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/>
    <xf numFmtId="164" fontId="8" fillId="0" borderId="3" xfId="0" applyNumberFormat="1" applyFont="1" applyBorder="1"/>
    <xf numFmtId="0" fontId="4" fillId="3" borderId="4" xfId="0" applyFont="1" applyFill="1" applyBorder="1"/>
    <xf numFmtId="0" fontId="8" fillId="0" borderId="5" xfId="0" applyFont="1" applyBorder="1"/>
    <xf numFmtId="0" fontId="8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/>
    <xf numFmtId="165" fontId="8" fillId="0" borderId="6" xfId="0" applyNumberFormat="1" applyFont="1" applyBorder="1"/>
    <xf numFmtId="164" fontId="4" fillId="0" borderId="0" xfId="0" applyNumberFormat="1" applyFont="1" applyAlignment="1">
      <alignment horizontal="center"/>
    </xf>
    <xf numFmtId="1" fontId="4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Border="1"/>
    <xf numFmtId="0" fontId="4" fillId="0" borderId="0" xfId="0" applyFont="1" applyAlignment="1">
      <alignment horizontal="right"/>
    </xf>
    <xf numFmtId="16" fontId="12" fillId="0" borderId="0" xfId="0" quotePrefix="1" applyNumberFormat="1" applyFont="1" applyFill="1" applyBorder="1"/>
    <xf numFmtId="164" fontId="4" fillId="0" borderId="0" xfId="0" applyNumberFormat="1" applyFont="1" applyAlignment="1">
      <alignment horizontal="right"/>
    </xf>
    <xf numFmtId="1" fontId="12" fillId="0" borderId="0" xfId="0" applyNumberFormat="1" applyFont="1" applyFill="1" applyBorder="1"/>
    <xf numFmtId="3" fontId="4" fillId="0" borderId="0" xfId="0" applyNumberFormat="1" applyFont="1"/>
    <xf numFmtId="3" fontId="4" fillId="0" borderId="0" xfId="0" applyNumberFormat="1" applyFont="1" applyBorder="1"/>
    <xf numFmtId="0" fontId="12" fillId="0" borderId="0" xfId="0" quotePrefix="1" applyFont="1" applyFill="1" applyBorder="1"/>
    <xf numFmtId="0" fontId="4" fillId="0" borderId="0" xfId="0" applyFont="1"/>
    <xf numFmtId="0" fontId="12" fillId="0" borderId="0" xfId="0" applyFont="1" applyFill="1" applyBorder="1"/>
    <xf numFmtId="164" fontId="8" fillId="0" borderId="6" xfId="0" applyNumberFormat="1" applyFont="1" applyBorder="1"/>
    <xf numFmtId="0" fontId="8" fillId="0" borderId="7" xfId="0" applyFont="1" applyBorder="1"/>
    <xf numFmtId="0" fontId="8" fillId="0" borderId="8" xfId="0" applyFont="1" applyFill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/>
    <xf numFmtId="165" fontId="4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164" fontId="5" fillId="0" borderId="0" xfId="0" applyNumberFormat="1" applyFont="1" applyBorder="1"/>
    <xf numFmtId="0" fontId="8" fillId="0" borderId="9" xfId="0" applyFont="1" applyBorder="1"/>
    <xf numFmtId="0" fontId="8" fillId="0" borderId="10" xfId="0" applyFont="1" applyFill="1" applyBorder="1" applyAlignment="1">
      <alignment horizontal="right"/>
    </xf>
    <xf numFmtId="168" fontId="8" fillId="0" borderId="10" xfId="26" applyNumberFormat="1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164" fontId="8" fillId="0" borderId="0" xfId="0" applyNumberFormat="1" applyFont="1" applyAlignment="1">
      <alignment horizontal="right"/>
    </xf>
    <xf numFmtId="166" fontId="8" fillId="0" borderId="0" xfId="6" quotePrefix="1" applyNumberFormat="1" applyFont="1"/>
    <xf numFmtId="164" fontId="11" fillId="0" borderId="0" xfId="0" applyNumberFormat="1" applyFont="1"/>
    <xf numFmtId="2" fontId="8" fillId="0" borderId="0" xfId="0" applyNumberFormat="1" applyFont="1" applyFill="1"/>
    <xf numFmtId="0" fontId="8" fillId="0" borderId="0" xfId="0" applyFont="1" applyFill="1" applyBorder="1"/>
    <xf numFmtId="1" fontId="12" fillId="0" borderId="0" xfId="0" applyNumberFormat="1" applyFont="1" applyFill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164" fontId="5" fillId="0" borderId="12" xfId="0" applyNumberFormat="1" applyFont="1" applyBorder="1" applyAlignment="1">
      <alignment horizontal="center"/>
    </xf>
    <xf numFmtId="0" fontId="8" fillId="0" borderId="2" xfId="0" applyFont="1" applyBorder="1"/>
    <xf numFmtId="165" fontId="8" fillId="0" borderId="0" xfId="0" applyNumberFormat="1" applyFont="1" applyAlignment="1">
      <alignment horizontal="right"/>
    </xf>
    <xf numFmtId="2" fontId="8" fillId="0" borderId="0" xfId="0" applyNumberFormat="1" applyFont="1"/>
    <xf numFmtId="165" fontId="8" fillId="0" borderId="0" xfId="0" applyNumberFormat="1" applyFont="1"/>
    <xf numFmtId="164" fontId="4" fillId="0" borderId="5" xfId="0" applyNumberFormat="1" applyFont="1" applyBorder="1"/>
    <xf numFmtId="164" fontId="13" fillId="0" borderId="0" xfId="0" applyNumberFormat="1" applyFont="1" applyBorder="1"/>
    <xf numFmtId="0" fontId="8" fillId="0" borderId="6" xfId="0" applyFont="1" applyBorder="1"/>
    <xf numFmtId="165" fontId="4" fillId="0" borderId="5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2" fontId="4" fillId="0" borderId="13" xfId="0" applyNumberFormat="1" applyFont="1" applyBorder="1"/>
    <xf numFmtId="2" fontId="4" fillId="0" borderId="0" xfId="0" applyNumberFormat="1" applyFont="1" applyBorder="1"/>
    <xf numFmtId="164" fontId="8" fillId="0" borderId="5" xfId="0" applyNumberFormat="1" applyFont="1" applyBorder="1"/>
    <xf numFmtId="0" fontId="8" fillId="0" borderId="0" xfId="0" applyFont="1" applyFill="1"/>
    <xf numFmtId="0" fontId="11" fillId="0" borderId="0" xfId="0" applyFont="1" applyFill="1"/>
    <xf numFmtId="1" fontId="11" fillId="0" borderId="0" xfId="0" applyNumberFormat="1" applyFont="1"/>
    <xf numFmtId="164" fontId="11" fillId="0" borderId="0" xfId="0" applyNumberFormat="1" applyFont="1" applyBorder="1"/>
    <xf numFmtId="0" fontId="4" fillId="0" borderId="5" xfId="0" applyFont="1" applyBorder="1"/>
    <xf numFmtId="164" fontId="8" fillId="0" borderId="0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3" xfId="0" applyNumberFormat="1" applyFont="1" applyBorder="1"/>
    <xf numFmtId="2" fontId="8" fillId="0" borderId="13" xfId="0" applyNumberFormat="1" applyFont="1" applyFill="1" applyBorder="1"/>
    <xf numFmtId="164" fontId="5" fillId="0" borderId="13" xfId="0" applyNumberFormat="1" applyFont="1" applyBorder="1"/>
    <xf numFmtId="2" fontId="8" fillId="0" borderId="0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9" fontId="8" fillId="0" borderId="0" xfId="26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2" fontId="5" fillId="0" borderId="13" xfId="0" applyNumberFormat="1" applyFont="1" applyFill="1" applyBorder="1"/>
    <xf numFmtId="10" fontId="11" fillId="0" borderId="0" xfId="0" applyNumberFormat="1" applyFont="1" applyFill="1"/>
    <xf numFmtId="0" fontId="5" fillId="0" borderId="14" xfId="0" applyFont="1" applyBorder="1"/>
    <xf numFmtId="164" fontId="5" fillId="0" borderId="14" xfId="0" applyNumberFormat="1" applyFont="1" applyBorder="1"/>
    <xf numFmtId="2" fontId="5" fillId="0" borderId="14" xfId="0" applyNumberFormat="1" applyFont="1" applyBorder="1"/>
    <xf numFmtId="164" fontId="4" fillId="0" borderId="14" xfId="0" applyNumberFormat="1" applyFont="1" applyBorder="1"/>
    <xf numFmtId="2" fontId="5" fillId="0" borderId="0" xfId="0" applyNumberFormat="1" applyFont="1"/>
    <xf numFmtId="165" fontId="8" fillId="0" borderId="5" xfId="0" applyNumberFormat="1" applyFont="1" applyBorder="1"/>
    <xf numFmtId="167" fontId="10" fillId="0" borderId="0" xfId="0" applyNumberFormat="1" applyFont="1"/>
    <xf numFmtId="167" fontId="10" fillId="0" borderId="0" xfId="0" applyNumberFormat="1" applyFont="1" applyBorder="1"/>
    <xf numFmtId="167" fontId="8" fillId="0" borderId="0" xfId="0" applyNumberFormat="1" applyFont="1" applyBorder="1"/>
    <xf numFmtId="167" fontId="4" fillId="0" borderId="0" xfId="0" applyNumberFormat="1" applyFont="1"/>
    <xf numFmtId="167" fontId="14" fillId="0" borderId="0" xfId="0" applyNumberFormat="1" applyFont="1" applyBorder="1"/>
    <xf numFmtId="10" fontId="8" fillId="0" borderId="0" xfId="0" applyNumberFormat="1" applyFont="1" applyBorder="1"/>
    <xf numFmtId="0" fontId="5" fillId="0" borderId="5" xfId="0" applyFont="1" applyBorder="1"/>
    <xf numFmtId="0" fontId="5" fillId="0" borderId="0" xfId="0" applyFont="1" applyBorder="1"/>
    <xf numFmtId="167" fontId="10" fillId="0" borderId="1" xfId="0" applyNumberFormat="1" applyFont="1" applyBorder="1"/>
    <xf numFmtId="9" fontId="8" fillId="0" borderId="2" xfId="0" applyNumberFormat="1" applyFont="1" applyBorder="1"/>
    <xf numFmtId="167" fontId="8" fillId="0" borderId="2" xfId="0" applyNumberFormat="1" applyFont="1" applyBorder="1"/>
    <xf numFmtId="167" fontId="8" fillId="0" borderId="3" xfId="0" applyNumberFormat="1" applyFont="1" applyBorder="1"/>
    <xf numFmtId="0" fontId="11" fillId="0" borderId="5" xfId="0" applyFont="1" applyFill="1" applyBorder="1"/>
    <xf numFmtId="10" fontId="13" fillId="0" borderId="0" xfId="0" applyNumberFormat="1" applyFont="1" applyFill="1" applyBorder="1"/>
    <xf numFmtId="167" fontId="10" fillId="0" borderId="5" xfId="0" applyNumberFormat="1" applyFont="1" applyBorder="1"/>
    <xf numFmtId="9" fontId="8" fillId="0" borderId="0" xfId="0" applyNumberFormat="1" applyFont="1" applyBorder="1"/>
    <xf numFmtId="167" fontId="8" fillId="0" borderId="6" xfId="0" applyNumberFormat="1" applyFont="1" applyBorder="1"/>
    <xf numFmtId="1" fontId="8" fillId="0" borderId="0" xfId="0" applyNumberFormat="1" applyFont="1" applyBorder="1"/>
    <xf numFmtId="2" fontId="13" fillId="0" borderId="0" xfId="0" applyNumberFormat="1" applyFont="1" applyFill="1" applyBorder="1"/>
    <xf numFmtId="2" fontId="8" fillId="0" borderId="0" xfId="0" applyNumberFormat="1" applyFont="1" applyFill="1" applyBorder="1"/>
    <xf numFmtId="0" fontId="12" fillId="0" borderId="15" xfId="0" applyFont="1" applyBorder="1"/>
    <xf numFmtId="0" fontId="8" fillId="0" borderId="16" xfId="0" applyFont="1" applyBorder="1"/>
    <xf numFmtId="167" fontId="10" fillId="0" borderId="9" xfId="0" applyNumberFormat="1" applyFont="1" applyBorder="1"/>
    <xf numFmtId="0" fontId="8" fillId="0" borderId="10" xfId="0" applyFont="1" applyBorder="1"/>
    <xf numFmtId="9" fontId="8" fillId="0" borderId="10" xfId="0" applyNumberFormat="1" applyFont="1" applyBorder="1"/>
    <xf numFmtId="164" fontId="8" fillId="0" borderId="10" xfId="0" applyNumberFormat="1" applyFont="1" applyBorder="1"/>
    <xf numFmtId="167" fontId="8" fillId="0" borderId="10" xfId="0" applyNumberFormat="1" applyFont="1" applyBorder="1"/>
    <xf numFmtId="167" fontId="8" fillId="0" borderId="11" xfId="0" applyNumberFormat="1" applyFont="1" applyBorder="1"/>
    <xf numFmtId="0" fontId="12" fillId="0" borderId="0" xfId="0" applyFont="1" applyBorder="1"/>
    <xf numFmtId="164" fontId="12" fillId="0" borderId="0" xfId="0" applyNumberFormat="1" applyFont="1" applyBorder="1"/>
    <xf numFmtId="2" fontId="12" fillId="0" borderId="0" xfId="0" applyNumberFormat="1" applyFont="1" applyBorder="1"/>
    <xf numFmtId="0" fontId="4" fillId="0" borderId="0" xfId="0" applyFont="1" applyFill="1" applyBorder="1"/>
    <xf numFmtId="10" fontId="8" fillId="0" borderId="0" xfId="0" applyNumberFormat="1" applyFont="1" applyFill="1" applyBorder="1"/>
    <xf numFmtId="0" fontId="8" fillId="0" borderId="17" xfId="0" applyFont="1" applyBorder="1"/>
    <xf numFmtId="0" fontId="8" fillId="0" borderId="18" xfId="0" applyFont="1" applyBorder="1"/>
    <xf numFmtId="0" fontId="4" fillId="0" borderId="10" xfId="0" applyFont="1" applyFill="1" applyBorder="1"/>
    <xf numFmtId="0" fontId="8" fillId="0" borderId="11" xfId="0" applyFont="1" applyBorder="1"/>
    <xf numFmtId="1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11" fillId="0" borderId="0" xfId="0" applyFont="1" applyBorder="1"/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/>
    <xf numFmtId="164" fontId="4" fillId="0" borderId="0" xfId="0" quotePrefix="1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167" fontId="4" fillId="0" borderId="0" xfId="0" quotePrefix="1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7" fontId="4" fillId="0" borderId="0" xfId="0" applyNumberFormat="1" applyFont="1" applyBorder="1"/>
    <xf numFmtId="2" fontId="4" fillId="0" borderId="0" xfId="0" applyNumberFormat="1" applyFont="1" applyBorder="1" applyAlignment="1"/>
    <xf numFmtId="3" fontId="11" fillId="0" borderId="0" xfId="25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Border="1"/>
    <xf numFmtId="165" fontId="8" fillId="0" borderId="0" xfId="0" applyNumberFormat="1" applyFont="1" applyFill="1" applyBorder="1"/>
    <xf numFmtId="1" fontId="8" fillId="0" borderId="0" xfId="0" applyNumberFormat="1" applyFont="1" applyFill="1" applyBorder="1"/>
    <xf numFmtId="0" fontId="8" fillId="3" borderId="19" xfId="0" applyFont="1" applyFill="1" applyBorder="1"/>
    <xf numFmtId="1" fontId="12" fillId="0" borderId="0" xfId="0" applyNumberFormat="1" applyFont="1" applyFill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168" fontId="8" fillId="0" borderId="11" xfId="26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4" fontId="8" fillId="0" borderId="6" xfId="6" applyFont="1" applyFill="1" applyBorder="1" applyAlignment="1">
      <alignment horizontal="center" wrapText="1"/>
    </xf>
    <xf numFmtId="1" fontId="4" fillId="0" borderId="0" xfId="0" applyNumberFormat="1" applyFont="1" applyFill="1" applyBorder="1"/>
    <xf numFmtId="0" fontId="8" fillId="0" borderId="9" xfId="22" applyFont="1" applyFill="1" applyBorder="1" applyAlignment="1">
      <alignment horizontal="left" wrapText="1"/>
    </xf>
    <xf numFmtId="0" fontId="4" fillId="3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10" fontId="8" fillId="0" borderId="0" xfId="26" applyNumberFormat="1" applyFont="1"/>
    <xf numFmtId="0" fontId="8" fillId="0" borderId="21" xfId="0" applyFont="1" applyBorder="1" applyAlignment="1">
      <alignment horizontal="right"/>
    </xf>
    <xf numFmtId="0" fontId="8" fillId="0" borderId="21" xfId="0" applyFont="1" applyBorder="1"/>
    <xf numFmtId="44" fontId="8" fillId="0" borderId="21" xfId="0" applyNumberFormat="1" applyFont="1" applyBorder="1"/>
    <xf numFmtId="44" fontId="8" fillId="0" borderId="0" xfId="0" applyNumberFormat="1" applyFont="1" applyBorder="1"/>
    <xf numFmtId="16" fontId="4" fillId="0" borderId="0" xfId="0" quotePrefix="1" applyNumberFormat="1" applyFont="1" applyFill="1" applyBorder="1"/>
    <xf numFmtId="44" fontId="4" fillId="0" borderId="0" xfId="6" applyFont="1" applyFill="1" applyBorder="1"/>
    <xf numFmtId="0" fontId="2" fillId="0" borderId="0" xfId="0" applyFont="1" applyBorder="1"/>
    <xf numFmtId="165" fontId="8" fillId="0" borderId="0" xfId="0" applyNumberFormat="1" applyFont="1" applyFill="1"/>
    <xf numFmtId="0" fontId="8" fillId="0" borderId="0" xfId="23" applyNumberFormat="1" applyFont="1" applyFill="1" applyBorder="1" applyAlignment="1">
      <alignment horizontal="center" wrapText="1"/>
    </xf>
    <xf numFmtId="0" fontId="2" fillId="0" borderId="0" xfId="23" applyFont="1"/>
    <xf numFmtId="1" fontId="4" fillId="0" borderId="0" xfId="0" applyNumberFormat="1" applyFont="1" applyFill="1" applyBorder="1" applyAlignment="1">
      <alignment horizontal="center" wrapText="1"/>
    </xf>
    <xf numFmtId="44" fontId="4" fillId="0" borderId="0" xfId="6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10" fontId="4" fillId="0" borderId="0" xfId="26" applyNumberFormat="1" applyFont="1" applyFill="1" applyBorder="1" applyAlignment="1">
      <alignment horizontal="center" wrapText="1"/>
    </xf>
    <xf numFmtId="44" fontId="4" fillId="0" borderId="0" xfId="6" applyFont="1" applyFill="1" applyBorder="1" applyAlignment="1">
      <alignment horizontal="center"/>
    </xf>
    <xf numFmtId="1" fontId="8" fillId="0" borderId="0" xfId="0" applyNumberFormat="1" applyFont="1" applyFill="1" applyBorder="1" applyAlignment="1" applyProtection="1">
      <alignment horizontal="center" wrapText="1"/>
      <protection locked="0"/>
    </xf>
    <xf numFmtId="44" fontId="8" fillId="0" borderId="0" xfId="6" applyFont="1" applyFill="1" applyBorder="1" applyAlignment="1" applyProtection="1">
      <alignment horizontal="center" wrapText="1"/>
      <protection locked="0"/>
    </xf>
    <xf numFmtId="9" fontId="8" fillId="0" borderId="0" xfId="26" applyFont="1" applyFill="1" applyBorder="1" applyAlignment="1" applyProtection="1">
      <alignment horizontal="center" wrapText="1"/>
      <protection locked="0"/>
    </xf>
    <xf numFmtId="2" fontId="8" fillId="0" borderId="0" xfId="0" applyNumberFormat="1" applyFont="1" applyFill="1" applyBorder="1" applyAlignment="1" applyProtection="1">
      <alignment horizontal="center" wrapText="1"/>
      <protection locked="0"/>
    </xf>
    <xf numFmtId="44" fontId="8" fillId="0" borderId="0" xfId="6" applyFont="1" applyFill="1" applyBorder="1" applyAlignment="1" applyProtection="1">
      <alignment wrapText="1"/>
      <protection locked="0"/>
    </xf>
    <xf numFmtId="2" fontId="8" fillId="0" borderId="0" xfId="6" applyNumberFormat="1" applyFont="1" applyFill="1" applyBorder="1" applyAlignment="1" applyProtection="1">
      <alignment horizontal="center" wrapText="1"/>
      <protection locked="0"/>
    </xf>
    <xf numFmtId="42" fontId="8" fillId="0" borderId="0" xfId="6" applyNumberFormat="1" applyFont="1" applyFill="1" applyBorder="1" applyAlignment="1" applyProtection="1">
      <alignment wrapText="1"/>
      <protection locked="0"/>
    </xf>
    <xf numFmtId="2" fontId="8" fillId="0" borderId="10" xfId="6" applyNumberFormat="1" applyFont="1" applyFill="1" applyBorder="1" applyAlignment="1">
      <alignment horizontal="center" wrapText="1"/>
    </xf>
    <xf numFmtId="4" fontId="8" fillId="0" borderId="0" xfId="6" applyNumberFormat="1" applyFont="1" applyFill="1" applyBorder="1" applyAlignment="1">
      <alignment horizontal="center" wrapText="1"/>
    </xf>
    <xf numFmtId="44" fontId="8" fillId="0" borderId="0" xfId="6" applyFont="1" applyFill="1" applyBorder="1" applyAlignment="1">
      <alignment horizontal="right" wrapText="1"/>
    </xf>
    <xf numFmtId="0" fontId="8" fillId="0" borderId="0" xfId="23" applyFont="1" applyFill="1" applyBorder="1" applyAlignment="1">
      <alignment horizontal="right"/>
    </xf>
    <xf numFmtId="10" fontId="8" fillId="0" borderId="0" xfId="6" applyNumberFormat="1" applyFont="1" applyFill="1" applyBorder="1" applyAlignment="1">
      <alignment horizontal="center" wrapText="1"/>
    </xf>
    <xf numFmtId="1" fontId="12" fillId="0" borderId="0" xfId="0" quotePrefix="1" applyNumberFormat="1" applyFont="1" applyFill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64" fontId="5" fillId="0" borderId="12" xfId="0" applyNumberFormat="1" applyFont="1" applyBorder="1" applyAlignment="1">
      <alignment horizontal="right"/>
    </xf>
    <xf numFmtId="165" fontId="8" fillId="0" borderId="2" xfId="0" applyNumberFormat="1" applyFont="1" applyBorder="1"/>
    <xf numFmtId="0" fontId="4" fillId="0" borderId="21" xfId="0" quotePrefix="1" applyNumberFormat="1" applyFont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0" xfId="0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4" fillId="0" borderId="6" xfId="0" applyNumberFormat="1" applyFont="1" applyBorder="1"/>
    <xf numFmtId="166" fontId="8" fillId="0" borderId="0" xfId="6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/>
    </xf>
    <xf numFmtId="1" fontId="11" fillId="0" borderId="0" xfId="0" applyNumberFormat="1" applyFont="1" applyFill="1" applyBorder="1"/>
    <xf numFmtId="3" fontId="8" fillId="0" borderId="0" xfId="0" applyNumberFormat="1" applyFont="1"/>
    <xf numFmtId="0" fontId="11" fillId="0" borderId="0" xfId="0" quotePrefix="1" applyFont="1" applyFill="1" applyBorder="1"/>
    <xf numFmtId="44" fontId="4" fillId="0" borderId="0" xfId="0" applyNumberFormat="1" applyFont="1"/>
    <xf numFmtId="164" fontId="8" fillId="0" borderId="6" xfId="0" applyNumberFormat="1" applyFont="1" applyFill="1" applyBorder="1"/>
    <xf numFmtId="0" fontId="11" fillId="0" borderId="8" xfId="0" applyFont="1" applyBorder="1"/>
    <xf numFmtId="0" fontId="8" fillId="0" borderId="3" xfId="0" applyFont="1" applyBorder="1"/>
    <xf numFmtId="164" fontId="4" fillId="0" borderId="21" xfId="0" quotePrefix="1" applyNumberFormat="1" applyFont="1" applyBorder="1" applyAlignment="1">
      <alignment horizontal="center"/>
    </xf>
    <xf numFmtId="0" fontId="4" fillId="0" borderId="21" xfId="0" quotePrefix="1" applyFont="1" applyBorder="1" applyAlignment="1">
      <alignment horizontal="center"/>
    </xf>
    <xf numFmtId="167" fontId="4" fillId="0" borderId="21" xfId="0" quotePrefix="1" applyNumberFormat="1" applyFont="1" applyBorder="1" applyAlignment="1">
      <alignment horizontal="center"/>
    </xf>
    <xf numFmtId="0" fontId="4" fillId="0" borderId="22" xfId="0" quotePrefix="1" applyFont="1" applyBorder="1" applyAlignment="1">
      <alignment horizontal="center"/>
    </xf>
    <xf numFmtId="0" fontId="4" fillId="0" borderId="6" xfId="0" applyFont="1" applyFill="1" applyBorder="1"/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" fontId="11" fillId="0" borderId="0" xfId="0" quotePrefix="1" applyNumberFormat="1" applyFont="1" applyFill="1" applyBorder="1"/>
    <xf numFmtId="168" fontId="4" fillId="0" borderId="0" xfId="6" applyNumberFormat="1" applyFont="1" applyFill="1" applyBorder="1" applyAlignment="1">
      <alignment horizontal="center" wrapText="1"/>
    </xf>
    <xf numFmtId="0" fontId="4" fillId="0" borderId="0" xfId="23" applyNumberFormat="1" applyFont="1" applyFill="1" applyBorder="1" applyAlignment="1" applyProtection="1">
      <alignment horizontal="center"/>
      <protection locked="0"/>
    </xf>
    <xf numFmtId="0" fontId="4" fillId="0" borderId="0" xfId="23" applyFont="1" applyFill="1" applyBorder="1" applyAlignment="1" applyProtection="1">
      <alignment horizontal="left"/>
      <protection locked="0"/>
    </xf>
    <xf numFmtId="0" fontId="7" fillId="0" borderId="0" xfId="23" applyFont="1"/>
    <xf numFmtId="0" fontId="4" fillId="0" borderId="0" xfId="1" applyNumberFormat="1" applyFont="1" applyFill="1" applyBorder="1" applyAlignment="1" applyProtection="1">
      <alignment horizontal="center"/>
    </xf>
    <xf numFmtId="0" fontId="4" fillId="0" borderId="0" xfId="6" applyNumberFormat="1" applyFont="1" applyFill="1" applyBorder="1" applyAlignment="1" applyProtection="1">
      <alignment horizontal="center"/>
    </xf>
    <xf numFmtId="0" fontId="4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26" applyNumberFormat="1" applyFont="1" applyFill="1" applyBorder="1" applyAlignment="1" applyProtection="1">
      <alignment horizontal="center"/>
      <protection locked="0"/>
    </xf>
    <xf numFmtId="0" fontId="4" fillId="0" borderId="0" xfId="26" applyNumberFormat="1" applyFont="1" applyFill="1" applyBorder="1" applyAlignment="1" applyProtection="1">
      <alignment horizontal="center"/>
    </xf>
    <xf numFmtId="0" fontId="4" fillId="0" borderId="0" xfId="23" applyNumberFormat="1" applyFont="1" applyFill="1" applyBorder="1" applyAlignment="1" applyProtection="1">
      <alignment horizontal="center"/>
    </xf>
    <xf numFmtId="0" fontId="4" fillId="0" borderId="0" xfId="6" applyNumberFormat="1" applyFont="1" applyFill="1" applyBorder="1" applyAlignment="1" applyProtection="1"/>
    <xf numFmtId="0" fontId="4" fillId="2" borderId="0" xfId="6" applyNumberFormat="1" applyFont="1" applyFill="1" applyBorder="1" applyAlignment="1" applyProtection="1"/>
    <xf numFmtId="0" fontId="4" fillId="0" borderId="0" xfId="23" applyNumberFormat="1" applyFont="1" applyFill="1" applyBorder="1" applyAlignment="1"/>
    <xf numFmtId="0" fontId="4" fillId="0" borderId="0" xfId="6" applyNumberFormat="1" applyFont="1" applyFill="1" applyBorder="1" applyAlignment="1" applyProtection="1">
      <protection locked="0"/>
    </xf>
    <xf numFmtId="0" fontId="4" fillId="0" borderId="0" xfId="26" applyNumberFormat="1" applyFont="1" applyFill="1" applyBorder="1" applyAlignment="1">
      <alignment horizontal="center"/>
    </xf>
    <xf numFmtId="4" fontId="4" fillId="0" borderId="0" xfId="23" applyNumberFormat="1" applyFont="1" applyFill="1" applyBorder="1" applyAlignment="1"/>
    <xf numFmtId="4" fontId="4" fillId="0" borderId="0" xfId="26" applyNumberFormat="1" applyFont="1" applyFill="1" applyBorder="1" applyAlignment="1">
      <alignment horizontal="center"/>
    </xf>
    <xf numFmtId="4" fontId="8" fillId="0" borderId="0" xfId="26" applyNumberFormat="1" applyFont="1" applyFill="1" applyBorder="1"/>
    <xf numFmtId="4" fontId="4" fillId="0" borderId="0" xfId="6" applyNumberFormat="1" applyFont="1" applyFill="1" applyBorder="1" applyAlignment="1">
      <alignment horizontal="center" wrapText="1"/>
    </xf>
    <xf numFmtId="4" fontId="8" fillId="0" borderId="0" xfId="6" applyNumberFormat="1" applyFont="1" applyFill="1" applyBorder="1" applyAlignment="1" applyProtection="1">
      <alignment horizontal="center" wrapText="1"/>
      <protection locked="0"/>
    </xf>
    <xf numFmtId="168" fontId="8" fillId="0" borderId="0" xfId="26" applyNumberFormat="1" applyFont="1" applyFill="1" applyBorder="1" applyAlignment="1" applyProtection="1">
      <alignment horizontal="center"/>
    </xf>
    <xf numFmtId="44" fontId="8" fillId="3" borderId="0" xfId="23" applyNumberFormat="1" applyFont="1" applyFill="1" applyBorder="1" applyAlignment="1"/>
    <xf numFmtId="42" fontId="8" fillId="3" borderId="0" xfId="23" applyNumberFormat="1" applyFont="1" applyFill="1" applyBorder="1" applyAlignment="1"/>
    <xf numFmtId="167" fontId="8" fillId="0" borderId="0" xfId="0" applyNumberFormat="1" applyFont="1"/>
    <xf numFmtId="9" fontId="8" fillId="0" borderId="0" xfId="6" applyNumberFormat="1" applyFont="1" applyFill="1" applyBorder="1" applyAlignment="1">
      <alignment horizontal="center" wrapText="1"/>
    </xf>
    <xf numFmtId="10" fontId="8" fillId="0" borderId="0" xfId="6" applyNumberFormat="1" applyFont="1" applyFill="1" applyBorder="1" applyAlignment="1" applyProtection="1">
      <alignment horizontal="center" wrapText="1"/>
      <protection locked="0"/>
    </xf>
    <xf numFmtId="10" fontId="8" fillId="0" borderId="0" xfId="26" applyNumberFormat="1" applyFont="1" applyFill="1" applyBorder="1"/>
    <xf numFmtId="0" fontId="8" fillId="0" borderId="0" xfId="23" quotePrefix="1" applyFont="1" applyFill="1" applyBorder="1"/>
    <xf numFmtId="9" fontId="8" fillId="3" borderId="0" xfId="26" applyNumberFormat="1" applyFont="1" applyFill="1" applyBorder="1" applyAlignment="1">
      <alignment horizontal="center"/>
    </xf>
    <xf numFmtId="9" fontId="8" fillId="3" borderId="0" xfId="26" applyFont="1" applyFill="1" applyBorder="1" applyAlignment="1">
      <alignment horizontal="center"/>
    </xf>
    <xf numFmtId="44" fontId="8" fillId="0" borderId="0" xfId="6" applyFont="1" applyFill="1" applyBorder="1"/>
    <xf numFmtId="2" fontId="4" fillId="3" borderId="0" xfId="6" applyNumberFormat="1" applyFont="1" applyFill="1" applyBorder="1" applyAlignment="1">
      <alignment horizontal="right" wrapText="1"/>
    </xf>
    <xf numFmtId="42" fontId="4" fillId="3" borderId="0" xfId="6" applyNumberFormat="1" applyFont="1" applyFill="1" applyBorder="1" applyAlignment="1">
      <alignment horizontal="center" wrapText="1"/>
    </xf>
    <xf numFmtId="0" fontId="4" fillId="3" borderId="0" xfId="23" applyFont="1" applyFill="1" applyBorder="1"/>
    <xf numFmtId="10" fontId="4" fillId="3" borderId="0" xfId="6" applyNumberFormat="1" applyFont="1" applyFill="1" applyBorder="1" applyAlignment="1" applyProtection="1">
      <alignment horizontal="center" wrapText="1"/>
      <protection locked="0"/>
    </xf>
    <xf numFmtId="44" fontId="4" fillId="3" borderId="0" xfId="6" applyFont="1" applyFill="1" applyBorder="1" applyAlignment="1">
      <alignment horizontal="center" wrapText="1"/>
    </xf>
    <xf numFmtId="168" fontId="4" fillId="3" borderId="0" xfId="6" applyNumberFormat="1" applyFont="1" applyFill="1" applyBorder="1" applyAlignment="1">
      <alignment horizontal="center" wrapText="1"/>
    </xf>
    <xf numFmtId="0" fontId="4" fillId="3" borderId="0" xfId="23" applyFont="1" applyFill="1" applyBorder="1" applyAlignment="1">
      <alignment wrapText="1"/>
    </xf>
    <xf numFmtId="44" fontId="4" fillId="3" borderId="0" xfId="23" applyNumberFormat="1" applyFont="1" applyFill="1" applyBorder="1"/>
    <xf numFmtId="0" fontId="4" fillId="3" borderId="0" xfId="23" applyFont="1" applyFill="1" applyBorder="1" applyAlignment="1">
      <alignment horizontal="right"/>
    </xf>
    <xf numFmtId="44" fontId="13" fillId="0" borderId="0" xfId="6" applyFont="1" applyFill="1" applyBorder="1"/>
    <xf numFmtId="0" fontId="4" fillId="0" borderId="2" xfId="0" applyFont="1" applyFill="1" applyBorder="1" applyAlignment="1">
      <alignment horizontal="center"/>
    </xf>
    <xf numFmtId="44" fontId="13" fillId="0" borderId="0" xfId="6" applyFont="1" applyFill="1" applyBorder="1" applyAlignment="1">
      <alignment horizontal="center"/>
    </xf>
    <xf numFmtId="0" fontId="18" fillId="4" borderId="0" xfId="23" applyFont="1" applyFill="1" applyBorder="1"/>
    <xf numFmtId="168" fontId="18" fillId="4" borderId="0" xfId="23" applyNumberFormat="1" applyFont="1" applyFill="1" applyBorder="1"/>
    <xf numFmtId="168" fontId="18" fillId="4" borderId="0" xfId="26" applyNumberFormat="1" applyFont="1" applyFill="1" applyBorder="1"/>
    <xf numFmtId="2" fontId="4" fillId="0" borderId="0" xfId="0" applyNumberFormat="1" applyFont="1"/>
    <xf numFmtId="39" fontId="8" fillId="0" borderId="0" xfId="23" applyNumberFormat="1" applyFont="1" applyFill="1" applyBorder="1"/>
    <xf numFmtId="165" fontId="8" fillId="0" borderId="0" xfId="23" applyNumberFormat="1" applyFont="1" applyFill="1" applyBorder="1"/>
    <xf numFmtId="0" fontId="18" fillId="4" borderId="0" xfId="23" applyFont="1" applyFill="1" applyBorder="1" applyAlignment="1">
      <alignment horizontal="right"/>
    </xf>
    <xf numFmtId="165" fontId="18" fillId="4" borderId="0" xfId="23" applyNumberFormat="1" applyFont="1" applyFill="1" applyBorder="1"/>
    <xf numFmtId="2" fontId="8" fillId="0" borderId="0" xfId="0" applyNumberFormat="1" applyFont="1" applyFill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0" fontId="8" fillId="0" borderId="6" xfId="0" applyFont="1" applyFill="1" applyBorder="1"/>
    <xf numFmtId="4" fontId="8" fillId="0" borderId="6" xfId="0" applyNumberFormat="1" applyFont="1" applyFill="1" applyBorder="1" applyAlignment="1">
      <alignment horizontal="center"/>
    </xf>
    <xf numFmtId="0" fontId="4" fillId="0" borderId="21" xfId="0" quotePrefix="1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9" fontId="4" fillId="0" borderId="0" xfId="26" quotePrefix="1" applyFont="1" applyFill="1" applyBorder="1"/>
    <xf numFmtId="44" fontId="4" fillId="0" borderId="0" xfId="6" applyNumberFormat="1" applyFont="1" applyFill="1" applyBorder="1"/>
    <xf numFmtId="1" fontId="8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1" fontId="4" fillId="0" borderId="0" xfId="0" applyNumberFormat="1" applyFont="1" applyFill="1"/>
    <xf numFmtId="164" fontId="4" fillId="0" borderId="0" xfId="0" applyNumberFormat="1" applyFont="1" applyFill="1"/>
    <xf numFmtId="164" fontId="4" fillId="0" borderId="0" xfId="0" applyNumberFormat="1" applyFont="1" applyFill="1" applyBorder="1"/>
    <xf numFmtId="164" fontId="8" fillId="0" borderId="2" xfId="0" applyNumberFormat="1" applyFont="1" applyFill="1" applyBorder="1"/>
    <xf numFmtId="164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8" fillId="0" borderId="5" xfId="0" applyFont="1" applyFill="1" applyBorder="1"/>
    <xf numFmtId="165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Alignment="1">
      <alignment horizontal="right"/>
    </xf>
    <xf numFmtId="166" fontId="8" fillId="0" borderId="0" xfId="6" quotePrefix="1" applyNumberFormat="1" applyFont="1" applyFill="1"/>
    <xf numFmtId="164" fontId="11" fillId="0" borderId="0" xfId="0" applyNumberFormat="1" applyFont="1" applyFill="1"/>
    <xf numFmtId="165" fontId="8" fillId="0" borderId="0" xfId="0" applyNumberFormat="1" applyFont="1" applyFill="1" applyAlignment="1">
      <alignment horizontal="right"/>
    </xf>
    <xf numFmtId="168" fontId="8" fillId="0" borderId="0" xfId="26" applyNumberFormat="1" applyFont="1" applyFill="1"/>
    <xf numFmtId="0" fontId="8" fillId="0" borderId="2" xfId="0" applyFont="1" applyFill="1" applyBorder="1"/>
    <xf numFmtId="164" fontId="13" fillId="0" borderId="0" xfId="0" applyNumberFormat="1" applyFont="1" applyFill="1" applyBorder="1"/>
    <xf numFmtId="0" fontId="4" fillId="0" borderId="13" xfId="0" applyFont="1" applyFill="1" applyBorder="1"/>
    <xf numFmtId="164" fontId="4" fillId="0" borderId="13" xfId="0" applyNumberFormat="1" applyFont="1" applyFill="1" applyBorder="1"/>
    <xf numFmtId="2" fontId="4" fillId="0" borderId="13" xfId="0" applyNumberFormat="1" applyFont="1" applyFill="1" applyBorder="1"/>
    <xf numFmtId="2" fontId="4" fillId="0" borderId="0" xfId="0" applyNumberFormat="1" applyFont="1" applyFill="1" applyBorder="1"/>
    <xf numFmtId="0" fontId="5" fillId="0" borderId="0" xfId="0" applyFont="1" applyFill="1"/>
    <xf numFmtId="164" fontId="5" fillId="0" borderId="0" xfId="0" applyNumberFormat="1" applyFont="1" applyFill="1"/>
    <xf numFmtId="1" fontId="5" fillId="0" borderId="0" xfId="0" applyNumberFormat="1" applyFont="1" applyFill="1"/>
    <xf numFmtId="164" fontId="5" fillId="0" borderId="0" xfId="0" applyNumberFormat="1" applyFont="1" applyFill="1" applyBorder="1"/>
    <xf numFmtId="1" fontId="11" fillId="0" borderId="0" xfId="0" applyNumberFormat="1" applyFont="1" applyFill="1"/>
    <xf numFmtId="164" fontId="11" fillId="0" borderId="0" xfId="0" applyNumberFormat="1" applyFont="1" applyFill="1" applyBorder="1"/>
    <xf numFmtId="0" fontId="8" fillId="0" borderId="13" xfId="0" applyFont="1" applyFill="1" applyBorder="1"/>
    <xf numFmtId="164" fontId="8" fillId="0" borderId="13" xfId="0" applyNumberFormat="1" applyFont="1" applyFill="1" applyBorder="1"/>
    <xf numFmtId="164" fontId="5" fillId="0" borderId="13" xfId="0" applyNumberFormat="1" applyFont="1" applyFill="1" applyBorder="1"/>
    <xf numFmtId="9" fontId="8" fillId="0" borderId="0" xfId="26" applyFont="1" applyFill="1"/>
    <xf numFmtId="0" fontId="5" fillId="0" borderId="14" xfId="0" applyFont="1" applyFill="1" applyBorder="1"/>
    <xf numFmtId="164" fontId="5" fillId="0" borderId="14" xfId="0" applyNumberFormat="1" applyFont="1" applyFill="1" applyBorder="1"/>
    <xf numFmtId="2" fontId="5" fillId="0" borderId="14" xfId="0" applyNumberFormat="1" applyFont="1" applyFill="1" applyBorder="1"/>
    <xf numFmtId="164" fontId="4" fillId="0" borderId="14" xfId="0" applyNumberFormat="1" applyFont="1" applyFill="1" applyBorder="1"/>
    <xf numFmtId="2" fontId="5" fillId="0" borderId="0" xfId="0" applyNumberFormat="1" applyFont="1" applyFill="1"/>
    <xf numFmtId="167" fontId="10" fillId="0" borderId="0" xfId="0" applyNumberFormat="1" applyFont="1" applyFill="1"/>
    <xf numFmtId="167" fontId="10" fillId="0" borderId="0" xfId="0" applyNumberFormat="1" applyFont="1" applyFill="1" applyBorder="1"/>
    <xf numFmtId="167" fontId="8" fillId="0" borderId="0" xfId="0" applyNumberFormat="1" applyFont="1" applyFill="1" applyBorder="1"/>
    <xf numFmtId="167" fontId="4" fillId="0" borderId="0" xfId="0" applyNumberFormat="1" applyFont="1" applyFill="1"/>
    <xf numFmtId="167" fontId="14" fillId="0" borderId="0" xfId="0" applyNumberFormat="1" applyFont="1" applyFill="1" applyBorder="1"/>
    <xf numFmtId="167" fontId="10" fillId="0" borderId="1" xfId="0" applyNumberFormat="1" applyFont="1" applyFill="1" applyBorder="1"/>
    <xf numFmtId="9" fontId="8" fillId="0" borderId="2" xfId="0" applyNumberFormat="1" applyFont="1" applyFill="1" applyBorder="1"/>
    <xf numFmtId="167" fontId="8" fillId="0" borderId="2" xfId="0" applyNumberFormat="1" applyFont="1" applyFill="1" applyBorder="1"/>
    <xf numFmtId="167" fontId="8" fillId="0" borderId="3" xfId="0" applyNumberFormat="1" applyFont="1" applyFill="1" applyBorder="1"/>
    <xf numFmtId="167" fontId="10" fillId="0" borderId="5" xfId="0" applyNumberFormat="1" applyFont="1" applyFill="1" applyBorder="1"/>
    <xf numFmtId="9" fontId="8" fillId="0" borderId="0" xfId="0" applyNumberFormat="1" applyFont="1" applyFill="1" applyBorder="1"/>
    <xf numFmtId="167" fontId="8" fillId="0" borderId="6" xfId="0" applyNumberFormat="1" applyFont="1" applyFill="1" applyBorder="1"/>
    <xf numFmtId="167" fontId="10" fillId="0" borderId="9" xfId="0" applyNumberFormat="1" applyFont="1" applyFill="1" applyBorder="1"/>
    <xf numFmtId="0" fontId="8" fillId="0" borderId="10" xfId="0" applyFont="1" applyFill="1" applyBorder="1"/>
    <xf numFmtId="9" fontId="8" fillId="0" borderId="10" xfId="0" applyNumberFormat="1" applyFont="1" applyFill="1" applyBorder="1"/>
    <xf numFmtId="164" fontId="8" fillId="0" borderId="10" xfId="0" applyNumberFormat="1" applyFont="1" applyFill="1" applyBorder="1"/>
    <xf numFmtId="167" fontId="8" fillId="0" borderId="10" xfId="0" applyNumberFormat="1" applyFont="1" applyFill="1" applyBorder="1"/>
    <xf numFmtId="167" fontId="8" fillId="0" borderId="11" xfId="0" applyNumberFormat="1" applyFont="1" applyFill="1" applyBorder="1"/>
    <xf numFmtId="2" fontId="8" fillId="0" borderId="16" xfId="0" applyNumberFormat="1" applyFont="1" applyFill="1" applyBorder="1"/>
    <xf numFmtId="164" fontId="12" fillId="0" borderId="0" xfId="0" applyNumberFormat="1" applyFont="1" applyFill="1" applyBorder="1"/>
    <xf numFmtId="2" fontId="12" fillId="0" borderId="0" xfId="0" applyNumberFormat="1" applyFont="1" applyFill="1" applyBorder="1"/>
    <xf numFmtId="0" fontId="8" fillId="0" borderId="18" xfId="0" applyFont="1" applyFill="1" applyBorder="1"/>
    <xf numFmtId="10" fontId="4" fillId="0" borderId="0" xfId="0" quotePrefix="1" applyNumberFormat="1" applyFont="1" applyFill="1" applyBorder="1"/>
    <xf numFmtId="44" fontId="4" fillId="0" borderId="0" xfId="6" applyFont="1"/>
    <xf numFmtId="44" fontId="4" fillId="0" borderId="0" xfId="6" applyFont="1" applyBorder="1"/>
    <xf numFmtId="44" fontId="8" fillId="0" borderId="0" xfId="6" applyFont="1"/>
    <xf numFmtId="3" fontId="4" fillId="0" borderId="0" xfId="0" applyNumberFormat="1" applyFont="1" applyAlignment="1">
      <alignment horizontal="center"/>
    </xf>
    <xf numFmtId="9" fontId="8" fillId="0" borderId="0" xfId="26" quotePrefix="1" applyFont="1" applyFill="1" applyBorder="1"/>
    <xf numFmtId="44" fontId="8" fillId="0" borderId="0" xfId="6" applyNumberFormat="1" applyFont="1" applyFill="1" applyBorder="1"/>
    <xf numFmtId="3" fontId="8" fillId="0" borderId="0" xfId="0" applyNumberFormat="1" applyFont="1" applyBorder="1"/>
    <xf numFmtId="0" fontId="19" fillId="0" borderId="0" xfId="0" applyFont="1"/>
    <xf numFmtId="0" fontId="4" fillId="5" borderId="0" xfId="0" applyFont="1" applyFill="1"/>
    <xf numFmtId="165" fontId="8" fillId="5" borderId="0" xfId="0" applyNumberFormat="1" applyFont="1" applyFill="1"/>
    <xf numFmtId="165" fontId="8" fillId="5" borderId="0" xfId="0" applyNumberFormat="1" applyFont="1" applyFill="1" applyBorder="1"/>
    <xf numFmtId="0" fontId="8" fillId="5" borderId="0" xfId="0" applyFont="1" applyFill="1"/>
    <xf numFmtId="16" fontId="8" fillId="0" borderId="0" xfId="0" quotePrefix="1" applyNumberFormat="1" applyFont="1" applyFill="1"/>
    <xf numFmtId="0" fontId="8" fillId="0" borderId="0" xfId="0" quotePrefix="1" applyFont="1" applyFill="1"/>
    <xf numFmtId="0" fontId="4" fillId="6" borderId="23" xfId="23" applyFont="1" applyFill="1" applyBorder="1" applyAlignment="1">
      <alignment horizontal="center" wrapText="1"/>
    </xf>
    <xf numFmtId="0" fontId="4" fillId="6" borderId="24" xfId="23" applyFont="1" applyFill="1" applyBorder="1" applyAlignment="1">
      <alignment horizontal="center" wrapText="1"/>
    </xf>
    <xf numFmtId="0" fontId="4" fillId="4" borderId="24" xfId="23" applyFont="1" applyFill="1" applyBorder="1" applyAlignment="1">
      <alignment horizontal="center" wrapText="1"/>
    </xf>
    <xf numFmtId="0" fontId="4" fillId="7" borderId="24" xfId="23" applyFont="1" applyFill="1" applyBorder="1" applyAlignment="1">
      <alignment horizontal="center" wrapText="1"/>
    </xf>
    <xf numFmtId="169" fontId="5" fillId="8" borderId="24" xfId="24" applyNumberFormat="1" applyFont="1" applyFill="1" applyBorder="1" applyAlignment="1" applyProtection="1">
      <alignment horizontal="center" wrapText="1"/>
    </xf>
    <xf numFmtId="0" fontId="4" fillId="2" borderId="24" xfId="23" applyFont="1" applyFill="1" applyBorder="1" applyAlignment="1">
      <alignment horizontal="center" wrapText="1"/>
    </xf>
    <xf numFmtId="169" fontId="5" fillId="9" borderId="24" xfId="24" applyNumberFormat="1" applyFont="1" applyFill="1" applyBorder="1" applyAlignment="1" applyProtection="1">
      <alignment horizontal="center" wrapText="1"/>
    </xf>
    <xf numFmtId="0" fontId="5" fillId="8" borderId="24" xfId="24" applyFont="1" applyFill="1" applyBorder="1" applyAlignment="1">
      <alignment horizontal="center" wrapText="1"/>
    </xf>
    <xf numFmtId="9" fontId="6" fillId="8" borderId="24" xfId="26" applyFont="1" applyFill="1" applyBorder="1" applyAlignment="1">
      <alignment horizontal="center" wrapText="1"/>
    </xf>
    <xf numFmtId="4" fontId="6" fillId="8" borderId="24" xfId="26" applyNumberFormat="1" applyFont="1" applyFill="1" applyBorder="1" applyAlignment="1">
      <alignment horizontal="center" wrapText="1"/>
    </xf>
    <xf numFmtId="0" fontId="4" fillId="3" borderId="24" xfId="23" applyFont="1" applyFill="1" applyBorder="1" applyAlignment="1">
      <alignment horizontal="center" wrapText="1"/>
    </xf>
    <xf numFmtId="0" fontId="7" fillId="3" borderId="24" xfId="23" applyFont="1" applyFill="1" applyBorder="1" applyAlignment="1">
      <alignment horizontal="center" wrapText="1"/>
    </xf>
    <xf numFmtId="0" fontId="7" fillId="7" borderId="24" xfId="23" applyFont="1" applyFill="1" applyBorder="1" applyAlignment="1">
      <alignment horizontal="center" wrapText="1"/>
    </xf>
    <xf numFmtId="0" fontId="6" fillId="8" borderId="24" xfId="24" applyFont="1" applyFill="1" applyBorder="1" applyAlignment="1">
      <alignment horizontal="center" wrapText="1"/>
    </xf>
    <xf numFmtId="0" fontId="6" fillId="10" borderId="24" xfId="24" applyFont="1" applyFill="1" applyBorder="1" applyAlignment="1">
      <alignment horizontal="center" wrapText="1"/>
    </xf>
    <xf numFmtId="0" fontId="7" fillId="6" borderId="24" xfId="23" applyFont="1" applyFill="1" applyBorder="1" applyAlignment="1">
      <alignment horizontal="center" wrapText="1"/>
    </xf>
    <xf numFmtId="169" fontId="5" fillId="9" borderId="25" xfId="24" applyNumberFormat="1" applyFont="1" applyFill="1" applyBorder="1" applyAlignment="1" applyProtection="1">
      <alignment horizontal="center" wrapText="1"/>
    </xf>
    <xf numFmtId="169" fontId="5" fillId="9" borderId="26" xfId="24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4" fillId="3" borderId="4" xfId="21" applyFont="1" applyFill="1" applyBorder="1"/>
    <xf numFmtId="0" fontId="2" fillId="0" borderId="0" xfId="21" applyFont="1"/>
    <xf numFmtId="0" fontId="2" fillId="0" borderId="0" xfId="21" applyFont="1" applyBorder="1"/>
    <xf numFmtId="0" fontId="11" fillId="0" borderId="0" xfId="21" applyFont="1" applyFill="1" applyBorder="1"/>
    <xf numFmtId="164" fontId="2" fillId="0" borderId="0" xfId="21" applyNumberFormat="1" applyFont="1"/>
    <xf numFmtId="1" fontId="2" fillId="0" borderId="0" xfId="21" applyNumberFormat="1" applyFont="1"/>
    <xf numFmtId="164" fontId="2" fillId="0" borderId="0" xfId="21" applyNumberFormat="1" applyFont="1" applyBorder="1"/>
    <xf numFmtId="0" fontId="11" fillId="0" borderId="0" xfId="21" applyFont="1"/>
    <xf numFmtId="164" fontId="4" fillId="0" borderId="0" xfId="21" applyNumberFormat="1" applyFont="1" applyAlignment="1">
      <alignment horizontal="center"/>
    </xf>
    <xf numFmtId="1" fontId="4" fillId="0" borderId="0" xfId="21" applyNumberFormat="1" applyFont="1"/>
    <xf numFmtId="164" fontId="4" fillId="0" borderId="0" xfId="21" applyNumberFormat="1" applyFont="1"/>
    <xf numFmtId="164" fontId="4" fillId="0" borderId="0" xfId="21" applyNumberFormat="1" applyFont="1" applyBorder="1"/>
    <xf numFmtId="0" fontId="4" fillId="0" borderId="1" xfId="21" applyFont="1" applyBorder="1"/>
    <xf numFmtId="0" fontId="4" fillId="0" borderId="2" xfId="21" applyFont="1" applyFill="1" applyBorder="1" applyAlignment="1">
      <alignment horizontal="center"/>
    </xf>
    <xf numFmtId="164" fontId="4" fillId="0" borderId="2" xfId="21" applyNumberFormat="1" applyFont="1" applyBorder="1" applyAlignment="1">
      <alignment horizontal="center"/>
    </xf>
    <xf numFmtId="1" fontId="12" fillId="0" borderId="2" xfId="21" applyNumberFormat="1" applyFont="1" applyFill="1" applyBorder="1" applyAlignment="1">
      <alignment horizontal="right"/>
    </xf>
    <xf numFmtId="164" fontId="2" fillId="0" borderId="2" xfId="21" applyNumberFormat="1" applyFont="1" applyBorder="1"/>
    <xf numFmtId="164" fontId="2" fillId="0" borderId="3" xfId="21" applyNumberFormat="1" applyFont="1" applyBorder="1"/>
    <xf numFmtId="0" fontId="4" fillId="0" borderId="0" xfId="21" applyFont="1" applyAlignment="1">
      <alignment horizontal="right"/>
    </xf>
    <xf numFmtId="16" fontId="12" fillId="0" borderId="0" xfId="21" quotePrefix="1" applyNumberFormat="1" applyFont="1" applyFill="1" applyBorder="1"/>
    <xf numFmtId="164" fontId="4" fillId="0" borderId="0" xfId="21" applyNumberFormat="1" applyFont="1" applyAlignment="1">
      <alignment horizontal="right"/>
    </xf>
    <xf numFmtId="1" fontId="12" fillId="0" borderId="0" xfId="21" applyNumberFormat="1" applyFont="1" applyFill="1" applyBorder="1"/>
    <xf numFmtId="3" fontId="4" fillId="0" borderId="0" xfId="21" applyNumberFormat="1" applyFont="1"/>
    <xf numFmtId="3" fontId="4" fillId="0" borderId="0" xfId="21" applyNumberFormat="1" applyFont="1" applyBorder="1"/>
    <xf numFmtId="0" fontId="12" fillId="0" borderId="0" xfId="21" quotePrefix="1" applyFont="1" applyFill="1" applyBorder="1"/>
    <xf numFmtId="0" fontId="4" fillId="0" borderId="0" xfId="21" applyFont="1"/>
    <xf numFmtId="0" fontId="12" fillId="0" borderId="0" xfId="21" applyFont="1" applyFill="1" applyBorder="1"/>
    <xf numFmtId="0" fontId="2" fillId="0" borderId="5" xfId="21" applyFont="1" applyBorder="1"/>
    <xf numFmtId="0" fontId="2" fillId="0" borderId="0" xfId="21" applyFont="1" applyFill="1" applyBorder="1" applyAlignment="1">
      <alignment horizontal="center"/>
    </xf>
    <xf numFmtId="1" fontId="12" fillId="0" borderId="0" xfId="21" applyNumberFormat="1" applyFont="1" applyFill="1" applyBorder="1" applyAlignment="1">
      <alignment horizontal="right"/>
    </xf>
    <xf numFmtId="165" fontId="2" fillId="0" borderId="0" xfId="21" applyNumberFormat="1" applyFont="1" applyBorder="1"/>
    <xf numFmtId="165" fontId="2" fillId="0" borderId="6" xfId="21" applyNumberFormat="1" applyFont="1" applyBorder="1"/>
    <xf numFmtId="165" fontId="4" fillId="0" borderId="0" xfId="21" applyNumberFormat="1" applyFont="1" applyAlignment="1">
      <alignment horizontal="right"/>
    </xf>
    <xf numFmtId="164" fontId="2" fillId="0" borderId="6" xfId="21" applyNumberFormat="1" applyFont="1" applyBorder="1"/>
    <xf numFmtId="0" fontId="5" fillId="0" borderId="0" xfId="21" applyFont="1" applyAlignment="1">
      <alignment horizontal="center"/>
    </xf>
    <xf numFmtId="0" fontId="5" fillId="0" borderId="0" xfId="21" applyFont="1" applyAlignment="1">
      <alignment horizontal="center" wrapText="1"/>
    </xf>
    <xf numFmtId="164" fontId="5" fillId="0" borderId="0" xfId="21" applyNumberFormat="1" applyFont="1" applyAlignment="1">
      <alignment horizontal="center"/>
    </xf>
    <xf numFmtId="1" fontId="5" fillId="0" borderId="0" xfId="21" applyNumberFormat="1" applyFont="1" applyAlignment="1">
      <alignment horizontal="center"/>
    </xf>
    <xf numFmtId="164" fontId="5" fillId="0" borderId="0" xfId="21" applyNumberFormat="1" applyFont="1" applyBorder="1" applyAlignment="1">
      <alignment horizontal="center"/>
    </xf>
    <xf numFmtId="0" fontId="4" fillId="0" borderId="0" xfId="21" applyFont="1" applyAlignment="1">
      <alignment horizontal="center"/>
    </xf>
    <xf numFmtId="0" fontId="2" fillId="0" borderId="7" xfId="21" applyFont="1" applyBorder="1" applyAlignment="1">
      <alignment horizontal="left"/>
    </xf>
    <xf numFmtId="0" fontId="2" fillId="0" borderId="8" xfId="21" applyFont="1" applyFill="1" applyBorder="1" applyAlignment="1">
      <alignment horizontal="center"/>
    </xf>
    <xf numFmtId="1" fontId="12" fillId="0" borderId="0" xfId="21" applyNumberFormat="1" applyFont="1" applyFill="1" applyBorder="1" applyAlignment="1">
      <alignment horizontal="center"/>
    </xf>
    <xf numFmtId="0" fontId="4" fillId="0" borderId="0" xfId="21" applyFont="1" applyBorder="1" applyAlignment="1">
      <alignment horizontal="center"/>
    </xf>
    <xf numFmtId="0" fontId="4" fillId="0" borderId="6" xfId="21" applyFont="1" applyBorder="1" applyAlignment="1">
      <alignment horizontal="center"/>
    </xf>
    <xf numFmtId="164" fontId="2" fillId="0" borderId="0" xfId="21" applyNumberFormat="1" applyFont="1" applyAlignment="1">
      <alignment horizontal="right"/>
    </xf>
    <xf numFmtId="166" fontId="2" fillId="0" borderId="0" xfId="7" quotePrefix="1" applyNumberFormat="1" applyFont="1"/>
    <xf numFmtId="164" fontId="11" fillId="0" borderId="0" xfId="21" applyNumberFormat="1" applyFont="1"/>
    <xf numFmtId="2" fontId="2" fillId="0" borderId="0" xfId="21" applyNumberFormat="1" applyFont="1" applyFill="1"/>
    <xf numFmtId="0" fontId="2" fillId="0" borderId="0" xfId="21" applyFont="1" applyFill="1" applyBorder="1" applyAlignment="1">
      <alignment horizontal="right"/>
    </xf>
    <xf numFmtId="165" fontId="12" fillId="0" borderId="0" xfId="21" applyNumberFormat="1" applyFont="1" applyFill="1" applyBorder="1" applyAlignment="1">
      <alignment horizontal="right"/>
    </xf>
    <xf numFmtId="0" fontId="4" fillId="0" borderId="0" xfId="21" applyFont="1" applyBorder="1"/>
    <xf numFmtId="0" fontId="4" fillId="0" borderId="6" xfId="21" applyFont="1" applyBorder="1"/>
    <xf numFmtId="0" fontId="2" fillId="0" borderId="9" xfId="21" applyFont="1" applyBorder="1"/>
    <xf numFmtId="0" fontId="2" fillId="0" borderId="10" xfId="21" applyFont="1" applyFill="1" applyBorder="1" applyAlignment="1">
      <alignment horizontal="right"/>
    </xf>
    <xf numFmtId="168" fontId="2" fillId="0" borderId="10" xfId="27" applyNumberFormat="1" applyFont="1" applyFill="1" applyBorder="1" applyAlignment="1">
      <alignment horizontal="center"/>
    </xf>
    <xf numFmtId="1" fontId="12" fillId="0" borderId="10" xfId="21" applyNumberFormat="1" applyFont="1" applyFill="1" applyBorder="1" applyAlignment="1">
      <alignment horizontal="right"/>
    </xf>
    <xf numFmtId="0" fontId="4" fillId="0" borderId="10" xfId="21" applyFont="1" applyBorder="1"/>
    <xf numFmtId="0" fontId="4" fillId="0" borderId="11" xfId="21" applyFont="1" applyBorder="1"/>
    <xf numFmtId="165" fontId="2" fillId="0" borderId="0" xfId="21" applyNumberFormat="1" applyFont="1" applyAlignment="1">
      <alignment horizontal="right"/>
    </xf>
    <xf numFmtId="2" fontId="2" fillId="0" borderId="0" xfId="21" applyNumberFormat="1" applyFont="1"/>
    <xf numFmtId="165" fontId="2" fillId="0" borderId="0" xfId="21" applyNumberFormat="1" applyFont="1"/>
    <xf numFmtId="0" fontId="2" fillId="0" borderId="0" xfId="21" applyFont="1" applyFill="1" applyBorder="1"/>
    <xf numFmtId="9" fontId="2" fillId="0" borderId="0" xfId="27" applyFont="1" applyFill="1" applyBorder="1"/>
    <xf numFmtId="1" fontId="12" fillId="0" borderId="0" xfId="21" applyNumberFormat="1" applyFont="1" applyFill="1" applyAlignment="1">
      <alignment horizontal="right"/>
    </xf>
    <xf numFmtId="168" fontId="2" fillId="0" borderId="0" xfId="27" applyNumberFormat="1" applyFont="1"/>
    <xf numFmtId="0" fontId="5" fillId="0" borderId="1" xfId="21" applyFont="1" applyBorder="1"/>
    <xf numFmtId="0" fontId="5" fillId="0" borderId="2" xfId="21" applyFont="1" applyBorder="1"/>
    <xf numFmtId="164" fontId="5" fillId="0" borderId="12" xfId="21" applyNumberFormat="1" applyFont="1" applyBorder="1" applyAlignment="1">
      <alignment horizontal="center"/>
    </xf>
    <xf numFmtId="0" fontId="2" fillId="0" borderId="2" xfId="21" applyFont="1" applyBorder="1"/>
    <xf numFmtId="0" fontId="2" fillId="0" borderId="3" xfId="21" applyFont="1" applyBorder="1"/>
    <xf numFmtId="164" fontId="4" fillId="0" borderId="5" xfId="21" applyNumberFormat="1" applyFont="1" applyBorder="1"/>
    <xf numFmtId="164" fontId="13" fillId="0" borderId="0" xfId="21" applyNumberFormat="1" applyFont="1" applyBorder="1"/>
    <xf numFmtId="0" fontId="2" fillId="0" borderId="6" xfId="21" applyFont="1" applyBorder="1"/>
    <xf numFmtId="0" fontId="4" fillId="0" borderId="13" xfId="21" applyFont="1" applyBorder="1"/>
    <xf numFmtId="164" fontId="4" fillId="0" borderId="13" xfId="21" applyNumberFormat="1" applyFont="1" applyBorder="1"/>
    <xf numFmtId="2" fontId="4" fillId="0" borderId="13" xfId="21" applyNumberFormat="1" applyFont="1" applyBorder="1"/>
    <xf numFmtId="2" fontId="4" fillId="0" borderId="0" xfId="21" applyNumberFormat="1" applyFont="1" applyBorder="1"/>
    <xf numFmtId="165" fontId="4" fillId="0" borderId="5" xfId="21" applyNumberFormat="1" applyFont="1" applyBorder="1"/>
    <xf numFmtId="0" fontId="5" fillId="0" borderId="0" xfId="21" applyFont="1"/>
    <xf numFmtId="164" fontId="5" fillId="0" borderId="0" xfId="21" applyNumberFormat="1" applyFont="1"/>
    <xf numFmtId="1" fontId="5" fillId="0" borderId="0" xfId="21" applyNumberFormat="1" applyFont="1"/>
    <xf numFmtId="164" fontId="5" fillId="0" borderId="0" xfId="21" applyNumberFormat="1" applyFont="1" applyBorder="1"/>
    <xf numFmtId="0" fontId="2" fillId="0" borderId="0" xfId="21" applyFont="1" applyFill="1"/>
    <xf numFmtId="0" fontId="11" fillId="0" borderId="0" xfId="21" applyFont="1" applyFill="1"/>
    <xf numFmtId="1" fontId="11" fillId="0" borderId="0" xfId="21" applyNumberFormat="1" applyFont="1"/>
    <xf numFmtId="164" fontId="11" fillId="0" borderId="0" xfId="21" applyNumberFormat="1" applyFont="1" applyBorder="1"/>
    <xf numFmtId="164" fontId="2" fillId="0" borderId="5" xfId="21" applyNumberFormat="1" applyFont="1" applyBorder="1"/>
    <xf numFmtId="0" fontId="2" fillId="0" borderId="13" xfId="21" applyFont="1" applyBorder="1"/>
    <xf numFmtId="164" fontId="2" fillId="0" borderId="13" xfId="21" applyNumberFormat="1" applyFont="1" applyBorder="1"/>
    <xf numFmtId="2" fontId="2" fillId="0" borderId="13" xfId="21" applyNumberFormat="1" applyFont="1" applyFill="1" applyBorder="1"/>
    <xf numFmtId="164" fontId="5" fillId="0" borderId="13" xfId="21" applyNumberFormat="1" applyFont="1" applyBorder="1"/>
    <xf numFmtId="0" fontId="4" fillId="0" borderId="5" xfId="21" applyFont="1" applyBorder="1"/>
    <xf numFmtId="164" fontId="2" fillId="0" borderId="0" xfId="21" applyNumberFormat="1" applyFont="1" applyBorder="1" applyAlignment="1">
      <alignment horizontal="right"/>
    </xf>
    <xf numFmtId="164" fontId="4" fillId="0" borderId="21" xfId="21" quotePrefix="1" applyNumberFormat="1" applyFont="1" applyBorder="1" applyAlignment="1">
      <alignment horizontal="center"/>
    </xf>
    <xf numFmtId="0" fontId="4" fillId="0" borderId="21" xfId="21" quotePrefix="1" applyFont="1" applyBorder="1" applyAlignment="1">
      <alignment horizontal="center"/>
    </xf>
    <xf numFmtId="167" fontId="4" fillId="0" borderId="21" xfId="21" quotePrefix="1" applyNumberFormat="1" applyFont="1" applyBorder="1" applyAlignment="1">
      <alignment horizontal="center"/>
    </xf>
    <xf numFmtId="0" fontId="4" fillId="0" borderId="22" xfId="21" quotePrefix="1" applyFont="1" applyBorder="1" applyAlignment="1">
      <alignment horizontal="center"/>
    </xf>
    <xf numFmtId="9" fontId="2" fillId="0" borderId="0" xfId="27" applyFont="1"/>
    <xf numFmtId="2" fontId="2" fillId="0" borderId="0" xfId="21" applyNumberFormat="1" applyFont="1" applyBorder="1" applyAlignment="1">
      <alignment horizontal="center"/>
    </xf>
    <xf numFmtId="0" fontId="2" fillId="0" borderId="6" xfId="21" applyFont="1" applyBorder="1" applyAlignment="1">
      <alignment horizontal="center"/>
    </xf>
    <xf numFmtId="164" fontId="2" fillId="0" borderId="0" xfId="21" applyNumberFormat="1" applyFont="1" applyFill="1"/>
    <xf numFmtId="164" fontId="2" fillId="0" borderId="0" xfId="21" applyNumberFormat="1" applyFont="1" applyFill="1" applyBorder="1"/>
    <xf numFmtId="2" fontId="2" fillId="0" borderId="6" xfId="21" applyNumberFormat="1" applyFont="1" applyBorder="1" applyAlignment="1">
      <alignment horizontal="center"/>
    </xf>
    <xf numFmtId="2" fontId="5" fillId="0" borderId="13" xfId="21" applyNumberFormat="1" applyFont="1" applyFill="1" applyBorder="1"/>
    <xf numFmtId="10" fontId="11" fillId="0" borderId="0" xfId="21" applyNumberFormat="1" applyFont="1" applyFill="1"/>
    <xf numFmtId="0" fontId="5" fillId="0" borderId="14" xfId="21" applyFont="1" applyBorder="1"/>
    <xf numFmtId="164" fontId="5" fillId="0" borderId="14" xfId="21" applyNumberFormat="1" applyFont="1" applyBorder="1"/>
    <xf numFmtId="2" fontId="5" fillId="0" borderId="14" xfId="21" applyNumberFormat="1" applyFont="1" applyBorder="1"/>
    <xf numFmtId="164" fontId="4" fillId="0" borderId="14" xfId="21" applyNumberFormat="1" applyFont="1" applyBorder="1"/>
    <xf numFmtId="2" fontId="5" fillId="0" borderId="0" xfId="21" applyNumberFormat="1" applyFont="1"/>
    <xf numFmtId="2" fontId="4" fillId="0" borderId="0" xfId="21" applyNumberFormat="1" applyFont="1"/>
    <xf numFmtId="167" fontId="3" fillId="0" borderId="0" xfId="21" applyNumberFormat="1" applyFont="1"/>
    <xf numFmtId="167" fontId="3" fillId="0" borderId="0" xfId="21" applyNumberFormat="1" applyFont="1" applyBorder="1"/>
    <xf numFmtId="167" fontId="2" fillId="0" borderId="0" xfId="21" applyNumberFormat="1" applyFont="1" applyBorder="1"/>
    <xf numFmtId="167" fontId="4" fillId="0" borderId="0" xfId="21" applyNumberFormat="1" applyFont="1"/>
    <xf numFmtId="167" fontId="14" fillId="0" borderId="0" xfId="21" applyNumberFormat="1" applyFont="1" applyBorder="1"/>
    <xf numFmtId="10" fontId="2" fillId="0" borderId="0" xfId="21" applyNumberFormat="1" applyFont="1" applyBorder="1"/>
    <xf numFmtId="165" fontId="2" fillId="0" borderId="5" xfId="21" applyNumberFormat="1" applyFont="1" applyBorder="1"/>
    <xf numFmtId="167" fontId="3" fillId="0" borderId="1" xfId="21" applyNumberFormat="1" applyFont="1" applyBorder="1"/>
    <xf numFmtId="9" fontId="2" fillId="0" borderId="2" xfId="21" applyNumberFormat="1" applyFont="1" applyBorder="1"/>
    <xf numFmtId="167" fontId="2" fillId="0" borderId="2" xfId="21" applyNumberFormat="1" applyFont="1" applyBorder="1"/>
    <xf numFmtId="167" fontId="2" fillId="0" borderId="3" xfId="21" applyNumberFormat="1" applyFont="1" applyBorder="1"/>
    <xf numFmtId="167" fontId="3" fillId="0" borderId="5" xfId="21" applyNumberFormat="1" applyFont="1" applyBorder="1"/>
    <xf numFmtId="9" fontId="2" fillId="0" borderId="0" xfId="21" applyNumberFormat="1" applyFont="1" applyBorder="1"/>
    <xf numFmtId="167" fontId="2" fillId="0" borderId="6" xfId="21" applyNumberFormat="1" applyFont="1" applyBorder="1"/>
    <xf numFmtId="0" fontId="5" fillId="0" borderId="5" xfId="21" applyFont="1" applyBorder="1"/>
    <xf numFmtId="0" fontId="5" fillId="0" borderId="0" xfId="21" applyFont="1" applyBorder="1"/>
    <xf numFmtId="0" fontId="2" fillId="0" borderId="5" xfId="21" applyFont="1" applyFill="1" applyBorder="1"/>
    <xf numFmtId="10" fontId="13" fillId="0" borderId="0" xfId="21" applyNumberFormat="1" applyFont="1" applyFill="1" applyBorder="1"/>
    <xf numFmtId="1" fontId="2" fillId="0" borderId="0" xfId="21" applyNumberFormat="1" applyFont="1" applyBorder="1"/>
    <xf numFmtId="44" fontId="13" fillId="0" borderId="0" xfId="7" applyFont="1" applyFill="1" applyBorder="1"/>
    <xf numFmtId="2" fontId="2" fillId="0" borderId="0" xfId="21" applyNumberFormat="1" applyFont="1" applyFill="1" applyBorder="1"/>
    <xf numFmtId="0" fontId="4" fillId="0" borderId="6" xfId="21" applyFont="1" applyFill="1" applyBorder="1"/>
    <xf numFmtId="167" fontId="3" fillId="0" borderId="9" xfId="21" applyNumberFormat="1" applyFont="1" applyBorder="1"/>
    <xf numFmtId="0" fontId="2" fillId="0" borderId="10" xfId="21" applyFont="1" applyBorder="1"/>
    <xf numFmtId="9" fontId="2" fillId="0" borderId="10" xfId="21" applyNumberFormat="1" applyFont="1" applyBorder="1"/>
    <xf numFmtId="164" fontId="2" fillId="0" borderId="10" xfId="21" applyNumberFormat="1" applyFont="1" applyBorder="1"/>
    <xf numFmtId="167" fontId="2" fillId="0" borderId="10" xfId="21" applyNumberFormat="1" applyFont="1" applyBorder="1"/>
    <xf numFmtId="167" fontId="2" fillId="0" borderId="11" xfId="21" applyNumberFormat="1" applyFont="1" applyBorder="1"/>
    <xf numFmtId="0" fontId="12" fillId="0" borderId="15" xfId="21" applyFont="1" applyBorder="1"/>
    <xf numFmtId="0" fontId="2" fillId="0" borderId="16" xfId="21" applyFont="1" applyBorder="1"/>
    <xf numFmtId="0" fontId="12" fillId="0" borderId="0" xfId="21" applyFont="1" applyBorder="1"/>
    <xf numFmtId="164" fontId="12" fillId="0" borderId="0" xfId="21" applyNumberFormat="1" applyFont="1" applyBorder="1"/>
    <xf numFmtId="2" fontId="12" fillId="0" borderId="0" xfId="21" applyNumberFormat="1" applyFont="1" applyBorder="1"/>
    <xf numFmtId="0" fontId="4" fillId="0" borderId="0" xfId="21" applyFont="1" applyFill="1" applyBorder="1"/>
    <xf numFmtId="0" fontId="4" fillId="0" borderId="0" xfId="21" applyFont="1" applyFill="1"/>
    <xf numFmtId="10" fontId="2" fillId="0" borderId="0" xfId="21" applyNumberFormat="1" applyFont="1" applyFill="1" applyBorder="1"/>
    <xf numFmtId="0" fontId="2" fillId="0" borderId="17" xfId="21" applyFont="1" applyBorder="1"/>
    <xf numFmtId="0" fontId="2" fillId="0" borderId="18" xfId="21" applyFont="1" applyBorder="1"/>
    <xf numFmtId="0" fontId="4" fillId="0" borderId="10" xfId="21" applyFont="1" applyFill="1" applyBorder="1"/>
    <xf numFmtId="0" fontId="2" fillId="0" borderId="11" xfId="21" applyFont="1" applyBorder="1"/>
    <xf numFmtId="1" fontId="4" fillId="0" borderId="0" xfId="21" applyNumberFormat="1" applyFont="1" applyBorder="1"/>
    <xf numFmtId="164" fontId="4" fillId="0" borderId="0" xfId="21" applyNumberFormat="1" applyFont="1" applyBorder="1" applyAlignment="1">
      <alignment horizontal="center"/>
    </xf>
    <xf numFmtId="168" fontId="2" fillId="0" borderId="0" xfId="27" applyNumberFormat="1" applyFont="1" applyFill="1" applyBorder="1" applyAlignment="1">
      <alignment horizontal="center"/>
    </xf>
    <xf numFmtId="0" fontId="11" fillId="0" borderId="0" xfId="21" applyFont="1" applyBorder="1"/>
    <xf numFmtId="1" fontId="5" fillId="0" borderId="0" xfId="21" applyNumberFormat="1" applyFont="1" applyBorder="1" applyAlignment="1"/>
    <xf numFmtId="164" fontId="4" fillId="0" borderId="0" xfId="21" quotePrefix="1" applyNumberFormat="1" applyFont="1" applyBorder="1" applyAlignment="1">
      <alignment horizontal="center"/>
    </xf>
    <xf numFmtId="0" fontId="4" fillId="0" borderId="0" xfId="21" quotePrefix="1" applyFont="1" applyBorder="1" applyAlignment="1">
      <alignment horizontal="center"/>
    </xf>
    <xf numFmtId="167" fontId="4" fillId="0" borderId="0" xfId="21" quotePrefix="1" applyNumberFormat="1" applyFont="1" applyBorder="1" applyAlignment="1">
      <alignment horizontal="center"/>
    </xf>
    <xf numFmtId="0" fontId="2" fillId="0" borderId="0" xfId="21" applyFont="1" applyBorder="1" applyAlignment="1">
      <alignment horizontal="center"/>
    </xf>
    <xf numFmtId="167" fontId="4" fillId="0" borderId="0" xfId="21" applyNumberFormat="1" applyFont="1" applyBorder="1"/>
    <xf numFmtId="2" fontId="4" fillId="0" borderId="0" xfId="21" applyNumberFormat="1" applyFont="1" applyBorder="1" applyAlignment="1"/>
    <xf numFmtId="2" fontId="13" fillId="0" borderId="0" xfId="21" applyNumberFormat="1" applyFont="1" applyFill="1" applyBorder="1"/>
    <xf numFmtId="164" fontId="4" fillId="0" borderId="0" xfId="21" applyNumberFormat="1" applyFont="1" applyBorder="1" applyAlignment="1">
      <alignment horizontal="right"/>
    </xf>
    <xf numFmtId="0" fontId="5" fillId="0" borderId="0" xfId="21" applyFont="1" applyBorder="1" applyAlignment="1">
      <alignment horizontal="center" wrapText="1"/>
    </xf>
    <xf numFmtId="1" fontId="5" fillId="0" borderId="0" xfId="21" applyNumberFormat="1" applyFont="1" applyBorder="1" applyAlignment="1">
      <alignment horizontal="center"/>
    </xf>
    <xf numFmtId="166" fontId="2" fillId="0" borderId="0" xfId="7" quotePrefix="1" applyNumberFormat="1" applyFont="1" applyBorder="1"/>
    <xf numFmtId="2" fontId="2" fillId="0" borderId="0" xfId="21" applyNumberFormat="1" applyFont="1" applyBorder="1"/>
    <xf numFmtId="1" fontId="5" fillId="0" borderId="0" xfId="21" applyNumberFormat="1" applyFont="1" applyBorder="1"/>
    <xf numFmtId="1" fontId="11" fillId="0" borderId="0" xfId="21" applyNumberFormat="1" applyFont="1" applyBorder="1"/>
    <xf numFmtId="10" fontId="11" fillId="0" borderId="0" xfId="21" applyNumberFormat="1" applyFont="1" applyFill="1" applyBorder="1"/>
    <xf numFmtId="2" fontId="5" fillId="0" borderId="0" xfId="21" applyNumberFormat="1" applyFont="1" applyBorder="1"/>
    <xf numFmtId="167" fontId="2" fillId="0" borderId="0" xfId="21" applyNumberFormat="1" applyFont="1"/>
    <xf numFmtId="0" fontId="19" fillId="0" borderId="0" xfId="0" applyFont="1" applyBorder="1" applyAlignment="1">
      <alignment horizontal="center"/>
    </xf>
    <xf numFmtId="164" fontId="4" fillId="0" borderId="27" xfId="0" applyNumberFormat="1" applyFont="1" applyBorder="1" applyAlignment="1"/>
    <xf numFmtId="1" fontId="4" fillId="0" borderId="0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/>
    <xf numFmtId="0" fontId="2" fillId="0" borderId="9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8" fontId="2" fillId="0" borderId="11" xfId="26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9" fontId="2" fillId="0" borderId="0" xfId="26" applyFont="1" applyFill="1" applyBorder="1" applyAlignment="1">
      <alignment horizontal="center"/>
    </xf>
    <xf numFmtId="165" fontId="2" fillId="0" borderId="0" xfId="0" applyNumberFormat="1" applyFont="1"/>
    <xf numFmtId="0" fontId="4" fillId="0" borderId="2" xfId="0" applyFont="1" applyBorder="1"/>
    <xf numFmtId="164" fontId="4" fillId="0" borderId="12" xfId="0" applyNumberFormat="1" applyFont="1" applyBorder="1" applyAlignment="1">
      <alignment horizontal="right"/>
    </xf>
    <xf numFmtId="165" fontId="2" fillId="0" borderId="2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165" fontId="2" fillId="0" borderId="0" xfId="0" applyNumberFormat="1" applyFont="1" applyBorder="1"/>
    <xf numFmtId="165" fontId="2" fillId="0" borderId="6" xfId="0" applyNumberFormat="1" applyFont="1" applyBorder="1"/>
    <xf numFmtId="164" fontId="2" fillId="0" borderId="5" xfId="0" applyNumberFormat="1" applyFont="1" applyBorder="1"/>
    <xf numFmtId="1" fontId="4" fillId="0" borderId="8" xfId="0" applyNumberFormat="1" applyFont="1" applyBorder="1" applyAlignment="1"/>
    <xf numFmtId="1" fontId="4" fillId="0" borderId="20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2" fontId="2" fillId="0" borderId="28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4" fontId="2" fillId="0" borderId="0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/>
    <xf numFmtId="2" fontId="4" fillId="0" borderId="20" xfId="0" applyNumberFormat="1" applyFont="1" applyFill="1" applyBorder="1" applyAlignment="1"/>
    <xf numFmtId="165" fontId="2" fillId="0" borderId="5" xfId="0" applyNumberFormat="1" applyFont="1" applyBorder="1"/>
    <xf numFmtId="2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5" xfId="0" applyFont="1" applyFill="1" applyBorder="1"/>
    <xf numFmtId="10" fontId="4" fillId="0" borderId="0" xfId="0" applyNumberFormat="1" applyFont="1" applyFill="1" applyBorder="1" applyAlignment="1">
      <alignment horizontal="center"/>
    </xf>
    <xf numFmtId="0" fontId="2" fillId="0" borderId="6" xfId="0" applyFont="1" applyBorder="1"/>
    <xf numFmtId="0" fontId="4" fillId="0" borderId="15" xfId="0" applyFont="1" applyBorder="1"/>
    <xf numFmtId="0" fontId="2" fillId="0" borderId="16" xfId="0" applyFont="1" applyBorder="1"/>
    <xf numFmtId="2" fontId="2" fillId="0" borderId="16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6" xfId="0" applyFont="1" applyBorder="1"/>
    <xf numFmtId="0" fontId="2" fillId="0" borderId="17" xfId="0" applyFont="1" applyBorder="1"/>
    <xf numFmtId="0" fontId="2" fillId="0" borderId="18" xfId="0" applyFont="1" applyBorder="1"/>
    <xf numFmtId="10" fontId="2" fillId="0" borderId="18" xfId="26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44" fontId="4" fillId="0" borderId="29" xfId="6" applyFont="1" applyFill="1" applyBorder="1" applyAlignment="1">
      <alignment horizontal="center" wrapText="1"/>
    </xf>
    <xf numFmtId="44" fontId="4" fillId="0" borderId="12" xfId="6" applyFont="1" applyFill="1" applyBorder="1" applyAlignment="1">
      <alignment horizontal="center" wrapText="1"/>
    </xf>
    <xf numFmtId="44" fontId="4" fillId="0" borderId="30" xfId="6" applyFont="1" applyFill="1" applyBorder="1" applyAlignment="1">
      <alignment horizontal="center" wrapText="1"/>
    </xf>
    <xf numFmtId="44" fontId="4" fillId="0" borderId="5" xfId="6" applyFont="1" applyFill="1" applyBorder="1" applyAlignment="1">
      <alignment horizontal="left" wrapText="1"/>
    </xf>
    <xf numFmtId="44" fontId="4" fillId="0" borderId="9" xfId="6" applyFont="1" applyFill="1" applyBorder="1" applyAlignment="1">
      <alignment horizontal="left" wrapText="1"/>
    </xf>
    <xf numFmtId="44" fontId="4" fillId="0" borderId="5" xfId="6" applyFont="1" applyFill="1" applyBorder="1" applyAlignment="1">
      <alignment horizontal="left"/>
    </xf>
    <xf numFmtId="44" fontId="4" fillId="11" borderId="11" xfId="6" applyFont="1" applyFill="1" applyBorder="1" applyAlignment="1">
      <alignment horizontal="center" wrapText="1"/>
    </xf>
    <xf numFmtId="44" fontId="4" fillId="0" borderId="31" xfId="6" applyFont="1" applyFill="1" applyBorder="1" applyAlignment="1">
      <alignment horizontal="center" wrapText="1"/>
    </xf>
    <xf numFmtId="44" fontId="4" fillId="0" borderId="32" xfId="6" applyFont="1" applyFill="1" applyBorder="1" applyAlignment="1">
      <alignment horizontal="center" wrapText="1"/>
    </xf>
    <xf numFmtId="44" fontId="4" fillId="0" borderId="23" xfId="6" applyFont="1" applyFill="1" applyBorder="1" applyAlignment="1">
      <alignment horizontal="center" wrapText="1"/>
    </xf>
    <xf numFmtId="171" fontId="8" fillId="0" borderId="6" xfId="6" applyNumberFormat="1" applyFont="1" applyFill="1" applyBorder="1" applyAlignment="1">
      <alignment horizontal="center" wrapText="1"/>
    </xf>
    <xf numFmtId="171" fontId="4" fillId="11" borderId="11" xfId="6" applyNumberFormat="1" applyFont="1" applyFill="1" applyBorder="1" applyAlignment="1">
      <alignment horizontal="center" wrapText="1"/>
    </xf>
    <xf numFmtId="171" fontId="4" fillId="12" borderId="11" xfId="6" applyNumberFormat="1" applyFont="1" applyFill="1" applyBorder="1" applyAlignment="1">
      <alignment horizontal="center" wrapText="1"/>
    </xf>
    <xf numFmtId="164" fontId="11" fillId="13" borderId="0" xfId="21" applyNumberFormat="1" applyFont="1" applyFill="1"/>
    <xf numFmtId="10" fontId="11" fillId="13" borderId="0" xfId="21" applyNumberFormat="1" applyFont="1" applyFill="1"/>
    <xf numFmtId="164" fontId="11" fillId="13" borderId="0" xfId="21" applyNumberFormat="1" applyFont="1" applyFill="1" applyBorder="1"/>
    <xf numFmtId="10" fontId="11" fillId="13" borderId="0" xfId="21" applyNumberFormat="1" applyFont="1" applyFill="1" applyBorder="1"/>
    <xf numFmtId="2" fontId="2" fillId="13" borderId="0" xfId="21" applyNumberFormat="1" applyFont="1" applyFill="1"/>
    <xf numFmtId="2" fontId="2" fillId="13" borderId="0" xfId="21" applyNumberFormat="1" applyFont="1" applyFill="1" applyBorder="1"/>
    <xf numFmtId="164" fontId="13" fillId="14" borderId="0" xfId="0" applyNumberFormat="1" applyFont="1" applyFill="1" applyBorder="1"/>
    <xf numFmtId="164" fontId="13" fillId="15" borderId="0" xfId="0" applyNumberFormat="1" applyFont="1" applyFill="1" applyBorder="1"/>
    <xf numFmtId="2" fontId="8" fillId="15" borderId="0" xfId="0" applyNumberFormat="1" applyFont="1" applyFill="1" applyBorder="1" applyAlignment="1">
      <alignment horizontal="center"/>
    </xf>
    <xf numFmtId="10" fontId="8" fillId="0" borderId="18" xfId="26" applyNumberFormat="1" applyFont="1" applyFill="1" applyBorder="1"/>
    <xf numFmtId="44" fontId="13" fillId="14" borderId="0" xfId="6" applyFont="1" applyFill="1" applyBorder="1"/>
    <xf numFmtId="10" fontId="8" fillId="0" borderId="18" xfId="26" applyNumberFormat="1" applyFont="1" applyFill="1" applyBorder="1" applyAlignment="1">
      <alignment horizontal="center"/>
    </xf>
    <xf numFmtId="44" fontId="13" fillId="14" borderId="0" xfId="6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center"/>
    </xf>
    <xf numFmtId="2" fontId="8" fillId="0" borderId="16" xfId="0" applyNumberFormat="1" applyFont="1" applyFill="1" applyBorder="1" applyAlignment="1">
      <alignment horizontal="center"/>
    </xf>
    <xf numFmtId="0" fontId="0" fillId="0" borderId="0" xfId="0" applyFill="1" applyBorder="1"/>
    <xf numFmtId="164" fontId="12" fillId="0" borderId="0" xfId="0" applyNumberFormat="1" applyFont="1" applyFill="1" applyBorder="1" applyAlignment="1">
      <alignment horizontal="center"/>
    </xf>
    <xf numFmtId="0" fontId="0" fillId="0" borderId="0" xfId="0" applyFill="1"/>
    <xf numFmtId="171" fontId="4" fillId="14" borderId="11" xfId="6" applyNumberFormat="1" applyFont="1" applyFill="1" applyBorder="1" applyAlignment="1">
      <alignment horizontal="center" wrapText="1"/>
    </xf>
    <xf numFmtId="164" fontId="13" fillId="14" borderId="0" xfId="21" applyNumberFormat="1" applyFont="1" applyFill="1" applyBorder="1"/>
    <xf numFmtId="2" fontId="2" fillId="0" borderId="0" xfId="21" applyNumberFormat="1" applyFont="1" applyFill="1" applyBorder="1" applyAlignment="1">
      <alignment horizontal="center"/>
    </xf>
    <xf numFmtId="2" fontId="2" fillId="0" borderId="6" xfId="21" applyNumberFormat="1" applyFont="1" applyFill="1" applyBorder="1" applyAlignment="1">
      <alignment horizontal="center"/>
    </xf>
    <xf numFmtId="2" fontId="2" fillId="14" borderId="0" xfId="21" applyNumberFormat="1" applyFont="1" applyFill="1" applyBorder="1" applyAlignment="1">
      <alignment horizontal="center"/>
    </xf>
    <xf numFmtId="2" fontId="2" fillId="0" borderId="0" xfId="21" applyNumberFormat="1" applyFont="1" applyFill="1" applyAlignment="1">
      <alignment horizontal="center"/>
    </xf>
    <xf numFmtId="44" fontId="13" fillId="14" borderId="0" xfId="7" applyFont="1" applyFill="1" applyBorder="1"/>
    <xf numFmtId="44" fontId="13" fillId="0" borderId="0" xfId="7" applyNumberFormat="1" applyFont="1" applyFill="1" applyBorder="1"/>
    <xf numFmtId="2" fontId="2" fillId="0" borderId="16" xfId="21" applyNumberFormat="1" applyFont="1" applyFill="1" applyBorder="1"/>
    <xf numFmtId="164" fontId="12" fillId="0" borderId="0" xfId="21" applyNumberFormat="1" applyFont="1" applyFill="1" applyBorder="1"/>
    <xf numFmtId="2" fontId="12" fillId="0" borderId="0" xfId="21" applyNumberFormat="1" applyFont="1" applyFill="1" applyBorder="1"/>
    <xf numFmtId="0" fontId="2" fillId="0" borderId="18" xfId="21" applyFont="1" applyFill="1" applyBorder="1"/>
    <xf numFmtId="10" fontId="2" fillId="0" borderId="18" xfId="27" applyNumberFormat="1" applyFont="1" applyFill="1" applyBorder="1"/>
    <xf numFmtId="44" fontId="4" fillId="14" borderId="0" xfId="6" applyFont="1" applyFill="1" applyBorder="1" applyAlignment="1">
      <alignment horizontal="center"/>
    </xf>
    <xf numFmtId="164" fontId="4" fillId="13" borderId="0" xfId="0" applyNumberFormat="1" applyFont="1" applyFill="1" applyBorder="1" applyAlignment="1">
      <alignment horizontal="center"/>
    </xf>
    <xf numFmtId="0" fontId="12" fillId="0" borderId="5" xfId="0" applyFont="1" applyBorder="1"/>
    <xf numFmtId="0" fontId="4" fillId="0" borderId="0" xfId="21" applyFont="1" applyBorder="1" applyAlignment="1">
      <alignment horizontal="right"/>
    </xf>
    <xf numFmtId="0" fontId="5" fillId="0" borderId="0" xfId="21" applyFont="1" applyBorder="1" applyAlignment="1">
      <alignment horizontal="center"/>
    </xf>
    <xf numFmtId="165" fontId="2" fillId="0" borderId="0" xfId="21" applyNumberFormat="1" applyFont="1" applyBorder="1" applyAlignment="1">
      <alignment horizontal="right"/>
    </xf>
    <xf numFmtId="2" fontId="5" fillId="0" borderId="0" xfId="21" applyNumberFormat="1" applyFont="1" applyFill="1" applyBorder="1"/>
    <xf numFmtId="167" fontId="8" fillId="17" borderId="33" xfId="0" applyNumberFormat="1" applyFont="1" applyFill="1" applyBorder="1"/>
    <xf numFmtId="167" fontId="2" fillId="17" borderId="33" xfId="21" applyNumberFormat="1" applyFont="1" applyFill="1" applyBorder="1"/>
    <xf numFmtId="167" fontId="4" fillId="0" borderId="0" xfId="0" applyNumberFormat="1" applyFont="1" applyFill="1" applyAlignment="1">
      <alignment wrapText="1"/>
    </xf>
    <xf numFmtId="0" fontId="4" fillId="18" borderId="0" xfId="0" applyFont="1" applyFill="1"/>
    <xf numFmtId="0" fontId="8" fillId="18" borderId="0" xfId="0" applyFont="1" applyFill="1"/>
    <xf numFmtId="0" fontId="0" fillId="18" borderId="0" xfId="0" applyFill="1"/>
    <xf numFmtId="0" fontId="8" fillId="18" borderId="0" xfId="0" applyFont="1" applyFill="1" applyBorder="1"/>
    <xf numFmtId="0" fontId="11" fillId="18" borderId="0" xfId="0" applyFont="1" applyFill="1"/>
    <xf numFmtId="0" fontId="11" fillId="18" borderId="0" xfId="0" applyFont="1" applyFill="1" applyBorder="1"/>
    <xf numFmtId="164" fontId="4" fillId="18" borderId="0" xfId="0" applyNumberFormat="1" applyFont="1" applyFill="1" applyAlignment="1">
      <alignment horizontal="center"/>
    </xf>
    <xf numFmtId="1" fontId="4" fillId="18" borderId="0" xfId="0" applyNumberFormat="1" applyFont="1" applyFill="1"/>
    <xf numFmtId="164" fontId="4" fillId="18" borderId="0" xfId="0" applyNumberFormat="1" applyFont="1" applyFill="1"/>
    <xf numFmtId="0" fontId="4" fillId="18" borderId="0" xfId="0" applyFont="1" applyFill="1" applyAlignment="1">
      <alignment horizontal="right"/>
    </xf>
    <xf numFmtId="0" fontId="12" fillId="18" borderId="0" xfId="0" applyFont="1" applyFill="1" applyBorder="1"/>
    <xf numFmtId="164" fontId="4" fillId="18" borderId="0" xfId="0" applyNumberFormat="1" applyFont="1" applyFill="1" applyAlignment="1">
      <alignment horizontal="right"/>
    </xf>
    <xf numFmtId="1" fontId="12" fillId="18" borderId="0" xfId="0" applyNumberFormat="1" applyFont="1" applyFill="1" applyBorder="1"/>
    <xf numFmtId="3" fontId="4" fillId="18" borderId="0" xfId="0" applyNumberFormat="1" applyFont="1" applyFill="1"/>
    <xf numFmtId="164" fontId="8" fillId="18" borderId="0" xfId="0" applyNumberFormat="1" applyFont="1" applyFill="1" applyAlignment="1">
      <alignment horizontal="right"/>
    </xf>
    <xf numFmtId="164" fontId="8" fillId="18" borderId="0" xfId="0" applyNumberFormat="1" applyFont="1" applyFill="1"/>
    <xf numFmtId="164" fontId="4" fillId="18" borderId="0" xfId="0" applyNumberFormat="1" applyFont="1" applyFill="1" applyBorder="1"/>
    <xf numFmtId="167" fontId="8" fillId="18" borderId="0" xfId="0" applyNumberFormat="1" applyFont="1" applyFill="1" applyBorder="1"/>
    <xf numFmtId="0" fontId="4" fillId="19" borderId="0" xfId="0" applyFont="1" applyFill="1"/>
    <xf numFmtId="0" fontId="8" fillId="19" borderId="0" xfId="0" applyFont="1" applyFill="1"/>
    <xf numFmtId="0" fontId="0" fillId="19" borderId="0" xfId="0" applyFill="1"/>
    <xf numFmtId="0" fontId="4" fillId="19" borderId="0" xfId="0" applyFont="1" applyFill="1" applyBorder="1"/>
    <xf numFmtId="0" fontId="8" fillId="19" borderId="0" xfId="0" applyFont="1" applyFill="1" applyBorder="1"/>
    <xf numFmtId="0" fontId="11" fillId="19" borderId="0" xfId="0" applyFont="1" applyFill="1"/>
    <xf numFmtId="0" fontId="11" fillId="19" borderId="0" xfId="0" applyFont="1" applyFill="1" applyBorder="1"/>
    <xf numFmtId="164" fontId="4" fillId="19" borderId="0" xfId="0" applyNumberFormat="1" applyFont="1" applyFill="1" applyAlignment="1">
      <alignment horizontal="center"/>
    </xf>
    <xf numFmtId="1" fontId="4" fillId="19" borderId="0" xfId="0" applyNumberFormat="1" applyFont="1" applyFill="1"/>
    <xf numFmtId="164" fontId="4" fillId="19" borderId="0" xfId="0" applyNumberFormat="1" applyFont="1" applyFill="1"/>
    <xf numFmtId="0" fontId="4" fillId="19" borderId="0" xfId="0" applyFont="1" applyFill="1" applyAlignment="1">
      <alignment horizontal="right"/>
    </xf>
    <xf numFmtId="0" fontId="12" fillId="19" borderId="0" xfId="0" applyFont="1" applyFill="1" applyBorder="1"/>
    <xf numFmtId="164" fontId="4" fillId="19" borderId="0" xfId="0" applyNumberFormat="1" applyFont="1" applyFill="1" applyAlignment="1">
      <alignment horizontal="right"/>
    </xf>
    <xf numFmtId="1" fontId="12" fillId="19" borderId="0" xfId="0" applyNumberFormat="1" applyFont="1" applyFill="1" applyBorder="1"/>
    <xf numFmtId="3" fontId="4" fillId="19" borderId="0" xfId="0" applyNumberFormat="1" applyFont="1" applyFill="1"/>
    <xf numFmtId="165" fontId="4" fillId="19" borderId="0" xfId="0" applyNumberFormat="1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center" wrapText="1"/>
    </xf>
    <xf numFmtId="164" fontId="5" fillId="19" borderId="0" xfId="0" applyNumberFormat="1" applyFont="1" applyFill="1" applyAlignment="1">
      <alignment horizontal="center"/>
    </xf>
    <xf numFmtId="1" fontId="5" fillId="19" borderId="0" xfId="0" applyNumberFormat="1" applyFont="1" applyFill="1" applyAlignment="1">
      <alignment horizontal="center"/>
    </xf>
    <xf numFmtId="164" fontId="8" fillId="19" borderId="0" xfId="0" applyNumberFormat="1" applyFont="1" applyFill="1" applyAlignment="1">
      <alignment horizontal="right"/>
    </xf>
    <xf numFmtId="166" fontId="8" fillId="19" borderId="0" xfId="6" quotePrefix="1" applyNumberFormat="1" applyFont="1" applyFill="1"/>
    <xf numFmtId="164" fontId="11" fillId="19" borderId="0" xfId="0" applyNumberFormat="1" applyFont="1" applyFill="1"/>
    <xf numFmtId="2" fontId="8" fillId="19" borderId="0" xfId="0" applyNumberFormat="1" applyFont="1" applyFill="1"/>
    <xf numFmtId="164" fontId="8" fillId="19" borderId="0" xfId="0" applyNumberFormat="1" applyFont="1" applyFill="1"/>
    <xf numFmtId="165" fontId="8" fillId="19" borderId="0" xfId="0" applyNumberFormat="1" applyFont="1" applyFill="1" applyAlignment="1">
      <alignment horizontal="right"/>
    </xf>
    <xf numFmtId="0" fontId="4" fillId="19" borderId="13" xfId="0" applyFont="1" applyFill="1" applyBorder="1"/>
    <xf numFmtId="164" fontId="4" fillId="19" borderId="13" xfId="0" applyNumberFormat="1" applyFont="1" applyFill="1" applyBorder="1"/>
    <xf numFmtId="2" fontId="4" fillId="19" borderId="13" xfId="0" applyNumberFormat="1" applyFont="1" applyFill="1" applyBorder="1"/>
    <xf numFmtId="164" fontId="4" fillId="19" borderId="0" xfId="0" applyNumberFormat="1" applyFont="1" applyFill="1" applyBorder="1"/>
    <xf numFmtId="2" fontId="4" fillId="19" borderId="0" xfId="0" applyNumberFormat="1" applyFont="1" applyFill="1" applyBorder="1"/>
    <xf numFmtId="0" fontId="5" fillId="19" borderId="0" xfId="0" applyFont="1" applyFill="1"/>
    <xf numFmtId="164" fontId="5" fillId="19" borderId="0" xfId="0" applyNumberFormat="1" applyFont="1" applyFill="1"/>
    <xf numFmtId="1" fontId="5" fillId="19" borderId="0" xfId="0" applyNumberFormat="1" applyFont="1" applyFill="1"/>
    <xf numFmtId="10" fontId="11" fillId="19" borderId="0" xfId="0" applyNumberFormat="1" applyFont="1" applyFill="1"/>
    <xf numFmtId="1" fontId="11" fillId="19" borderId="0" xfId="0" applyNumberFormat="1" applyFont="1" applyFill="1"/>
    <xf numFmtId="0" fontId="8" fillId="19" borderId="13" xfId="0" applyFont="1" applyFill="1" applyBorder="1"/>
    <xf numFmtId="164" fontId="8" fillId="19" borderId="13" xfId="0" applyNumberFormat="1" applyFont="1" applyFill="1" applyBorder="1"/>
    <xf numFmtId="2" fontId="8" fillId="19" borderId="13" xfId="0" applyNumberFormat="1" applyFont="1" applyFill="1" applyBorder="1"/>
    <xf numFmtId="164" fontId="5" fillId="19" borderId="13" xfId="0" applyNumberFormat="1" applyFont="1" applyFill="1" applyBorder="1"/>
    <xf numFmtId="164" fontId="8" fillId="19" borderId="0" xfId="0" applyNumberFormat="1" applyFont="1" applyFill="1" applyBorder="1"/>
    <xf numFmtId="1" fontId="8" fillId="19" borderId="0" xfId="0" applyNumberFormat="1" applyFont="1" applyFill="1"/>
    <xf numFmtId="9" fontId="8" fillId="19" borderId="0" xfId="26" applyFont="1" applyFill="1"/>
    <xf numFmtId="2" fontId="5" fillId="19" borderId="13" xfId="0" applyNumberFormat="1" applyFont="1" applyFill="1" applyBorder="1"/>
    <xf numFmtId="0" fontId="5" fillId="19" borderId="14" xfId="0" applyFont="1" applyFill="1" applyBorder="1"/>
    <xf numFmtId="164" fontId="5" fillId="19" borderId="14" xfId="0" applyNumberFormat="1" applyFont="1" applyFill="1" applyBorder="1"/>
    <xf numFmtId="2" fontId="5" fillId="19" borderId="14" xfId="0" applyNumberFormat="1" applyFont="1" applyFill="1" applyBorder="1"/>
    <xf numFmtId="164" fontId="4" fillId="19" borderId="14" xfId="0" applyNumberFormat="1" applyFont="1" applyFill="1" applyBorder="1"/>
    <xf numFmtId="2" fontId="5" fillId="19" borderId="0" xfId="0" applyNumberFormat="1" applyFont="1" applyFill="1"/>
    <xf numFmtId="167" fontId="10" fillId="19" borderId="0" xfId="0" applyNumberFormat="1" applyFont="1" applyFill="1"/>
    <xf numFmtId="167" fontId="10" fillId="19" borderId="0" xfId="0" applyNumberFormat="1" applyFont="1" applyFill="1" applyBorder="1"/>
    <xf numFmtId="167" fontId="8" fillId="19" borderId="0" xfId="0" applyNumberFormat="1" applyFont="1" applyFill="1" applyBorder="1"/>
    <xf numFmtId="167" fontId="4" fillId="19" borderId="0" xfId="0" applyNumberFormat="1" applyFont="1" applyFill="1"/>
    <xf numFmtId="10" fontId="8" fillId="19" borderId="0" xfId="0" applyNumberFormat="1" applyFont="1" applyFill="1" applyBorder="1"/>
    <xf numFmtId="167" fontId="10" fillId="19" borderId="1" xfId="0" applyNumberFormat="1" applyFont="1" applyFill="1" applyBorder="1"/>
    <xf numFmtId="0" fontId="8" fillId="19" borderId="2" xfId="0" applyFont="1" applyFill="1" applyBorder="1"/>
    <xf numFmtId="9" fontId="8" fillId="19" borderId="2" xfId="0" applyNumberFormat="1" applyFont="1" applyFill="1" applyBorder="1"/>
    <xf numFmtId="164" fontId="8" fillId="19" borderId="2" xfId="0" applyNumberFormat="1" applyFont="1" applyFill="1" applyBorder="1"/>
    <xf numFmtId="167" fontId="8" fillId="19" borderId="2" xfId="0" applyNumberFormat="1" applyFont="1" applyFill="1" applyBorder="1"/>
    <xf numFmtId="167" fontId="8" fillId="19" borderId="3" xfId="0" applyNumberFormat="1" applyFont="1" applyFill="1" applyBorder="1"/>
    <xf numFmtId="167" fontId="8" fillId="19" borderId="33" xfId="0" applyNumberFormat="1" applyFont="1" applyFill="1" applyBorder="1"/>
    <xf numFmtId="167" fontId="10" fillId="19" borderId="5" xfId="0" applyNumberFormat="1" applyFont="1" applyFill="1" applyBorder="1"/>
    <xf numFmtId="9" fontId="8" fillId="19" borderId="0" xfId="0" applyNumberFormat="1" applyFont="1" applyFill="1" applyBorder="1"/>
    <xf numFmtId="167" fontId="8" fillId="19" borderId="6" xfId="0" applyNumberFormat="1" applyFont="1" applyFill="1" applyBorder="1"/>
    <xf numFmtId="167" fontId="8" fillId="19" borderId="34" xfId="0" applyNumberFormat="1" applyFont="1" applyFill="1" applyBorder="1"/>
    <xf numFmtId="167" fontId="10" fillId="19" borderId="9" xfId="0" applyNumberFormat="1" applyFont="1" applyFill="1" applyBorder="1"/>
    <xf numFmtId="0" fontId="8" fillId="19" borderId="10" xfId="0" applyFont="1" applyFill="1" applyBorder="1"/>
    <xf numFmtId="9" fontId="8" fillId="19" borderId="10" xfId="0" applyNumberFormat="1" applyFont="1" applyFill="1" applyBorder="1"/>
    <xf numFmtId="164" fontId="8" fillId="19" borderId="10" xfId="0" applyNumberFormat="1" applyFont="1" applyFill="1" applyBorder="1"/>
    <xf numFmtId="167" fontId="8" fillId="19" borderId="10" xfId="0" applyNumberFormat="1" applyFont="1" applyFill="1" applyBorder="1"/>
    <xf numFmtId="167" fontId="8" fillId="19" borderId="11" xfId="0" applyNumberFormat="1" applyFont="1" applyFill="1" applyBorder="1"/>
    <xf numFmtId="167" fontId="8" fillId="19" borderId="35" xfId="0" applyNumberFormat="1" applyFont="1" applyFill="1" applyBorder="1"/>
    <xf numFmtId="3" fontId="4" fillId="20" borderId="0" xfId="0" applyNumberFormat="1" applyFont="1" applyFill="1" applyBorder="1"/>
    <xf numFmtId="44" fontId="8" fillId="18" borderId="0" xfId="0" applyNumberFormat="1" applyFont="1" applyFill="1" applyBorder="1"/>
    <xf numFmtId="164" fontId="4" fillId="18" borderId="0" xfId="0" applyNumberFormat="1" applyFont="1" applyFill="1" applyBorder="1" applyAlignment="1"/>
    <xf numFmtId="16" fontId="12" fillId="18" borderId="0" xfId="0" quotePrefix="1" applyNumberFormat="1" applyFont="1" applyFill="1" applyBorder="1"/>
    <xf numFmtId="3" fontId="4" fillId="18" borderId="0" xfId="0" applyNumberFormat="1" applyFont="1" applyFill="1" applyBorder="1"/>
    <xf numFmtId="3" fontId="8" fillId="18" borderId="0" xfId="0" applyNumberFormat="1" applyFont="1" applyFill="1"/>
    <xf numFmtId="0" fontId="2" fillId="18" borderId="0" xfId="0" applyFont="1" applyFill="1" applyBorder="1"/>
    <xf numFmtId="0" fontId="8" fillId="18" borderId="0" xfId="0" applyFont="1" applyFill="1" applyAlignment="1">
      <alignment horizontal="center"/>
    </xf>
    <xf numFmtId="0" fontId="8" fillId="18" borderId="0" xfId="0" applyFont="1" applyFill="1" applyAlignment="1">
      <alignment horizontal="right"/>
    </xf>
    <xf numFmtId="44" fontId="8" fillId="18" borderId="0" xfId="6" applyNumberFormat="1" applyFont="1" applyFill="1" applyBorder="1" applyAlignment="1">
      <alignment horizontal="right" wrapText="1"/>
    </xf>
    <xf numFmtId="39" fontId="8" fillId="18" borderId="0" xfId="6" applyNumberFormat="1" applyFont="1" applyFill="1" applyBorder="1" applyAlignment="1">
      <alignment horizontal="right" wrapText="1"/>
    </xf>
    <xf numFmtId="44" fontId="8" fillId="18" borderId="0" xfId="0" applyNumberFormat="1" applyFont="1" applyFill="1"/>
    <xf numFmtId="44" fontId="8" fillId="18" borderId="0" xfId="6" applyFont="1" applyFill="1" applyBorder="1" applyAlignment="1">
      <alignment horizontal="center" wrapText="1"/>
    </xf>
    <xf numFmtId="0" fontId="8" fillId="18" borderId="5" xfId="22" applyFont="1" applyFill="1" applyBorder="1" applyAlignment="1">
      <alignment horizontal="left" wrapText="1"/>
    </xf>
    <xf numFmtId="44" fontId="8" fillId="18" borderId="6" xfId="6" applyFont="1" applyFill="1" applyBorder="1" applyAlignment="1">
      <alignment horizontal="center" wrapText="1"/>
    </xf>
    <xf numFmtId="10" fontId="8" fillId="18" borderId="0" xfId="26" applyNumberFormat="1" applyFont="1" applyFill="1"/>
    <xf numFmtId="44" fontId="15" fillId="18" borderId="0" xfId="0" applyNumberFormat="1" applyFont="1" applyFill="1"/>
    <xf numFmtId="0" fontId="8" fillId="18" borderId="9" xfId="22" applyFont="1" applyFill="1" applyBorder="1" applyAlignment="1">
      <alignment horizontal="left" wrapText="1"/>
    </xf>
    <xf numFmtId="44" fontId="8" fillId="18" borderId="11" xfId="6" applyFont="1" applyFill="1" applyBorder="1" applyAlignment="1">
      <alignment horizontal="center" wrapText="1"/>
    </xf>
    <xf numFmtId="0" fontId="8" fillId="18" borderId="21" xfId="0" applyFont="1" applyFill="1" applyBorder="1" applyAlignment="1">
      <alignment horizontal="right"/>
    </xf>
    <xf numFmtId="0" fontId="8" fillId="18" borderId="21" xfId="0" applyFont="1" applyFill="1" applyBorder="1"/>
    <xf numFmtId="44" fontId="8" fillId="18" borderId="21" xfId="0" applyNumberFormat="1" applyFont="1" applyFill="1" applyBorder="1"/>
    <xf numFmtId="44" fontId="4" fillId="18" borderId="0" xfId="6" applyFont="1" applyFill="1" applyBorder="1"/>
    <xf numFmtId="3" fontId="4" fillId="18" borderId="0" xfId="0" applyNumberFormat="1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1" fontId="4" fillId="18" borderId="0" xfId="0" applyNumberFormat="1" applyFont="1" applyFill="1" applyBorder="1"/>
    <xf numFmtId="10" fontId="4" fillId="18" borderId="0" xfId="0" quotePrefix="1" applyNumberFormat="1" applyFont="1" applyFill="1" applyBorder="1"/>
    <xf numFmtId="44" fontId="4" fillId="18" borderId="0" xfId="6" applyFont="1" applyFill="1"/>
    <xf numFmtId="9" fontId="8" fillId="18" borderId="0" xfId="26" quotePrefix="1" applyFont="1" applyFill="1" applyBorder="1"/>
    <xf numFmtId="44" fontId="38" fillId="18" borderId="0" xfId="6" applyNumberFormat="1" applyFont="1" applyFill="1" applyBorder="1"/>
    <xf numFmtId="1" fontId="11" fillId="18" borderId="0" xfId="0" applyNumberFormat="1" applyFont="1" applyFill="1" applyBorder="1"/>
    <xf numFmtId="44" fontId="8" fillId="18" borderId="0" xfId="6" applyFont="1" applyFill="1" applyBorder="1"/>
    <xf numFmtId="44" fontId="4" fillId="18" borderId="0" xfId="6" applyNumberFormat="1" applyFont="1" applyFill="1" applyBorder="1"/>
    <xf numFmtId="0" fontId="4" fillId="18" borderId="0" xfId="0" applyFont="1" applyFill="1" applyAlignment="1">
      <alignment horizontal="left"/>
    </xf>
    <xf numFmtId="44" fontId="4" fillId="18" borderId="0" xfId="0" applyNumberFormat="1" applyFont="1" applyFill="1"/>
    <xf numFmtId="44" fontId="4" fillId="21" borderId="0" xfId="6" applyNumberFormat="1" applyFont="1" applyFill="1" applyBorder="1"/>
    <xf numFmtId="0" fontId="8" fillId="21" borderId="0" xfId="0" applyFont="1" applyFill="1"/>
    <xf numFmtId="44" fontId="8" fillId="21" borderId="0" xfId="6" applyFont="1" applyFill="1"/>
    <xf numFmtId="44" fontId="4" fillId="20" borderId="0" xfId="6" applyNumberFormat="1" applyFont="1" applyFill="1" applyBorder="1"/>
    <xf numFmtId="44" fontId="4" fillId="20" borderId="0" xfId="6" applyFont="1" applyFill="1" applyBorder="1"/>
    <xf numFmtId="0" fontId="8" fillId="20" borderId="0" xfId="0" applyFont="1" applyFill="1"/>
    <xf numFmtId="0" fontId="19" fillId="18" borderId="0" xfId="0" applyFont="1" applyFill="1"/>
    <xf numFmtId="0" fontId="20" fillId="0" borderId="0" xfId="15"/>
    <xf numFmtId="0" fontId="39" fillId="0" borderId="36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39" fillId="0" borderId="37" xfId="0" applyFont="1" applyBorder="1" applyAlignment="1">
      <alignment horizontal="center" wrapText="1"/>
    </xf>
    <xf numFmtId="0" fontId="39" fillId="0" borderId="19" xfId="0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164" fontId="13" fillId="0" borderId="0" xfId="21" applyNumberFormat="1" applyFont="1" applyFill="1" applyBorder="1"/>
    <xf numFmtId="164" fontId="4" fillId="0" borderId="21" xfId="21" quotePrefix="1" applyNumberFormat="1" applyFont="1" applyFill="1" applyBorder="1" applyAlignment="1">
      <alignment horizontal="center"/>
    </xf>
    <xf numFmtId="0" fontId="4" fillId="0" borderId="21" xfId="21" quotePrefix="1" applyFont="1" applyFill="1" applyBorder="1" applyAlignment="1">
      <alignment horizontal="center"/>
    </xf>
    <xf numFmtId="167" fontId="4" fillId="0" borderId="21" xfId="21" quotePrefix="1" applyNumberFormat="1" applyFont="1" applyFill="1" applyBorder="1" applyAlignment="1">
      <alignment horizontal="center"/>
    </xf>
    <xf numFmtId="0" fontId="4" fillId="0" borderId="22" xfId="21" quotePrefix="1" applyFont="1" applyFill="1" applyBorder="1" applyAlignment="1">
      <alignment horizontal="center"/>
    </xf>
    <xf numFmtId="0" fontId="2" fillId="0" borderId="6" xfId="21" applyFont="1" applyFill="1" applyBorder="1"/>
    <xf numFmtId="1" fontId="2" fillId="0" borderId="0" xfId="21" applyNumberFormat="1" applyFont="1" applyFill="1" applyBorder="1"/>
    <xf numFmtId="167" fontId="2" fillId="0" borderId="3" xfId="21" applyNumberFormat="1" applyFont="1" applyFill="1" applyBorder="1"/>
    <xf numFmtId="166" fontId="2" fillId="0" borderId="0" xfId="7" quotePrefix="1" applyNumberFormat="1" applyFont="1" applyFill="1"/>
    <xf numFmtId="164" fontId="11" fillId="0" borderId="0" xfId="21" applyNumberFormat="1" applyFont="1" applyFill="1"/>
    <xf numFmtId="164" fontId="2" fillId="0" borderId="0" xfId="21" applyNumberFormat="1" applyFont="1" applyFill="1" applyAlignment="1">
      <alignment horizontal="right"/>
    </xf>
    <xf numFmtId="165" fontId="2" fillId="0" borderId="0" xfId="21" applyNumberFormat="1" applyFont="1" applyFill="1" applyAlignment="1">
      <alignment horizontal="right"/>
    </xf>
    <xf numFmtId="165" fontId="2" fillId="0" borderId="0" xfId="21" applyNumberFormat="1" applyFont="1" applyFill="1"/>
    <xf numFmtId="0" fontId="4" fillId="0" borderId="13" xfId="21" applyFont="1" applyFill="1" applyBorder="1"/>
    <xf numFmtId="164" fontId="4" fillId="0" borderId="13" xfId="21" applyNumberFormat="1" applyFont="1" applyFill="1" applyBorder="1"/>
    <xf numFmtId="2" fontId="4" fillId="0" borderId="13" xfId="21" applyNumberFormat="1" applyFont="1" applyFill="1" applyBorder="1"/>
    <xf numFmtId="164" fontId="4" fillId="0" borderId="0" xfId="21" applyNumberFormat="1" applyFont="1" applyFill="1" applyBorder="1"/>
    <xf numFmtId="2" fontId="4" fillId="0" borderId="0" xfId="21" applyNumberFormat="1" applyFont="1" applyFill="1" applyBorder="1"/>
    <xf numFmtId="0" fontId="5" fillId="0" borderId="0" xfId="21" applyFont="1" applyFill="1"/>
    <xf numFmtId="164" fontId="5" fillId="0" borderId="0" xfId="21" applyNumberFormat="1" applyFont="1" applyFill="1"/>
    <xf numFmtId="1" fontId="5" fillId="0" borderId="0" xfId="21" applyNumberFormat="1" applyFont="1" applyFill="1"/>
    <xf numFmtId="164" fontId="5" fillId="0" borderId="0" xfId="21" applyNumberFormat="1" applyFont="1" applyFill="1" applyBorder="1"/>
    <xf numFmtId="1" fontId="11" fillId="0" borderId="0" xfId="21" applyNumberFormat="1" applyFont="1" applyFill="1"/>
    <xf numFmtId="164" fontId="11" fillId="0" borderId="0" xfId="21" applyNumberFormat="1" applyFont="1" applyFill="1" applyBorder="1"/>
    <xf numFmtId="0" fontId="2" fillId="0" borderId="13" xfId="21" applyFont="1" applyFill="1" applyBorder="1"/>
    <xf numFmtId="164" fontId="2" fillId="0" borderId="13" xfId="21" applyNumberFormat="1" applyFont="1" applyFill="1" applyBorder="1"/>
    <xf numFmtId="164" fontId="5" fillId="0" borderId="13" xfId="21" applyNumberFormat="1" applyFont="1" applyFill="1" applyBorder="1"/>
    <xf numFmtId="164" fontId="2" fillId="0" borderId="0" xfId="21" applyNumberFormat="1" applyFont="1" applyFill="1" applyBorder="1" applyAlignment="1">
      <alignment horizontal="right"/>
    </xf>
    <xf numFmtId="166" fontId="2" fillId="0" borderId="0" xfId="7" quotePrefix="1" applyNumberFormat="1" applyFont="1" applyFill="1" applyBorder="1"/>
    <xf numFmtId="165" fontId="2" fillId="0" borderId="0" xfId="21" applyNumberFormat="1" applyFont="1" applyFill="1" applyBorder="1"/>
    <xf numFmtId="165" fontId="2" fillId="0" borderId="0" xfId="21" applyNumberFormat="1" applyFont="1" applyFill="1" applyBorder="1" applyAlignment="1">
      <alignment horizontal="right"/>
    </xf>
    <xf numFmtId="0" fontId="5" fillId="0" borderId="0" xfId="21" applyFont="1" applyFill="1" applyBorder="1"/>
    <xf numFmtId="1" fontId="5" fillId="0" borderId="0" xfId="21" applyNumberFormat="1" applyFont="1" applyFill="1" applyBorder="1"/>
    <xf numFmtId="1" fontId="11" fillId="0" borderId="0" xfId="21" applyNumberFormat="1" applyFont="1" applyFill="1" applyBorder="1"/>
    <xf numFmtId="1" fontId="2" fillId="0" borderId="0" xfId="21" applyNumberFormat="1" applyFont="1" applyFill="1"/>
    <xf numFmtId="168" fontId="2" fillId="0" borderId="0" xfId="27" applyNumberFormat="1" applyFont="1" applyFill="1"/>
    <xf numFmtId="171" fontId="8" fillId="0" borderId="0" xfId="6" applyNumberFormat="1" applyFont="1" applyFill="1" applyBorder="1" applyAlignment="1">
      <alignment horizontal="center" wrapText="1"/>
    </xf>
    <xf numFmtId="0" fontId="23" fillId="16" borderId="38" xfId="15" applyFont="1" applyFill="1" applyBorder="1" applyAlignment="1">
      <alignment horizontal="center" wrapText="1"/>
    </xf>
    <xf numFmtId="171" fontId="23" fillId="16" borderId="38" xfId="9" applyNumberFormat="1" applyFont="1" applyFill="1" applyBorder="1" applyAlignment="1">
      <alignment horizontal="center" wrapText="1"/>
    </xf>
    <xf numFmtId="49" fontId="23" fillId="16" borderId="38" xfId="3" applyNumberFormat="1" applyFont="1" applyFill="1" applyBorder="1" applyAlignment="1">
      <alignment horizontal="center" wrapText="1"/>
    </xf>
    <xf numFmtId="49" fontId="23" fillId="19" borderId="38" xfId="3" applyNumberFormat="1" applyFont="1" applyFill="1" applyBorder="1" applyAlignment="1">
      <alignment horizontal="center" wrapText="1"/>
    </xf>
    <xf numFmtId="49" fontId="23" fillId="19" borderId="39" xfId="3" applyNumberFormat="1" applyFont="1" applyFill="1" applyBorder="1" applyAlignment="1">
      <alignment horizontal="center" wrapText="1"/>
    </xf>
    <xf numFmtId="171" fontId="23" fillId="16" borderId="0" xfId="9" applyNumberFormat="1" applyFont="1" applyFill="1" applyBorder="1" applyAlignment="1">
      <alignment horizontal="center" wrapText="1"/>
    </xf>
    <xf numFmtId="0" fontId="24" fillId="16" borderId="35" xfId="15" applyFont="1" applyFill="1" applyBorder="1" applyAlignment="1">
      <alignment horizontal="left"/>
    </xf>
    <xf numFmtId="171" fontId="24" fillId="16" borderId="35" xfId="9" applyNumberFormat="1" applyFont="1" applyFill="1" applyBorder="1" applyAlignment="1">
      <alignment horizontal="right" wrapText="1"/>
    </xf>
    <xf numFmtId="171" fontId="24" fillId="0" borderId="35" xfId="9" applyNumberFormat="1" applyFont="1" applyBorder="1"/>
    <xf numFmtId="171" fontId="24" fillId="19" borderId="35" xfId="9" applyNumberFormat="1" applyFont="1" applyFill="1" applyBorder="1"/>
    <xf numFmtId="171" fontId="24" fillId="19" borderId="40" xfId="9" applyNumberFormat="1" applyFont="1" applyFill="1" applyBorder="1"/>
    <xf numFmtId="0" fontId="24" fillId="16" borderId="41" xfId="15" applyFont="1" applyFill="1" applyBorder="1" applyAlignment="1">
      <alignment horizontal="left"/>
    </xf>
    <xf numFmtId="171" fontId="24" fillId="16" borderId="41" xfId="9" applyNumberFormat="1" applyFont="1" applyFill="1" applyBorder="1" applyAlignment="1">
      <alignment horizontal="right" wrapText="1"/>
    </xf>
    <xf numFmtId="171" fontId="24" fillId="0" borderId="41" xfId="9" applyNumberFormat="1" applyFont="1" applyBorder="1"/>
    <xf numFmtId="171" fontId="24" fillId="19" borderId="41" xfId="9" applyNumberFormat="1" applyFont="1" applyFill="1" applyBorder="1"/>
    <xf numFmtId="171" fontId="24" fillId="19" borderId="42" xfId="9" applyNumberFormat="1" applyFont="1" applyFill="1" applyBorder="1"/>
    <xf numFmtId="171" fontId="23" fillId="16" borderId="43" xfId="9" applyNumberFormat="1" applyFont="1" applyFill="1" applyBorder="1" applyAlignment="1">
      <alignment horizontal="center" wrapText="1"/>
    </xf>
    <xf numFmtId="171" fontId="23" fillId="19" borderId="43" xfId="9" applyNumberFormat="1" applyFont="1" applyFill="1" applyBorder="1" applyAlignment="1">
      <alignment horizontal="center" wrapText="1"/>
    </xf>
    <xf numFmtId="171" fontId="23" fillId="19" borderId="44" xfId="9" applyNumberFormat="1" applyFont="1" applyFill="1" applyBorder="1" applyAlignment="1">
      <alignment horizontal="center" wrapText="1"/>
    </xf>
    <xf numFmtId="171" fontId="24" fillId="0" borderId="0" xfId="9" applyNumberFormat="1" applyFont="1" applyBorder="1"/>
    <xf numFmtId="171" fontId="25" fillId="0" borderId="0" xfId="9" applyNumberFormat="1" applyFont="1"/>
    <xf numFmtId="44" fontId="24" fillId="0" borderId="0" xfId="9" applyNumberFormat="1" applyFont="1"/>
    <xf numFmtId="171" fontId="0" fillId="0" borderId="0" xfId="0" applyNumberFormat="1"/>
    <xf numFmtId="171" fontId="0" fillId="0" borderId="35" xfId="10" applyNumberFormat="1" applyFont="1" applyBorder="1" applyAlignment="1">
      <alignment horizontal="center"/>
    </xf>
    <xf numFmtId="10" fontId="0" fillId="0" borderId="35" xfId="30" applyNumberFormat="1" applyFont="1" applyBorder="1" applyAlignment="1">
      <alignment horizontal="center"/>
    </xf>
    <xf numFmtId="0" fontId="40" fillId="22" borderId="0" xfId="20" applyFont="1" applyFill="1"/>
    <xf numFmtId="0" fontId="40" fillId="23" borderId="0" xfId="20" applyFont="1" applyFill="1"/>
    <xf numFmtId="0" fontId="40" fillId="24" borderId="0" xfId="20" applyFont="1" applyFill="1"/>
    <xf numFmtId="0" fontId="4" fillId="0" borderId="0" xfId="16" applyFont="1"/>
    <xf numFmtId="0" fontId="2" fillId="0" borderId="0" xfId="16"/>
    <xf numFmtId="0" fontId="41" fillId="0" borderId="0" xfId="16" applyFont="1"/>
    <xf numFmtId="0" fontId="42" fillId="0" borderId="0" xfId="16" applyFont="1"/>
    <xf numFmtId="0" fontId="2" fillId="0" borderId="45" xfId="16" applyBorder="1"/>
    <xf numFmtId="0" fontId="2" fillId="0" borderId="16" xfId="16" applyBorder="1"/>
    <xf numFmtId="0" fontId="2" fillId="0" borderId="46" xfId="16" applyBorder="1"/>
    <xf numFmtId="0" fontId="2" fillId="0" borderId="47" xfId="16" applyBorder="1"/>
    <xf numFmtId="0" fontId="2" fillId="0" borderId="0" xfId="16" applyBorder="1" applyAlignment="1">
      <alignment horizontal="right"/>
    </xf>
    <xf numFmtId="0" fontId="2" fillId="0" borderId="0" xfId="16" applyBorder="1"/>
    <xf numFmtId="0" fontId="2" fillId="0" borderId="48" xfId="16" applyBorder="1"/>
    <xf numFmtId="0" fontId="30" fillId="0" borderId="48" xfId="16" applyFont="1" applyBorder="1" applyAlignment="1">
      <alignment horizontal="center"/>
    </xf>
    <xf numFmtId="169" fontId="2" fillId="0" borderId="48" xfId="16" applyNumberFormat="1" applyBorder="1" applyAlignment="1">
      <alignment horizontal="center"/>
    </xf>
    <xf numFmtId="0" fontId="2" fillId="0" borderId="48" xfId="16" applyBorder="1" applyAlignment="1">
      <alignment horizontal="center"/>
    </xf>
    <xf numFmtId="0" fontId="4" fillId="25" borderId="0" xfId="16" applyFont="1" applyFill="1" applyBorder="1" applyAlignment="1">
      <alignment horizontal="right"/>
    </xf>
    <xf numFmtId="10" fontId="4" fillId="25" borderId="48" xfId="27" applyNumberFormat="1" applyFont="1" applyFill="1" applyBorder="1" applyAlignment="1">
      <alignment horizontal="center"/>
    </xf>
    <xf numFmtId="0" fontId="2" fillId="0" borderId="49" xfId="16" applyBorder="1"/>
    <xf numFmtId="0" fontId="2" fillId="0" borderId="8" xfId="16" applyBorder="1"/>
    <xf numFmtId="0" fontId="2" fillId="0" borderId="50" xfId="16" applyBorder="1"/>
    <xf numFmtId="10" fontId="8" fillId="0" borderId="18" xfId="0" applyNumberFormat="1" applyFont="1" applyFill="1" applyBorder="1"/>
    <xf numFmtId="10" fontId="2" fillId="0" borderId="0" xfId="0" applyNumberFormat="1" applyFont="1" applyBorder="1"/>
    <xf numFmtId="10" fontId="2" fillId="0" borderId="18" xfId="21" applyNumberFormat="1" applyFont="1" applyFill="1" applyBorder="1"/>
    <xf numFmtId="2" fontId="4" fillId="0" borderId="8" xfId="0" applyNumberFormat="1" applyFont="1" applyFill="1" applyBorder="1" applyAlignment="1">
      <alignment horizontal="center"/>
    </xf>
    <xf numFmtId="2" fontId="4" fillId="0" borderId="20" xfId="0" applyNumberFormat="1" applyFont="1" applyFill="1" applyBorder="1" applyAlignment="1">
      <alignment horizontal="center"/>
    </xf>
    <xf numFmtId="10" fontId="8" fillId="0" borderId="0" xfId="26" applyNumberFormat="1" applyFont="1" applyFill="1"/>
    <xf numFmtId="164" fontId="42" fillId="0" borderId="0" xfId="0" applyNumberFormat="1" applyFont="1" applyFill="1"/>
    <xf numFmtId="0" fontId="42" fillId="0" borderId="0" xfId="0" applyFont="1" applyFill="1"/>
    <xf numFmtId="10" fontId="42" fillId="0" borderId="0" xfId="0" applyNumberFormat="1" applyFont="1" applyFill="1"/>
    <xf numFmtId="2" fontId="42" fillId="0" borderId="0" xfId="0" applyNumberFormat="1" applyFont="1" applyFill="1"/>
    <xf numFmtId="164" fontId="42" fillId="0" borderId="0" xfId="0" applyNumberFormat="1" applyFont="1" applyFill="1" applyBorder="1"/>
    <xf numFmtId="164" fontId="42" fillId="0" borderId="0" xfId="0" applyNumberFormat="1" applyFont="1" applyBorder="1"/>
    <xf numFmtId="0" fontId="42" fillId="0" borderId="0" xfId="0" applyFont="1"/>
    <xf numFmtId="164" fontId="42" fillId="0" borderId="5" xfId="0" applyNumberFormat="1" applyFont="1" applyBorder="1"/>
    <xf numFmtId="2" fontId="42" fillId="0" borderId="0" xfId="0" applyNumberFormat="1" applyFont="1" applyFill="1" applyBorder="1" applyAlignment="1">
      <alignment horizontal="center"/>
    </xf>
    <xf numFmtId="2" fontId="42" fillId="0" borderId="0" xfId="0" applyNumberFormat="1" applyFont="1" applyBorder="1" applyAlignment="1">
      <alignment horizontal="center"/>
    </xf>
    <xf numFmtId="2" fontId="42" fillId="0" borderId="6" xfId="0" applyNumberFormat="1" applyFont="1" applyBorder="1" applyAlignment="1">
      <alignment horizontal="center"/>
    </xf>
    <xf numFmtId="164" fontId="42" fillId="0" borderId="0" xfId="0" applyNumberFormat="1" applyFont="1"/>
    <xf numFmtId="0" fontId="41" fillId="0" borderId="0" xfId="0" applyFont="1" applyBorder="1"/>
    <xf numFmtId="10" fontId="41" fillId="0" borderId="0" xfId="26" applyNumberFormat="1" applyFont="1" applyFill="1" applyBorder="1" applyAlignment="1">
      <alignment horizontal="center"/>
    </xf>
    <xf numFmtId="10" fontId="41" fillId="0" borderId="0" xfId="26" applyNumberFormat="1" applyFont="1" applyFill="1" applyBorder="1"/>
    <xf numFmtId="2" fontId="41" fillId="0" borderId="0" xfId="0" applyNumberFormat="1" applyFont="1" applyFill="1" applyBorder="1"/>
    <xf numFmtId="0" fontId="41" fillId="0" borderId="0" xfId="0" applyFont="1" applyFill="1" applyBorder="1"/>
    <xf numFmtId="164" fontId="41" fillId="0" borderId="5" xfId="0" applyNumberFormat="1" applyFont="1" applyBorder="1"/>
    <xf numFmtId="0" fontId="43" fillId="0" borderId="0" xfId="0" applyFont="1" applyFill="1" applyBorder="1"/>
    <xf numFmtId="0" fontId="43" fillId="0" borderId="0" xfId="0" applyFont="1" applyBorder="1"/>
    <xf numFmtId="2" fontId="42" fillId="0" borderId="0" xfId="0" applyNumberFormat="1" applyFont="1"/>
    <xf numFmtId="0" fontId="44" fillId="0" borderId="0" xfId="0" applyFont="1"/>
    <xf numFmtId="0" fontId="44" fillId="0" borderId="0" xfId="0" applyFont="1" applyFill="1"/>
    <xf numFmtId="164" fontId="41" fillId="0" borderId="5" xfId="21" applyNumberFormat="1" applyFont="1" applyBorder="1"/>
    <xf numFmtId="0" fontId="41" fillId="0" borderId="0" xfId="21" applyFont="1" applyBorder="1"/>
    <xf numFmtId="2" fontId="41" fillId="0" borderId="0" xfId="21" applyNumberFormat="1" applyFont="1" applyFill="1" applyBorder="1"/>
    <xf numFmtId="0" fontId="41" fillId="0" borderId="0" xfId="21" applyFont="1" applyFill="1" applyBorder="1"/>
    <xf numFmtId="164" fontId="42" fillId="0" borderId="0" xfId="21" applyNumberFormat="1" applyFont="1"/>
    <xf numFmtId="0" fontId="42" fillId="0" borderId="0" xfId="21" applyFont="1"/>
    <xf numFmtId="10" fontId="42" fillId="0" borderId="0" xfId="21" applyNumberFormat="1" applyFont="1" applyFill="1"/>
    <xf numFmtId="2" fontId="42" fillId="0" borderId="0" xfId="21" applyNumberFormat="1" applyFont="1"/>
    <xf numFmtId="164" fontId="42" fillId="0" borderId="0" xfId="21" applyNumberFormat="1" applyFont="1" applyBorder="1"/>
    <xf numFmtId="0" fontId="4" fillId="0" borderId="21" xfId="21" applyFont="1" applyFill="1" applyBorder="1"/>
    <xf numFmtId="164" fontId="4" fillId="0" borderId="21" xfId="21" applyNumberFormat="1" applyFont="1" applyFill="1" applyBorder="1"/>
    <xf numFmtId="2" fontId="4" fillId="0" borderId="21" xfId="21" applyNumberFormat="1" applyFont="1" applyFill="1" applyBorder="1"/>
    <xf numFmtId="0" fontId="2" fillId="0" borderId="21" xfId="21" applyFont="1" applyFill="1" applyBorder="1"/>
    <xf numFmtId="164" fontId="2" fillId="0" borderId="21" xfId="21" applyNumberFormat="1" applyFont="1" applyFill="1" applyBorder="1"/>
    <xf numFmtId="2" fontId="2" fillId="0" borderId="21" xfId="21" applyNumberFormat="1" applyFont="1" applyFill="1" applyBorder="1"/>
    <xf numFmtId="164" fontId="5" fillId="0" borderId="21" xfId="21" applyNumberFormat="1" applyFont="1" applyFill="1" applyBorder="1"/>
    <xf numFmtId="0" fontId="4" fillId="0" borderId="21" xfId="21" applyFont="1" applyBorder="1"/>
    <xf numFmtId="164" fontId="4" fillId="0" borderId="21" xfId="21" applyNumberFormat="1" applyFont="1" applyBorder="1"/>
    <xf numFmtId="2" fontId="4" fillId="0" borderId="21" xfId="21" applyNumberFormat="1" applyFont="1" applyBorder="1"/>
    <xf numFmtId="0" fontId="42" fillId="0" borderId="8" xfId="21" applyFont="1" applyBorder="1"/>
    <xf numFmtId="10" fontId="42" fillId="0" borderId="8" xfId="21" applyNumberFormat="1" applyFont="1" applyFill="1" applyBorder="1"/>
    <xf numFmtId="2" fontId="42" fillId="0" borderId="8" xfId="21" applyNumberFormat="1" applyFont="1" applyBorder="1"/>
    <xf numFmtId="164" fontId="42" fillId="0" borderId="8" xfId="21" applyNumberFormat="1" applyFont="1" applyBorder="1"/>
    <xf numFmtId="2" fontId="2" fillId="0" borderId="8" xfId="21" applyNumberFormat="1" applyFont="1" applyFill="1" applyBorder="1"/>
    <xf numFmtId="0" fontId="5" fillId="0" borderId="51" xfId="21" applyFont="1" applyBorder="1"/>
    <xf numFmtId="164" fontId="5" fillId="0" borderId="51" xfId="21" applyNumberFormat="1" applyFont="1" applyBorder="1"/>
    <xf numFmtId="2" fontId="5" fillId="0" borderId="51" xfId="21" applyNumberFormat="1" applyFont="1" applyBorder="1"/>
    <xf numFmtId="164" fontId="4" fillId="0" borderId="51" xfId="21" applyNumberFormat="1" applyFont="1" applyBorder="1"/>
    <xf numFmtId="0" fontId="42" fillId="0" borderId="0" xfId="0" applyFont="1" applyAlignment="1">
      <alignment horizontal="right"/>
    </xf>
    <xf numFmtId="10" fontId="42" fillId="0" borderId="0" xfId="26" applyNumberFormat="1" applyFont="1"/>
    <xf numFmtId="44" fontId="42" fillId="0" borderId="0" xfId="0" applyNumberFormat="1" applyFont="1"/>
    <xf numFmtId="0" fontId="19" fillId="0" borderId="0" xfId="18"/>
    <xf numFmtId="0" fontId="19" fillId="0" borderId="0" xfId="18" applyFont="1"/>
    <xf numFmtId="10" fontId="19" fillId="0" borderId="0" xfId="18" applyNumberFormat="1"/>
    <xf numFmtId="0" fontId="45" fillId="0" borderId="11" xfId="18" applyFont="1" applyBorder="1" applyAlignment="1">
      <alignment horizontal="center" vertical="center"/>
    </xf>
    <xf numFmtId="0" fontId="31" fillId="0" borderId="19" xfId="18" applyFont="1" applyBorder="1" applyAlignment="1">
      <alignment horizontal="center" vertical="center" wrapText="1"/>
    </xf>
    <xf numFmtId="0" fontId="31" fillId="0" borderId="11" xfId="18" applyFont="1" applyBorder="1" applyAlignment="1">
      <alignment horizontal="center" vertical="center"/>
    </xf>
    <xf numFmtId="16" fontId="31" fillId="0" borderId="11" xfId="18" quotePrefix="1" applyNumberFormat="1" applyFont="1" applyBorder="1" applyAlignment="1">
      <alignment horizontal="center" vertical="center"/>
    </xf>
    <xf numFmtId="0" fontId="31" fillId="0" borderId="11" xfId="18" applyFont="1" applyBorder="1" applyAlignment="1">
      <alignment horizontal="center" vertical="center" wrapText="1"/>
    </xf>
    <xf numFmtId="9" fontId="31" fillId="0" borderId="11" xfId="18" applyNumberFormat="1" applyFont="1" applyBorder="1" applyAlignment="1">
      <alignment horizontal="center" vertical="center"/>
    </xf>
    <xf numFmtId="8" fontId="31" fillId="0" borderId="11" xfId="18" applyNumberFormat="1" applyFont="1" applyBorder="1" applyAlignment="1">
      <alignment horizontal="center" vertical="center"/>
    </xf>
    <xf numFmtId="8" fontId="31" fillId="0" borderId="11" xfId="18" applyNumberFormat="1" applyFont="1" applyBorder="1" applyAlignment="1">
      <alignment horizontal="center" vertical="center" wrapText="1"/>
    </xf>
    <xf numFmtId="0" fontId="32" fillId="0" borderId="0" xfId="18" applyFont="1" applyAlignment="1">
      <alignment vertical="center"/>
    </xf>
    <xf numFmtId="0" fontId="33" fillId="0" borderId="11" xfId="18" applyFont="1" applyBorder="1" applyAlignment="1">
      <alignment horizontal="center" vertical="center" wrapText="1"/>
    </xf>
    <xf numFmtId="9" fontId="31" fillId="0" borderId="11" xfId="18" applyNumberFormat="1" applyFont="1" applyBorder="1" applyAlignment="1">
      <alignment horizontal="center" vertical="center" wrapText="1"/>
    </xf>
    <xf numFmtId="16" fontId="31" fillId="0" borderId="11" xfId="18" quotePrefix="1" applyNumberFormat="1" applyFont="1" applyBorder="1" applyAlignment="1">
      <alignment horizontal="center" vertical="center" wrapText="1"/>
    </xf>
    <xf numFmtId="0" fontId="31" fillId="0" borderId="19" xfId="18" applyFont="1" applyBorder="1" applyAlignment="1">
      <alignment vertical="center" wrapText="1"/>
    </xf>
    <xf numFmtId="0" fontId="31" fillId="0" borderId="11" xfId="18" applyFont="1" applyBorder="1" applyAlignment="1">
      <alignment vertical="center" wrapText="1"/>
    </xf>
    <xf numFmtId="0" fontId="32" fillId="0" borderId="0" xfId="18" applyFont="1" applyAlignment="1">
      <alignment vertical="center" wrapText="1"/>
    </xf>
    <xf numFmtId="0" fontId="31" fillId="0" borderId="0" xfId="18" applyFont="1" applyAlignment="1">
      <alignment horizontal="left" vertical="center" indent="6"/>
    </xf>
    <xf numFmtId="0" fontId="19" fillId="20" borderId="0" xfId="18" applyFill="1"/>
    <xf numFmtId="0" fontId="31" fillId="0" borderId="59" xfId="18" applyFont="1" applyBorder="1" applyAlignment="1">
      <alignment horizontal="center" vertical="center"/>
    </xf>
    <xf numFmtId="0" fontId="45" fillId="0" borderId="60" xfId="18" applyFont="1" applyBorder="1" applyAlignment="1">
      <alignment horizontal="center" vertical="center"/>
    </xf>
    <xf numFmtId="0" fontId="31" fillId="0" borderId="60" xfId="18" applyFont="1" applyBorder="1" applyAlignment="1">
      <alignment horizontal="center" vertical="center"/>
    </xf>
    <xf numFmtId="9" fontId="31" fillId="0" borderId="60" xfId="18" applyNumberFormat="1" applyFont="1" applyBorder="1" applyAlignment="1">
      <alignment horizontal="center" vertical="center"/>
    </xf>
    <xf numFmtId="8" fontId="31" fillId="0" borderId="60" xfId="18" applyNumberFormat="1" applyFont="1" applyBorder="1" applyAlignment="1">
      <alignment horizontal="center" vertical="center"/>
    </xf>
    <xf numFmtId="8" fontId="31" fillId="0" borderId="60" xfId="18" applyNumberFormat="1" applyFont="1" applyBorder="1" applyAlignment="1">
      <alignment horizontal="center" vertical="center" wrapText="1"/>
    </xf>
    <xf numFmtId="0" fontId="19" fillId="0" borderId="59" xfId="18" applyBorder="1" applyAlignment="1">
      <alignment vertical="top"/>
    </xf>
    <xf numFmtId="0" fontId="19" fillId="0" borderId="61" xfId="18" applyBorder="1" applyAlignment="1">
      <alignment vertical="top"/>
    </xf>
    <xf numFmtId="0" fontId="31" fillId="0" borderId="62" xfId="18" applyFont="1" applyBorder="1" applyAlignment="1">
      <alignment horizontal="center" vertical="center"/>
    </xf>
    <xf numFmtId="0" fontId="31" fillId="0" borderId="63" xfId="18" applyFont="1" applyBorder="1" applyAlignment="1">
      <alignment horizontal="center" vertical="center"/>
    </xf>
    <xf numFmtId="9" fontId="31" fillId="0" borderId="64" xfId="18" applyNumberFormat="1" applyFont="1" applyBorder="1" applyAlignment="1">
      <alignment horizontal="center" vertical="center"/>
    </xf>
    <xf numFmtId="8" fontId="31" fillId="0" borderId="64" xfId="18" applyNumberFormat="1" applyFont="1" applyBorder="1" applyAlignment="1">
      <alignment horizontal="center" vertical="center"/>
    </xf>
    <xf numFmtId="8" fontId="31" fillId="0" borderId="64" xfId="18" applyNumberFormat="1" applyFont="1" applyBorder="1" applyAlignment="1">
      <alignment horizontal="center" vertical="center" wrapText="1"/>
    </xf>
    <xf numFmtId="0" fontId="19" fillId="0" borderId="65" xfId="18" applyBorder="1" applyAlignment="1">
      <alignment vertical="top"/>
    </xf>
    <xf numFmtId="0" fontId="31" fillId="0" borderId="63" xfId="18" applyFont="1" applyBorder="1" applyAlignment="1">
      <alignment vertical="center"/>
    </xf>
    <xf numFmtId="0" fontId="31" fillId="0" borderId="59" xfId="18" applyFont="1" applyBorder="1" applyAlignment="1">
      <alignment vertical="center"/>
    </xf>
    <xf numFmtId="0" fontId="19" fillId="0" borderId="0" xfId="18" applyAlignment="1">
      <alignment wrapText="1"/>
    </xf>
    <xf numFmtId="10" fontId="0" fillId="0" borderId="0" xfId="26" applyNumberFormat="1" applyFont="1"/>
    <xf numFmtId="167" fontId="8" fillId="0" borderId="41" xfId="0" applyNumberFormat="1" applyFont="1" applyFill="1" applyBorder="1"/>
    <xf numFmtId="0" fontId="27" fillId="6" borderId="2" xfId="19" applyFont="1" applyFill="1" applyBorder="1"/>
    <xf numFmtId="0" fontId="28" fillId="6" borderId="3" xfId="19" applyFont="1" applyFill="1" applyBorder="1"/>
    <xf numFmtId="0" fontId="35" fillId="0" borderId="0" xfId="19"/>
    <xf numFmtId="0" fontId="28" fillId="6" borderId="0" xfId="19" applyFont="1" applyFill="1" applyBorder="1"/>
    <xf numFmtId="0" fontId="4" fillId="6" borderId="6" xfId="19" applyFont="1" applyFill="1" applyBorder="1"/>
    <xf numFmtId="0" fontId="29" fillId="6" borderId="10" xfId="19" applyFont="1" applyFill="1" applyBorder="1"/>
    <xf numFmtId="0" fontId="4" fillId="6" borderId="11" xfId="19" applyFont="1" applyFill="1" applyBorder="1"/>
    <xf numFmtId="0" fontId="4" fillId="0" borderId="0" xfId="19" applyFont="1"/>
    <xf numFmtId="0" fontId="40" fillId="0" borderId="0" xfId="20" applyFont="1" applyFill="1"/>
    <xf numFmtId="0" fontId="40" fillId="26" borderId="0" xfId="20" applyFont="1" applyFill="1"/>
    <xf numFmtId="0" fontId="40" fillId="27" borderId="0" xfId="20" applyFont="1" applyFill="1"/>
    <xf numFmtId="14" fontId="4" fillId="0" borderId="0" xfId="19" applyNumberFormat="1" applyFont="1"/>
    <xf numFmtId="169" fontId="35" fillId="0" borderId="0" xfId="19" applyNumberFormat="1"/>
    <xf numFmtId="2" fontId="35" fillId="0" borderId="0" xfId="19" applyNumberFormat="1"/>
    <xf numFmtId="165" fontId="35" fillId="0" borderId="0" xfId="19" applyNumberFormat="1"/>
    <xf numFmtId="167" fontId="8" fillId="0" borderId="19" xfId="0" applyNumberFormat="1" applyFont="1" applyBorder="1"/>
    <xf numFmtId="167" fontId="8" fillId="0" borderId="19" xfId="0" applyNumberFormat="1" applyFont="1" applyFill="1" applyBorder="1"/>
    <xf numFmtId="0" fontId="2" fillId="0" borderId="0" xfId="0" applyFont="1" applyFill="1"/>
    <xf numFmtId="3" fontId="4" fillId="25" borderId="0" xfId="0" applyNumberFormat="1" applyFont="1" applyFill="1" applyBorder="1"/>
    <xf numFmtId="0" fontId="0" fillId="0" borderId="41" xfId="0" applyFill="1" applyBorder="1"/>
    <xf numFmtId="0" fontId="19" fillId="0" borderId="0" xfId="18" applyFill="1"/>
    <xf numFmtId="0" fontId="19" fillId="0" borderId="0" xfId="18" applyFont="1" applyFill="1"/>
    <xf numFmtId="0" fontId="31" fillId="0" borderId="41" xfId="18" applyFont="1" applyFill="1" applyBorder="1" applyAlignment="1">
      <alignment horizontal="center" vertical="center" wrapText="1"/>
    </xf>
    <xf numFmtId="0" fontId="45" fillId="0" borderId="41" xfId="18" applyFont="1" applyFill="1" applyBorder="1" applyAlignment="1">
      <alignment horizontal="center" vertical="center"/>
    </xf>
    <xf numFmtId="0" fontId="31" fillId="0" borderId="41" xfId="18" applyFont="1" applyFill="1" applyBorder="1" applyAlignment="1">
      <alignment horizontal="center" vertical="center"/>
    </xf>
    <xf numFmtId="9" fontId="31" fillId="0" borderId="41" xfId="18" applyNumberFormat="1" applyFont="1" applyFill="1" applyBorder="1" applyAlignment="1">
      <alignment horizontal="center" vertical="center"/>
    </xf>
    <xf numFmtId="173" fontId="0" fillId="0" borderId="41" xfId="0" applyNumberFormat="1" applyFill="1" applyBorder="1"/>
    <xf numFmtId="0" fontId="32" fillId="0" borderId="41" xfId="18" applyFont="1" applyFill="1" applyBorder="1" applyAlignment="1">
      <alignment vertical="center" wrapText="1"/>
    </xf>
    <xf numFmtId="0" fontId="19" fillId="0" borderId="41" xfId="18" applyFill="1" applyBorder="1"/>
    <xf numFmtId="0" fontId="33" fillId="0" borderId="41" xfId="18" applyFont="1" applyFill="1" applyBorder="1" applyAlignment="1">
      <alignment horizontal="center" vertical="center" wrapText="1"/>
    </xf>
    <xf numFmtId="9" fontId="31" fillId="0" borderId="41" xfId="18" applyNumberFormat="1" applyFont="1" applyFill="1" applyBorder="1" applyAlignment="1">
      <alignment horizontal="center" vertical="center" wrapText="1"/>
    </xf>
    <xf numFmtId="0" fontId="31" fillId="0" borderId="41" xfId="18" applyFont="1" applyFill="1" applyBorder="1" applyAlignment="1">
      <alignment vertical="center" wrapText="1"/>
    </xf>
    <xf numFmtId="0" fontId="0" fillId="0" borderId="41" xfId="0" applyFill="1" applyBorder="1" applyAlignment="1">
      <alignment wrapText="1"/>
    </xf>
    <xf numFmtId="0" fontId="19" fillId="0" borderId="41" xfId="18" applyFill="1" applyBorder="1" applyAlignment="1">
      <alignment vertical="top" wrapText="1"/>
    </xf>
    <xf numFmtId="0" fontId="31" fillId="0" borderId="41" xfId="18" applyFont="1" applyFill="1" applyBorder="1" applyAlignment="1">
      <alignment vertical="center"/>
    </xf>
    <xf numFmtId="0" fontId="31" fillId="0" borderId="69" xfId="18" applyFont="1" applyBorder="1" applyAlignment="1">
      <alignment horizontal="center" vertical="center"/>
    </xf>
    <xf numFmtId="0" fontId="31" fillId="0" borderId="70" xfId="18" applyFont="1" applyBorder="1" applyAlignment="1">
      <alignment horizontal="center" vertical="center"/>
    </xf>
    <xf numFmtId="0" fontId="31" fillId="0" borderId="63" xfId="18" applyFont="1" applyBorder="1" applyAlignment="1">
      <alignment horizontal="center" vertical="center"/>
    </xf>
    <xf numFmtId="0" fontId="31" fillId="0" borderId="66" xfId="18" applyFont="1" applyBorder="1" applyAlignment="1">
      <alignment horizontal="center" vertical="center" wrapText="1"/>
    </xf>
    <xf numFmtId="0" fontId="31" fillId="0" borderId="67" xfId="18" applyFont="1" applyBorder="1" applyAlignment="1">
      <alignment horizontal="center" vertical="center" wrapText="1"/>
    </xf>
    <xf numFmtId="0" fontId="31" fillId="0" borderId="68" xfId="18" applyFont="1" applyBorder="1" applyAlignment="1">
      <alignment horizontal="center" vertical="center" wrapText="1"/>
    </xf>
    <xf numFmtId="0" fontId="31" fillId="0" borderId="52" xfId="18" applyFont="1" applyBorder="1" applyAlignment="1">
      <alignment horizontal="center" vertical="center" wrapText="1"/>
    </xf>
    <xf numFmtId="0" fontId="31" fillId="0" borderId="53" xfId="18" applyFont="1" applyBorder="1" applyAlignment="1">
      <alignment horizontal="center" vertical="center" wrapText="1"/>
    </xf>
    <xf numFmtId="0" fontId="31" fillId="0" borderId="54" xfId="18" applyFont="1" applyBorder="1" applyAlignment="1">
      <alignment horizontal="center" vertical="center" wrapText="1"/>
    </xf>
    <xf numFmtId="0" fontId="31" fillId="0" borderId="36" xfId="18" applyFont="1" applyBorder="1" applyAlignment="1">
      <alignment horizontal="center" vertical="center" wrapText="1"/>
    </xf>
    <xf numFmtId="0" fontId="31" fillId="0" borderId="37" xfId="18" applyFont="1" applyBorder="1" applyAlignment="1">
      <alignment horizontal="center" vertical="center" wrapText="1"/>
    </xf>
    <xf numFmtId="0" fontId="31" fillId="0" borderId="19" xfId="18" applyFont="1" applyBorder="1" applyAlignment="1">
      <alignment horizontal="center" vertical="center" wrapText="1"/>
    </xf>
    <xf numFmtId="0" fontId="31" fillId="0" borderId="10" xfId="18" applyFont="1" applyBorder="1" applyAlignment="1">
      <alignment vertical="center"/>
    </xf>
    <xf numFmtId="0" fontId="31" fillId="0" borderId="10" xfId="18" applyFont="1" applyBorder="1" applyAlignment="1">
      <alignment vertical="center" wrapText="1"/>
    </xf>
    <xf numFmtId="0" fontId="33" fillId="0" borderId="2" xfId="18" applyFont="1" applyBorder="1" applyAlignment="1">
      <alignment horizontal="center" vertical="center" wrapText="1"/>
    </xf>
    <xf numFmtId="0" fontId="31" fillId="0" borderId="52" xfId="18" applyFont="1" applyBorder="1" applyAlignment="1">
      <alignment horizontal="center" vertical="center"/>
    </xf>
    <xf numFmtId="0" fontId="31" fillId="0" borderId="53" xfId="18" applyFont="1" applyBorder="1" applyAlignment="1">
      <alignment horizontal="center" vertical="center"/>
    </xf>
    <xf numFmtId="0" fontId="31" fillId="0" borderId="54" xfId="18" applyFont="1" applyBorder="1" applyAlignment="1">
      <alignment horizontal="center" vertical="center"/>
    </xf>
    <xf numFmtId="0" fontId="4" fillId="3" borderId="36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167" fontId="4" fillId="17" borderId="0" xfId="0" applyNumberFormat="1" applyFont="1" applyFill="1" applyAlignment="1">
      <alignment horizontal="center" wrapText="1"/>
    </xf>
    <xf numFmtId="1" fontId="5" fillId="0" borderId="16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4" fillId="0" borderId="20" xfId="0" applyNumberFormat="1" applyFont="1" applyFill="1" applyBorder="1" applyAlignment="1">
      <alignment horizontal="center"/>
    </xf>
    <xf numFmtId="167" fontId="4" fillId="17" borderId="0" xfId="0" applyNumberFormat="1" applyFont="1" applyFill="1" applyAlignment="1">
      <alignment horizontal="center"/>
    </xf>
    <xf numFmtId="167" fontId="4" fillId="19" borderId="0" xfId="0" applyNumberFormat="1" applyFont="1" applyFill="1" applyAlignment="1">
      <alignment horizontal="center" wrapText="1"/>
    </xf>
    <xf numFmtId="167" fontId="4" fillId="19" borderId="0" xfId="0" applyNumberFormat="1" applyFont="1" applyFill="1" applyAlignment="1">
      <alignment horizontal="center"/>
    </xf>
    <xf numFmtId="0" fontId="4" fillId="3" borderId="36" xfId="21" applyFont="1" applyFill="1" applyBorder="1" applyAlignment="1">
      <alignment horizontal="left"/>
    </xf>
    <xf numFmtId="0" fontId="4" fillId="3" borderId="19" xfId="21" applyFont="1" applyFill="1" applyBorder="1" applyAlignment="1">
      <alignment horizontal="left"/>
    </xf>
    <xf numFmtId="164" fontId="4" fillId="0" borderId="0" xfId="21" applyNumberFormat="1" applyFont="1" applyAlignment="1">
      <alignment horizontal="center"/>
    </xf>
    <xf numFmtId="164" fontId="4" fillId="0" borderId="27" xfId="21" applyNumberFormat="1" applyFont="1" applyBorder="1" applyAlignment="1">
      <alignment horizontal="center"/>
    </xf>
    <xf numFmtId="1" fontId="5" fillId="0" borderId="8" xfId="21" applyNumberFormat="1" applyFont="1" applyBorder="1" applyAlignment="1">
      <alignment horizontal="center"/>
    </xf>
    <xf numFmtId="1" fontId="5" fillId="0" borderId="20" xfId="21" applyNumberFormat="1" applyFont="1" applyBorder="1" applyAlignment="1">
      <alignment horizontal="center"/>
    </xf>
    <xf numFmtId="2" fontId="4" fillId="0" borderId="8" xfId="21" applyNumberFormat="1" applyFont="1" applyFill="1" applyBorder="1" applyAlignment="1">
      <alignment horizontal="center"/>
    </xf>
    <xf numFmtId="2" fontId="4" fillId="0" borderId="20" xfId="21" applyNumberFormat="1" applyFont="1" applyFill="1" applyBorder="1" applyAlignment="1">
      <alignment horizontal="center"/>
    </xf>
    <xf numFmtId="2" fontId="4" fillId="0" borderId="8" xfId="21" applyNumberFormat="1" applyFont="1" applyBorder="1" applyAlignment="1">
      <alignment horizontal="center"/>
    </xf>
    <xf numFmtId="2" fontId="4" fillId="0" borderId="20" xfId="21" applyNumberFormat="1" applyFont="1" applyBorder="1" applyAlignment="1">
      <alignment horizontal="center"/>
    </xf>
    <xf numFmtId="0" fontId="4" fillId="18" borderId="36" xfId="0" applyFont="1" applyFill="1" applyBorder="1" applyAlignment="1">
      <alignment horizontal="center"/>
    </xf>
    <xf numFmtId="0" fontId="4" fillId="18" borderId="19" xfId="0" applyFont="1" applyFill="1" applyBorder="1" applyAlignment="1">
      <alignment horizontal="center"/>
    </xf>
    <xf numFmtId="164" fontId="4" fillId="0" borderId="55" xfId="0" applyNumberFormat="1" applyFont="1" applyBorder="1" applyAlignment="1">
      <alignment horizontal="center"/>
    </xf>
    <xf numFmtId="164" fontId="4" fillId="0" borderId="56" xfId="0" applyNumberFormat="1" applyFont="1" applyBorder="1" applyAlignment="1">
      <alignment horizontal="center"/>
    </xf>
    <xf numFmtId="164" fontId="4" fillId="18" borderId="55" xfId="0" applyNumberFormat="1" applyFont="1" applyFill="1" applyBorder="1" applyAlignment="1">
      <alignment horizontal="center"/>
    </xf>
    <xf numFmtId="164" fontId="4" fillId="18" borderId="56" xfId="0" applyNumberFormat="1" applyFont="1" applyFill="1" applyBorder="1" applyAlignment="1">
      <alignment horizontal="center"/>
    </xf>
    <xf numFmtId="0" fontId="2" fillId="0" borderId="47" xfId="16" applyBorder="1" applyAlignment="1">
      <alignment horizontal="right"/>
    </xf>
    <xf numFmtId="0" fontId="2" fillId="0" borderId="0" xfId="16" applyBorder="1" applyAlignment="1">
      <alignment horizontal="right"/>
    </xf>
    <xf numFmtId="0" fontId="29" fillId="0" borderId="0" xfId="0" applyFont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7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58" xfId="0" applyFill="1" applyBorder="1" applyAlignment="1">
      <alignment horizontal="center" wrapText="1"/>
    </xf>
    <xf numFmtId="0" fontId="0" fillId="0" borderId="57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31" fillId="0" borderId="41" xfId="18" applyFont="1" applyFill="1" applyBorder="1" applyAlignment="1">
      <alignment horizontal="center" vertical="center" wrapText="1"/>
    </xf>
  </cellXfs>
  <cellStyles count="32">
    <cellStyle name="Comma" xfId="1" builtinId="3"/>
    <cellStyle name="Comma 2" xfId="2"/>
    <cellStyle name="Comma 3" xfId="3"/>
    <cellStyle name="Comma 4" xfId="4"/>
    <cellStyle name="Comma 5" xfId="5"/>
    <cellStyle name="Currency" xfId="6" builtinId="4"/>
    <cellStyle name="Currency 2" xfId="7"/>
    <cellStyle name="Currency 3" xfId="8"/>
    <cellStyle name="Currency 4" xfId="9"/>
    <cellStyle name="Currency 5" xfId="10"/>
    <cellStyle name="Currency 6" xfId="11"/>
    <cellStyle name="Currency 8" xfId="12"/>
    <cellStyle name="Normal" xfId="0" builtinId="0"/>
    <cellStyle name="Normal 12" xfId="13"/>
    <cellStyle name="Normal 2" xfId="14"/>
    <cellStyle name="Normal 3" xfId="15"/>
    <cellStyle name="Normal 4" xfId="16"/>
    <cellStyle name="Normal 4 2" xfId="17"/>
    <cellStyle name="Normal 5" xfId="18"/>
    <cellStyle name="Normal 6" xfId="19"/>
    <cellStyle name="Normal 6 2" xfId="20"/>
    <cellStyle name="Normal_DYS Rate Options 1 21 10" xfId="21"/>
    <cellStyle name="Normal_DYS YITS Rate Dev 4 21 10" xfId="22"/>
    <cellStyle name="Normal_DYS YITS Rate Dev 5.12.10" xfId="23"/>
    <cellStyle name="Normal_Sheet1" xfId="24"/>
    <cellStyle name="Normal_Sheet1_1" xfId="25"/>
    <cellStyle name="Percent" xfId="26" builtinId="5"/>
    <cellStyle name="Percent 2" xfId="27"/>
    <cellStyle name="Percent 3" xfId="28"/>
    <cellStyle name="Percent 4" xfId="29"/>
    <cellStyle name="Percent 5" xfId="30"/>
    <cellStyle name="Percent 6" xfId="31"/>
  </cellStyles>
  <dxfs count="170"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9" formatCode="0.000"/>
      <fill>
        <patternFill patternType="solid">
          <fgColor indexed="0"/>
          <bgColor indexed="47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solid">
          <fgColor indexed="64"/>
          <bgColor indexed="47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m/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m/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m/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Cost Drivers as a Percent of Overall Expenses</a:t>
            </a:r>
            <a:r>
              <a:rPr lang="en-US" sz="15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19781731022705129"/>
          <c:y val="3.20855020241113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02661987124511E-2"/>
          <c:y val="0.14877637336440197"/>
          <c:w val="0.89738039101967149"/>
          <c:h val="0.70245047170787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'Bed Day Data'!$EB$33</c:f>
              <c:strCache>
                <c:ptCount val="1"/>
                <c:pt idx="0">
                  <c:v>AVG: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('Bed Day Data'!$EC$1:$ED$1,'Bed Day Data'!$EF$1:$EH$1)</c:f>
              <c:strCache>
                <c:ptCount val="5"/>
                <c:pt idx="0">
                  <c:v>Direct Staff Related Expenses %</c:v>
                </c:pt>
                <c:pt idx="1">
                  <c:v>Tax &amp; Fringe % </c:v>
                </c:pt>
                <c:pt idx="2">
                  <c:v>Occupancy %</c:v>
                </c:pt>
                <c:pt idx="3">
                  <c:v>Other Program Expenses %</c:v>
                </c:pt>
                <c:pt idx="4">
                  <c:v>Agency Allocation % of Total Budget</c:v>
                </c:pt>
              </c:strCache>
            </c:strRef>
          </c:cat>
          <c:val>
            <c:numRef>
              <c:f>('Bed Day Data'!$EC$33:$ED$33,'Bed Day Data'!$EF$33:$EH$33)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80288"/>
        <c:axId val="131581824"/>
      </c:barChart>
      <c:catAx>
        <c:axId val="1315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8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8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8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Current Calculated Unit Rates</a:t>
            </a:r>
          </a:p>
        </c:rich>
      </c:tx>
      <c:layout>
        <c:manualLayout>
          <c:xMode val="edge"/>
          <c:yMode val="edge"/>
          <c:x val="0.23856867612885968"/>
          <c:y val="3.39943830872344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35783583562"/>
          <c:y val="0.20787751723342121"/>
          <c:w val="0.8391740950591916"/>
          <c:h val="0.72428903372907816"/>
        </c:manualLayout>
      </c:layout>
      <c:scatterChart>
        <c:scatterStyle val="lineMarker"/>
        <c:varyColors val="0"/>
        <c:ser>
          <c:idx val="0"/>
          <c:order val="0"/>
          <c:tx>
            <c:strRef>
              <c:f>'Bed Day Data'!$S$41</c:f>
              <c:strCache>
                <c:ptCount val="1"/>
                <c:pt idx="0">
                  <c:v>Calc daily rate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yVal>
            <c:numRef>
              <c:f>'Bed Day Data'!$S$42:$S$67</c:f>
              <c:numCache>
                <c:formatCode>_("$"* #,##0.00_);_("$"* \(#,##0.00\);_("$"* "-"??_);_(@_)</c:formatCode>
                <c:ptCount val="26"/>
                <c:pt idx="0">
                  <c:v>201.33493735371675</c:v>
                </c:pt>
                <c:pt idx="1">
                  <c:v>205.33054532184261</c:v>
                </c:pt>
                <c:pt idx="2">
                  <c:v>218.57542770167427</c:v>
                </c:pt>
                <c:pt idx="3">
                  <c:v>219.20869759493235</c:v>
                </c:pt>
                <c:pt idx="4">
                  <c:v>228.41487823439874</c:v>
                </c:pt>
                <c:pt idx="5">
                  <c:v>233.19513714998035</c:v>
                </c:pt>
                <c:pt idx="6">
                  <c:v>235.95967551577226</c:v>
                </c:pt>
                <c:pt idx="7">
                  <c:v>238.79721613394216</c:v>
                </c:pt>
                <c:pt idx="8">
                  <c:v>239.18640410958909</c:v>
                </c:pt>
                <c:pt idx="9">
                  <c:v>247.97813778481526</c:v>
                </c:pt>
                <c:pt idx="10">
                  <c:v>249.87702181633685</c:v>
                </c:pt>
                <c:pt idx="11">
                  <c:v>253.71453196347031</c:v>
                </c:pt>
                <c:pt idx="12">
                  <c:v>255.38544184797206</c:v>
                </c:pt>
                <c:pt idx="13">
                  <c:v>256.16363430093884</c:v>
                </c:pt>
                <c:pt idx="14">
                  <c:v>260.55947175092837</c:v>
                </c:pt>
                <c:pt idx="15">
                  <c:v>273.15281398426731</c:v>
                </c:pt>
                <c:pt idx="16">
                  <c:v>273.96465055102885</c:v>
                </c:pt>
                <c:pt idx="17">
                  <c:v>281.87620262559636</c:v>
                </c:pt>
                <c:pt idx="18">
                  <c:v>292.80914668949777</c:v>
                </c:pt>
                <c:pt idx="19">
                  <c:v>295.62065956367331</c:v>
                </c:pt>
                <c:pt idx="20">
                  <c:v>313.36654736660728</c:v>
                </c:pt>
                <c:pt idx="21">
                  <c:v>313.81095890410955</c:v>
                </c:pt>
                <c:pt idx="22">
                  <c:v>318.65979319367921</c:v>
                </c:pt>
                <c:pt idx="23">
                  <c:v>323.14010363270535</c:v>
                </c:pt>
                <c:pt idx="24">
                  <c:v>323.83801369863016</c:v>
                </c:pt>
                <c:pt idx="25">
                  <c:v>341.78048801369869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97440"/>
        <c:axId val="131599360"/>
      </c:scatterChart>
      <c:valAx>
        <c:axId val="131597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31599360"/>
        <c:crosses val="autoZero"/>
        <c:crossBetween val="midCat"/>
      </c:valAx>
      <c:valAx>
        <c:axId val="131599360"/>
        <c:scaling>
          <c:orientation val="minMax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974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9525</xdr:colOff>
      <xdr:row>34</xdr:row>
      <xdr:rowOff>19050</xdr:rowOff>
    </xdr:from>
    <xdr:to>
      <xdr:col>136</xdr:col>
      <xdr:colOff>1438275</xdr:colOff>
      <xdr:row>56</xdr:row>
      <xdr:rowOff>19050</xdr:rowOff>
    </xdr:to>
    <xdr:graphicFrame macro="">
      <xdr:nvGraphicFramePr>
        <xdr:cNvPr id="6883" name="Chart 1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952500</xdr:colOff>
      <xdr:row>42</xdr:row>
      <xdr:rowOff>28575</xdr:rowOff>
    </xdr:from>
    <xdr:to>
      <xdr:col>17</xdr:col>
      <xdr:colOff>971550</xdr:colOff>
      <xdr:row>62</xdr:row>
      <xdr:rowOff>152400</xdr:rowOff>
    </xdr:to>
    <xdr:graphicFrame macro="">
      <xdr:nvGraphicFramePr>
        <xdr:cNvPr id="6884" name="Chart 1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rstearns/Local%20Settings/Temporary%20Internet%20Files/OLK122F/For%20PPT%208%2019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Year%203%20Service%20Classes\Youth%20Short%20Term%20Stab\DYS\FY11%20Contract%20Data%20Analysis%206%2016%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POS/Year%203%20Projects/Year%203%20Plan/Service%20Classes/Youth%20Short-Term%20Stabilization%20Emergency%20Placement/rate%20development/Post%20Hearing/YSTS%20general%20analysis%20after%20DYS%2011_09_11_Post%20Hearing%20change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rstearns/Local%20Settings/Temporary%20Internet%20Files/OLKB83/DCF_DMH%20YITS%20Rate%20Options_UPDATED%2003_06_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POS/Year%203%20Projects/Year%203%20Plan/Service%20Classes/Youth%20Intermediate%20Term%20Stabilization/Regulatory%20Process%20for%20Combined%20YITS/5%20Public%20Hearing/Public%20Info-Interested%20Parties%20Requests/DYS%20YITS%20Rate%20Options%201109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Youth%20Intermediate%20DYS-CMR%20413\Rate%20Review%20for%20Jan%202018\1.%20Strategy%20Team%20Materials\DYS%20YITS%20Rate%20Review%202016w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PP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Impact"/>
      <sheetName val="Impact - YITS"/>
      <sheetName val="FY11 Contract Data Analysis"/>
      <sheetName val="FTE Ratios"/>
      <sheetName val="Rate Options"/>
      <sheetName val="Rate Options w Education"/>
      <sheetName val="Higher Need Rate Options"/>
      <sheetName val="Other Add-On Rates"/>
      <sheetName val="Nursing Add On"/>
      <sheetName val="TILP Rates"/>
      <sheetName val="YITS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impact"/>
      <sheetName val="Rate Summary Sheet"/>
      <sheetName val="Rate Options"/>
      <sheetName val="Rates with Ed"/>
      <sheetName val="Teacher Sals"/>
      <sheetName val="Rates w Higher Need"/>
      <sheetName val="Add-ons"/>
      <sheetName val="Budg Anlys"/>
      <sheetName val="Expense anlys"/>
      <sheetName val="Clean Data"/>
      <sheetName val="Original Data"/>
    </sheetNames>
    <sheetDataSet>
      <sheetData sheetId="0"/>
      <sheetData sheetId="1"/>
      <sheetData sheetId="2">
        <row r="12">
          <cell r="E12">
            <v>51947.798987144524</v>
          </cell>
        </row>
        <row r="13">
          <cell r="E13">
            <v>31102.5</v>
          </cell>
        </row>
        <row r="14">
          <cell r="E14">
            <v>30600.305857957486</v>
          </cell>
        </row>
        <row r="22">
          <cell r="F22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d Unit Summary after P.H"/>
      <sheetName val="unit rate summary"/>
      <sheetName val="IRTP"/>
      <sheetName val="CIRT"/>
      <sheetName val="STARR"/>
      <sheetName val="Group Home"/>
      <sheetName val="Teen Parent"/>
      <sheetName val="TLP E-bed add-on"/>
      <sheetName val="Continuum"/>
      <sheetName val="FA - SO"/>
      <sheetName val="SpecPgm-TAY"/>
      <sheetName val="Intensive GH with exp. Nursing"/>
      <sheetName val="SpecPgm-Med.Com N.GH"/>
      <sheetName val="SpecPgm-1t1 SL"/>
      <sheetName val="SpecPgm-1t2 GH"/>
      <sheetName val="SpecPgm-College Prep"/>
      <sheetName val="SpecPgm-TransIFC"/>
      <sheetName val="SpecPgm-Outreach Ind.Living"/>
    </sheetNames>
    <sheetDataSet>
      <sheetData sheetId="0" refreshError="1"/>
      <sheetData sheetId="1" refreshError="1"/>
      <sheetData sheetId="2">
        <row r="13">
          <cell r="J13">
            <v>59700.570397111915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Summary Sheet"/>
      <sheetName val="Impact Analysis"/>
      <sheetName val="Rate Options"/>
      <sheetName val="Rate Options w Ed"/>
      <sheetName val="TILP Rates"/>
      <sheetName val="Other Add-On Rates"/>
      <sheetName val="Higher Need Rate Options"/>
      <sheetName val="Bed Day Data"/>
      <sheetName val="DYS Teacher Salaries"/>
      <sheetName val="Ed Data"/>
      <sheetName val="FTE Ratios"/>
      <sheetName val="Charts"/>
    </sheetNames>
    <sheetDataSet>
      <sheetData sheetId="0"/>
      <sheetData sheetId="1"/>
      <sheetData sheetId="2">
        <row r="22">
          <cell r="AF22">
            <v>0.75</v>
          </cell>
          <cell r="AG22">
            <v>0.9</v>
          </cell>
        </row>
        <row r="27">
          <cell r="AF27">
            <v>0.8482142857142857</v>
          </cell>
          <cell r="AG27">
            <v>0.85815273477812182</v>
          </cell>
          <cell r="AH27">
            <v>0.92860869565217397</v>
          </cell>
        </row>
        <row r="30">
          <cell r="AF30">
            <v>0.25578770213785851</v>
          </cell>
        </row>
        <row r="40">
          <cell r="AG40">
            <v>4.4640068153077195E-2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MA"/>
      <sheetName val="Review CAF"/>
      <sheetName val="RR Chart"/>
      <sheetName val="Rate Summary Sheet"/>
      <sheetName val="Rate Sum 2016"/>
      <sheetName val="Rate Options"/>
      <sheetName val="TILP Rates"/>
      <sheetName val="Higher Need Rate Options"/>
      <sheetName val="Other Add-On Rates"/>
      <sheetName val="Rate Options w Ed"/>
      <sheetName val="Post Hearing Analysis"/>
      <sheetName val="Impact Analysis"/>
      <sheetName val="Bed Day Data"/>
      <sheetName val="DYS Teacher Salaries"/>
      <sheetName val="Ed Data"/>
      <sheetName val="FTE Ratios"/>
      <sheetName val="Charts"/>
      <sheetName val="Sheet2"/>
      <sheetName val="Fiscal Impact"/>
      <sheetName val="Sheet1"/>
    </sheetNames>
    <sheetDataSet>
      <sheetData sheetId="0">
        <row r="27">
          <cell r="BK27">
            <v>2.7235921972764018E-2</v>
          </cell>
        </row>
      </sheetData>
      <sheetData sheetId="1" refreshError="1"/>
      <sheetData sheetId="2">
        <row r="2">
          <cell r="T2">
            <v>2.7235921972764018E-2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id="2" name="List1" displayName="List1" ref="A1:FK29" insertRowShift="1" totalsRowCount="1" headerRowDxfId="3" dataDxfId="2" totalsRowDxfId="1" headerRowBorderDxfId="0" headerRowCellStyle="Normal_Sheet1" dataCellStyle="Normal_DYS YITS Rate Dev 5.12.10" totalsRowCellStyle="Normal_DYS YITS Rate Dev 5.12.10">
  <autoFilter ref="A1:FK28"/>
  <tableColumns count="167">
    <tableColumn id="1" name="PROVIDER" totalsRowLabel="Total" dataDxfId="169" dataCellStyle="Normal_DYS YITS Rate Dev 5.12.10"/>
    <tableColumn id="2" name="PROGRAM NAME" dataDxfId="168" dataCellStyle="Normal_DYS YITS Rate Dev 5.12.10"/>
    <tableColumn id="3" name="ACTIVITY CODE" dataDxfId="167" dataCellStyle="Normal_DYS YITS Rate Dev 5.12.10"/>
    <tableColumn id="4" name="PROGRAM TYPE" dataDxfId="166" dataCellStyle="Normal_DYS YITS Rate Dev 5.12.10"/>
    <tableColumn id="5" name="PROGRAM LOCATION" dataDxfId="165" dataCellStyle="Normal_DYS YITS Rate Dev 5.12.10"/>
    <tableColumn id="6" name="DYS Region" dataCellStyle="Normal_DYS YITS Rate Dev 5.12.10"/>
    <tableColumn id="7" name="Ownership" dataDxfId="164" dataCellStyle="Normal_DYS YITS Rate Dev 5.12.10"/>
    <tableColumn id="8" name="RFR #" dataDxfId="163" dataCellStyle="Normal_DYS YITS Rate Dev 5.12.10"/>
    <tableColumn id="9" name="INITIAL END DATE" dataDxfId="162" dataCellStyle="Normal_DYS YITS Rate Dev 5.12.10"/>
    <tableColumn id="10" name="RENEWAL END DATE" dataDxfId="161" dataCellStyle="Normal_DYS YITS Rate Dev 5.12.10"/>
    <tableColumn id="11" name="AMEND #" dataDxfId="160" dataCellStyle="Normal_DYS YITS Rate Dev 5.12.10"/>
    <tableColumn id="12" name="# OF BEDS" dataDxfId="159" dataCellStyle="Normal_DYS YITS Rate Dev 5.12.10"/>
    <tableColumn id="13" name="BEDS ANNUALIZED" dataDxfId="158" dataCellStyle="Comma">
      <calculatedColumnFormula>L2*365</calculatedColumnFormula>
    </tableColumn>
    <tableColumn id="14" name="FY10 SETTLEMENT AMOUNT" dataDxfId="157" dataCellStyle="Currency"/>
    <tableColumn id="15" name="DAILY RATE" dataDxfId="156" dataCellStyle="Currency"/>
    <tableColumn id="16" name="SETTLEMENT DAILY RATE" dataDxfId="155" dataCellStyle="Currency"/>
    <tableColumn id="17" name="ENDING FY10 DAILY RATE" dataDxfId="154" dataCellStyle="Currency"/>
    <tableColumn id="18" name="Final Daily Rate" dataDxfId="153" dataCellStyle="Currency"/>
    <tableColumn id="167" name="Calculated daily rate (exc Ed costs)" dataDxfId="152" dataCellStyle="Currency">
      <calculatedColumnFormula>DO2/(M2*T2)</calculatedColumnFormula>
    </tableColumn>
    <tableColumn id="19" name="UTILIZATION% " dataDxfId="151" dataCellStyle="Percent"/>
    <tableColumn id="20" name="Annualized Capacity @ Utilization" dataDxfId="150" dataCellStyle="Percent">
      <calculatedColumnFormula>M2*T2</calculatedColumnFormula>
    </tableColumn>
    <tableColumn id="21" name="101 PROG MGR" dataDxfId="149" dataCellStyle="Normal_DYS YITS Rate Dev 5.12.10"/>
    <tableColumn id="22" name="102 PROG DIR" dataDxfId="148" dataCellStyle="Normal_DYS YITS Rate Dev 5.12.10"/>
    <tableColumn id="23" name="103 ASS'T PROG DIR" dataDxfId="147" dataCellStyle="Normal_DYS YITS Rate Dev 5.12.10"/>
    <tableColumn id="24" name="CLINICAL DIRECTOR" dataDxfId="146" dataCellStyle="Normal_DYS YITS Rate Dev 5.12.10"/>
    <tableColumn id="25" name="124 SOCIAL WORKER (LICSW)" dataDxfId="145" dataCellStyle="Normal_DYS YITS Rate Dev 5.12.10"/>
    <tableColumn id="26" name="125 SOCIAL WORKER (LCSW)" dataDxfId="144" dataCellStyle="Normal_DYS YITS Rate Dev 5.12.10"/>
    <tableColumn id="27" name="126 SOCIAL WORKER (LSW)" dataDxfId="143" dataCellStyle="Normal_DYS YITS Rate Dev 5.12.10"/>
    <tableColumn id="28" name="127 LICENSED COUNSELOR" dataDxfId="142" dataCellStyle="Normal_DYS YITS Rate Dev 5.12.10"/>
    <tableColumn id="29" name="131 CASE WORKER/ MGR (MASTER'S)" dataDxfId="141" dataCellStyle="Normal_DYS YITS Rate Dev 5.12.10"/>
    <tableColumn id="30" name="132 CASE WORKER/ MGR" dataDxfId="140" dataCellStyle="Currency"/>
    <tableColumn id="31" name="133 DIRECT CARE/ PROGRAM STAFF SUPERVISOR" dataDxfId="139" dataCellStyle="Normal_DYS YITS Rate Dev 5.12.10"/>
    <tableColumn id="32" name="134 DIRECT CARE/ PROGRAM STAFF III" dataDxfId="138" dataCellStyle="Normal_DYS YITS Rate Dev 5.12.10"/>
    <tableColumn id="33" name="135 DIRECT CARE/ PROGRAM STAFF II" dataDxfId="137" dataCellStyle="Normal_DYS YITS Rate Dev 5.12.10"/>
    <tableColumn id="34" name="136 DIRECT CARE/ PROGRAM STAFF I" dataDxfId="136" dataCellStyle="Normal_DYS YITS Rate Dev 5.12.10"/>
    <tableColumn id="35" name="137 PROG SEC CLERICAL STAFF" dataDxfId="135" dataCellStyle="Currency"/>
    <tableColumn id="36" name="138 PROGRAM SUPPORT" dataDxfId="134" dataCellStyle="Currency"/>
    <tableColumn id="37" name="141 RELIEF STAFF" dataDxfId="133" dataCellStyle="Normal_DYS YITS Rate Dev 5.12.10"/>
    <tableColumn id="38" name="TOTAL STAFF" dataDxfId="132" dataCellStyle="Normal_DYS YITS Rate Dev 5.12.10">
      <calculatedColumnFormula>SUM(V2:AL2)</calculatedColumnFormula>
    </tableColumn>
    <tableColumn id="39" name="Direct Care Management Total FTEs" dataDxfId="131" dataCellStyle="Normal_DYS YITS Rate Dev 5.12.10">
      <calculatedColumnFormula>SUM(V2:X2)</calculatedColumnFormula>
    </tableColumn>
    <tableColumn id="40" name="Clinical Total FTEs" dataDxfId="130" dataCellStyle="Normal_DYS YITS Rate Dev 5.12.10">
      <calculatedColumnFormula>SUM(Y2:AD2)</calculatedColumnFormula>
    </tableColumn>
    <tableColumn id="41" name="Non-Specialized Direct Care Total FTEs" dataDxfId="129" dataCellStyle="Normal_DYS YITS Rate Dev 5.12.10">
      <calculatedColumnFormula>SUM(AE2:AI2)</calculatedColumnFormula>
    </tableColumn>
    <tableColumn id="42" name="Direct Care Support Total FTEs" dataDxfId="128" dataCellStyle="Normal_DYS YITS Rate Dev 5.12.10">
      <calculatedColumnFormula>SUM(AJ2:AK2)</calculatedColumnFormula>
    </tableColumn>
    <tableColumn id="43" name="101 PROGRAM MANAGER $" dataDxfId="127" dataCellStyle="Currency"/>
    <tableColumn id="44" name="102 PROGRAM DIRECTOR $" dataDxfId="126" dataCellStyle="Currency"/>
    <tableColumn id="45" name="103 ASS'T PROG DIR $" dataDxfId="125" dataCellStyle="Currency"/>
    <tableColumn id="46" name="CLINICAL DIRECTOR $" dataDxfId="124" dataCellStyle="Currency"/>
    <tableColumn id="47" name="124 SOCIAL WORKER (LICSW) $" dataDxfId="123" dataCellStyle="Currency"/>
    <tableColumn id="48" name="125 SOCIAL WORKER (LCSW) $" dataDxfId="122"/>
    <tableColumn id="49" name="126 SOCIAL WORKER (LSW) $" dataDxfId="121" dataCellStyle="Currency"/>
    <tableColumn id="50" name="127 LICENSED COUNSELOR $" dataDxfId="120" dataCellStyle="Currency"/>
    <tableColumn id="51" name="131 CASE WORKER/ MGR (MASTER'S) $" dataDxfId="119" dataCellStyle="Currency"/>
    <tableColumn id="52" name="132 CASE WORKER/ MGR $" dataDxfId="118" dataCellStyle="Currency"/>
    <tableColumn id="53" name="133 DIRECT CARE/ PROGRAM STAFF SUPERVISOR $" dataDxfId="117" dataCellStyle="Currency"/>
    <tableColumn id="54" name="134 DIRECT CARE/ PROGRAM STAFF III $" dataDxfId="116" dataCellStyle="Currency"/>
    <tableColumn id="55" name="135 DIRECT CARE/ PROGRAM STAFF II $" dataDxfId="115" dataCellStyle="Currency"/>
    <tableColumn id="56" name="136 DIRECT CARE/ PROGRAM STAFF I $" dataDxfId="114" dataCellStyle="Currency"/>
    <tableColumn id="57" name="137 PROG SEC CLERICAL STAFF $" dataDxfId="113" dataCellStyle="Currency"/>
    <tableColumn id="58" name="138 PROGRAM SUPPORT $" dataDxfId="112" dataCellStyle="Currency"/>
    <tableColumn id="59" name="141 RELIEF STAFF / OVERTIME $" dataDxfId="111" dataCellStyle="Currency"/>
    <tableColumn id="60" name="Relief %" dataDxfId="110" dataCellStyle="Percent">
      <calculatedColumnFormula>BH2/(BJ2-BH2)</calculatedColumnFormula>
    </tableColumn>
    <tableColumn id="61" name="TOTAL STAFF No Teachers $ (SUBTOTAL ONLY)" dataDxfId="109" dataCellStyle="Currency">
      <calculatedColumnFormula>SUM(AR2:BH2)</calculatedColumnFormula>
    </tableColumn>
    <tableColumn id="62" name="Originally Reported Total TEACHER salary $" dataDxfId="108" dataCellStyle="Currency"/>
    <tableColumn id="63" name="Direct Care Management Total Salaries" dataDxfId="107" dataCellStyle="Currency">
      <calculatedColumnFormula>SUM(AR2:AT2)</calculatedColumnFormula>
    </tableColumn>
    <tableColumn id="64" name="Clinical Total Salaries" dataDxfId="106" dataCellStyle="Currency">
      <calculatedColumnFormula>SUM(AU2:AZ2)</calculatedColumnFormula>
    </tableColumn>
    <tableColumn id="65" name="Non-Specialized Direct Care Total Salaries" dataDxfId="105" dataCellStyle="Currency">
      <calculatedColumnFormula>SUM(BA2:BE2)</calculatedColumnFormula>
    </tableColumn>
    <tableColumn id="66" name="Direct Care Support Total Salaries" dataDxfId="104" dataCellStyle="Currency">
      <calculatedColumnFormula>SUM(BF2:BG2)</calculatedColumnFormula>
    </tableColumn>
    <tableColumn id="67" name="101 PROG MGR Salary / FTE" dataDxfId="103" dataCellStyle="Currency">
      <calculatedColumnFormula>IF(ISERROR(AR2/V2),"",(AR2/V2))</calculatedColumnFormula>
    </tableColumn>
    <tableColumn id="68" name="102 PROG DIR Salary / FTE" dataDxfId="102" dataCellStyle="Currency">
      <calculatedColumnFormula>IF(ISERROR(AS2/W2),"",(AS2/W2))</calculatedColumnFormula>
    </tableColumn>
    <tableColumn id="69" name="103 ASS'T PROG DIR Salary / FTE" dataDxfId="101" dataCellStyle="Currency">
      <calculatedColumnFormula>IF(ISERROR(AT2/X2),"",(AT2/X2))</calculatedColumnFormula>
    </tableColumn>
    <tableColumn id="70" name="CLINICAL DIRECTOR Salary / FTE" dataDxfId="100" dataCellStyle="Currency">
      <calculatedColumnFormula>IF(ISERROR(AU2/Y2),"",(AU2/Y2))</calculatedColumnFormula>
    </tableColumn>
    <tableColumn id="71" name="124 SOCIAL WORKER (LICSW) Salary / FTE" dataDxfId="99" dataCellStyle="Currency">
      <calculatedColumnFormula>IF(ISERROR(AV2/Z2),"",(AV2/Z2))</calculatedColumnFormula>
    </tableColumn>
    <tableColumn id="72" name="125 SOCIAL WORKER (LCSW) Salary / FTE" dataDxfId="98" dataCellStyle="Currency">
      <calculatedColumnFormula>IF(ISERROR(AW2/AA2),"",(AW2/AA2))</calculatedColumnFormula>
    </tableColumn>
    <tableColumn id="73" name="126 SOCIAL WORKER (LSW) Salary / FTE" dataDxfId="97" dataCellStyle="Currency">
      <calculatedColumnFormula>IF(ISERROR(AX2/AB2),"",(AX2/AB2))</calculatedColumnFormula>
    </tableColumn>
    <tableColumn id="74" name="127 LICENSED COUNSELOR Salary / FTE" dataDxfId="96" dataCellStyle="Currency">
      <calculatedColumnFormula>IF(ISERROR(AY2/AC2),"",(AY2/AC2))</calculatedColumnFormula>
    </tableColumn>
    <tableColumn id="75" name="131 CASE WORKER/ MGR (MASTER'S) Salary / FTE" dataDxfId="95" dataCellStyle="Currency">
      <calculatedColumnFormula>IF(ISERROR(AZ2/AD2),"",(AZ2/AD2))</calculatedColumnFormula>
    </tableColumn>
    <tableColumn id="76" name="132 CASE WORKER/ MGR Salary / FTE" dataDxfId="94" dataCellStyle="Currency">
      <calculatedColumnFormula>IF(ISERROR(BA2/AE2),"",(BA2/AE2))</calculatedColumnFormula>
    </tableColumn>
    <tableColumn id="77" name="133 DIRECT CARE/ PROGRAM STAFF SUPERVISOR Salary / FTE" dataDxfId="93" dataCellStyle="Currency">
      <calculatedColumnFormula>IF(ISERROR(BB2/AF2),"",(BB2/AF2))</calculatedColumnFormula>
    </tableColumn>
    <tableColumn id="78" name="134 DIRECT CARE/ PROGRAM STAFF III Salary / FTE" dataDxfId="92" dataCellStyle="Currency">
      <calculatedColumnFormula>IF(ISERROR(BC2/AG2),"",(BC2/AG2))</calculatedColumnFormula>
    </tableColumn>
    <tableColumn id="79" name="135 DIRECT CARE/ PROGRAM STAFF II Salary / FTE" dataDxfId="91" dataCellStyle="Currency">
      <calculatedColumnFormula>IF(ISERROR(BD2/AH2),"",(BD2/AH2))</calculatedColumnFormula>
    </tableColumn>
    <tableColumn id="80" name="136 DIRECT CARE/ PROGRAM STAFF I Salary / FTE" dataDxfId="90" dataCellStyle="Currency">
      <calculatedColumnFormula>IF(ISERROR(BE2/AI2),"",(BE2/AI2))</calculatedColumnFormula>
    </tableColumn>
    <tableColumn id="81" name="137 PROG SEC CLERICAL STAFF Salary / FTE" dataDxfId="89" dataCellStyle="Currency">
      <calculatedColumnFormula>IF(ISERROR(BF2/AJ2),"",(BF2/AJ2))</calculatedColumnFormula>
    </tableColumn>
    <tableColumn id="82" name="138 PROGRAM SUPPORT Salary / FTE" dataDxfId="88" dataCellStyle="Currency">
      <calculatedColumnFormula>IF(ISERROR(BG2/AK2),"",(BG2/AK2))</calculatedColumnFormula>
    </tableColumn>
    <tableColumn id="83" name="141 RELIEF STAFF Salary / FTE" dataDxfId="87" dataCellStyle="Currency">
      <calculatedColumnFormula>IF(ISERROR(BH2/AL2),"",(BH2/AL2))</calculatedColumnFormula>
    </tableColumn>
    <tableColumn id="84" name="Salary / FTE All Positions" dataDxfId="86" dataCellStyle="Currency">
      <calculatedColumnFormula>IF(ISERROR(BJ2/AM2),"",(BJ2/AM2))</calculatedColumnFormula>
    </tableColumn>
    <tableColumn id="85" name="Direct Care Management Total Salary / FTE" dataDxfId="85" dataCellStyle="Normal_DYS YITS Rate Dev 5.12.10">
      <calculatedColumnFormula>BL2/AN2</calculatedColumnFormula>
    </tableColumn>
    <tableColumn id="86" name="Clinical Total Salary / FTE" dataDxfId="84" dataCellStyle="Normal_DYS YITS Rate Dev 5.12.10">
      <calculatedColumnFormula>BM2/AO2</calculatedColumnFormula>
    </tableColumn>
    <tableColumn id="87" name="Non-Specialized Direct Care Total Salary / FTE" dataDxfId="83" dataCellStyle="Normal_DYS YITS Rate Dev 5.12.10">
      <calculatedColumnFormula>BN2/AP2</calculatedColumnFormula>
    </tableColumn>
    <tableColumn id="88" name="Direct Care Support Total Salary / FTE" dataDxfId="82" dataCellStyle="Normal_DYS YITS Rate Dev 5.12.10">
      <calculatedColumnFormula>BO2/AQ2</calculatedColumnFormula>
    </tableColumn>
    <tableColumn id="89" name="TOTAL TAX $" dataDxfId="81" dataCellStyle="Currency"/>
    <tableColumn id="90" name="TOTAL FRINGE" dataDxfId="80" dataCellStyle="Currency"/>
    <tableColumn id="91" name="Tax and Fringe" dataDxfId="79" dataCellStyle="Normal_DYS YITS Rate Dev 5.12.10">
      <calculatedColumnFormula>SUM(CL2,CM2)</calculatedColumnFormula>
    </tableColumn>
    <tableColumn id="92" name="% of Total FTE / Salary &amp; Wages" dataDxfId="78" dataCellStyle="Percent">
      <calculatedColumnFormula>CN2/SUM(BJ2:BK2)</calculatedColumnFormula>
    </tableColumn>
    <tableColumn id="165" name="Originally reported TEACHER Tax &amp; Fringe" dataDxfId="77" dataCellStyle="Normal_DYS YITS Rate Dev 5.12.10">
      <calculatedColumnFormula>IF(BK2="","",CO2*BK2)</calculatedColumnFormula>
    </tableColumn>
    <tableColumn id="166" name="Tax &amp; Frindge EXC TEACHERS" dataDxfId="76" dataCellStyle="Normal_DYS YITS Rate Dev 5.12.10">
      <calculatedColumnFormula>IF(CP2="",CN2,CN2-CP2)</calculatedColumnFormula>
    </tableColumn>
    <tableColumn id="93" name="TOTAL STAFF COSTS EXC orginally reported TEACHERS" dataDxfId="75" dataCellStyle="Currency">
      <calculatedColumnFormula>BJ2+CQ2</calculatedColumnFormula>
    </tableColumn>
    <tableColumn id="94" name="301 PROGRAM FACILITIES" dataDxfId="74" dataCellStyle="Currency"/>
    <tableColumn id="95" name="390 FACILITIES OPERATION, MAINT, EQUIPMENT, FURNISHING" dataDxfId="73" dataCellStyle="Currency"/>
    <tableColumn id="96" name="Occupancy" dataDxfId="72" dataCellStyle="Currency">
      <calculatedColumnFormula>SUM(CS2:CT2)</calculatedColumnFormula>
    </tableColumn>
    <tableColumn id="97" name="201 DIRECT CARE PROGRAM CONSULT" dataDxfId="71" dataCellStyle="Currency"/>
    <tableColumn id="98" name="206 SUB- CONTRACTED DIRECT CARE" dataDxfId="70" dataCellStyle="Currency"/>
    <tableColumn id="99" name="Other Staffing Exp" dataDxfId="69" dataCellStyle="Normal_DYS YITS Rate Dev 5.12.10"/>
    <tableColumn id="100" name="Total Staff Sal, Consultant and Subcontract" dataDxfId="68" dataCellStyle="Normal_DYS YITS Rate Dev 5.12.10">
      <calculatedColumnFormula>BJ2+CX2</calculatedColumnFormula>
    </tableColumn>
    <tableColumn id="101" name="204 STAFF TRAINING" dataDxfId="67" dataCellStyle="Currency"/>
    <tableColumn id="102" name="205 STAFF MILEAGE/ TRAVEL" dataDxfId="66" dataCellStyle="Currency"/>
    <tableColumn id="103" name="207 MEALS" dataDxfId="65" dataCellStyle="Currency"/>
    <tableColumn id="104" name="208 CLIENT TRANSPORT" dataDxfId="64" dataCellStyle="Currency"/>
    <tableColumn id="105" name="209 INCIDENTAL HEALTH/ MEDICAL _x000a_CARE" dataDxfId="63" dataCellStyle="Currency"/>
    <tableColumn id="106" name="210 MEDICINE/ PHARMACY" dataDxfId="62" dataCellStyle="Currency"/>
    <tableColumn id="107" name="211 CLIENT PERSONAL ALLOWANCES" dataDxfId="61" dataCellStyle="Currency"/>
    <tableColumn id="108" name="215 PROG SUPPLIES, MATERIALS, EQUIP &amp; FURNISHINGS" dataDxfId="60" dataCellStyle="Currency"/>
    <tableColumn id="109" name="216 PROGRAM SUPPORT" dataDxfId="59" dataCellStyle="Currency"/>
    <tableColumn id="110" name="114 DIETICIAN/ NUTRITIONIST/ RN" dataDxfId="58" dataCellStyle="Normal_DYS YITS Rate Dev 5.12.10"/>
    <tableColumn id="111" name="114 DIETICIAN/ NUTRITIONIST/ RN2" dataDxfId="57" dataCellStyle="Currency"/>
    <tableColumn id="112" name="Total Other Program Exp (ecl. Occupancy and Other Staffing/ incl. Nutr.)" dataDxfId="56" dataCellStyle="Normal_DYS YITS Rate Dev 5.12.10">
      <calculatedColumnFormula>SUM(CZ2:DH2,DJ2)</calculatedColumnFormula>
    </tableColumn>
    <tableColumn id="113" name="SUBTOTAL EXC TEACHERS" dataDxfId="55" dataCellStyle="Currency">
      <calculatedColumnFormula>SUM(CR2,CZ2:DH2,CS2:CT2,CV2:CW2,DJ2)</calculatedColumnFormula>
    </tableColumn>
    <tableColumn id="114" name="AGENCY ALLOCATION % of Direct Costs" dataDxfId="54" dataCellStyle="Percent">
      <calculatedColumnFormula>DN2/DL2</calculatedColumnFormula>
    </tableColumn>
    <tableColumn id="115" name="TOTAL AGENCY ALLOCATION3" dataDxfId="53" dataCellStyle="Currency"/>
    <tableColumn id="116" name="FY10 BUDGET TOTAL" dataDxfId="52" dataCellStyle="Currency">
      <calculatedColumnFormula>DL2+DN2</calculatedColumnFormula>
    </tableColumn>
    <tableColumn id="117" name="RATE CALC. OFFSET" dataDxfId="51" dataCellStyle="Currency"/>
    <tableColumn id="118" name="TOTAL CONTRACT FY10" dataDxfId="50" dataCellStyle="Currency">
      <calculatedColumnFormula>DO2-DP2</calculatedColumnFormula>
    </tableColumn>
    <tableColumn id="119" name="Direct Care Management Total Salary " dataDxfId="49" dataCellStyle="Normal_DYS YITS Rate Dev 5.12.10">
      <calculatedColumnFormula>BL2</calculatedColumnFormula>
    </tableColumn>
    <tableColumn id="120" name="Clinical Total Salary " dataDxfId="48" dataCellStyle="Normal_DYS YITS Rate Dev 5.12.10">
      <calculatedColumnFormula>BM2</calculatedColumnFormula>
    </tableColumn>
    <tableColumn id="121" name="Non-Specialized Direct Care Total Salary " dataDxfId="47" dataCellStyle="Normal_DYS YITS Rate Dev 5.12.10">
      <calculatedColumnFormula>BN2</calculatedColumnFormula>
    </tableColumn>
    <tableColumn id="122" name="Direct Care Support Total Salary" dataDxfId="46" dataCellStyle="Normal_DYS YITS Rate Dev 5.12.10">
      <calculatedColumnFormula>BO2</calculatedColumnFormula>
    </tableColumn>
    <tableColumn id="123" name="Direct Program Staff Related Exp Total" dataDxfId="45" dataCellStyle="Normal_DYS YITS Rate Dev 5.12.10">
      <calculatedColumnFormula>BJ2</calculatedColumnFormula>
    </tableColumn>
    <tableColumn id="124" name="Tax &amp; Fringe Total" dataDxfId="44" dataCellStyle="Normal_DYS YITS Rate Dev 5.12.10">
      <calculatedColumnFormula>CQ2</calculatedColumnFormula>
    </tableColumn>
    <tableColumn id="125" name="Other Staffing Exp Total" dataDxfId="43" dataCellStyle="Normal_DYS YITS Rate Dev 5.12.10">
      <calculatedColumnFormula>CX2</calculatedColumnFormula>
    </tableColumn>
    <tableColumn id="126" name="Occupancy Total" dataDxfId="42" dataCellStyle="Normal_DYS YITS Rate Dev 5.12.10">
      <calculatedColumnFormula>CU2</calculatedColumnFormula>
    </tableColumn>
    <tableColumn id="127" name="Other Program Expense Total" dataDxfId="41" dataCellStyle="Normal_DYS YITS Rate Dev 5.12.10">
      <calculatedColumnFormula>DK2</calculatedColumnFormula>
    </tableColumn>
    <tableColumn id="128" name="Agency Allocation Total" dataDxfId="40" dataCellStyle="Normal_DYS YITS Rate Dev 5.12.10">
      <calculatedColumnFormula>DN2</calculatedColumnFormula>
    </tableColumn>
    <tableColumn id="129" name="Total Reimbursable Expenses" dataDxfId="39" dataCellStyle="Normal_DYS YITS Rate Dev 5.12.10">
      <calculatedColumnFormula>DO2</calculatedColumnFormula>
    </tableColumn>
    <tableColumn id="130" name="Direct Staff Related Expenses %" dataDxfId="38" dataCellStyle="Percent">
      <calculatedColumnFormula>DV2/EB2</calculatedColumnFormula>
    </tableColumn>
    <tableColumn id="131" name="Tax &amp; Fringe % " dataDxfId="37" dataCellStyle="Percent">
      <calculatedColumnFormula>DW2/EB2</calculatedColumnFormula>
    </tableColumn>
    <tableColumn id="132" name="Other Staffing Costs %" dataDxfId="36" dataCellStyle="Percent">
      <calculatedColumnFormula>DX2/EB2</calculatedColumnFormula>
    </tableColumn>
    <tableColumn id="133" name="Occupancy %" dataDxfId="35" dataCellStyle="Percent">
      <calculatedColumnFormula>DY2/EB2</calculatedColumnFormula>
    </tableColumn>
    <tableColumn id="134" name="Other Program Expenses %" dataDxfId="34" dataCellStyle="Percent">
      <calculatedColumnFormula>DZ2/EB2</calculatedColumnFormula>
    </tableColumn>
    <tableColumn id="135" name="Agency Allocation % of Total Budget" dataDxfId="33" dataCellStyle="Percent">
      <calculatedColumnFormula>EA2/EB2</calculatedColumnFormula>
    </tableColumn>
    <tableColumn id="136" name="% Check" dataDxfId="32" dataCellStyle="Normal_DYS YITS Rate Dev 5.12.10">
      <calculatedColumnFormula>SUM(EC2:EH2)</calculatedColumnFormula>
    </tableColumn>
    <tableColumn id="137" name="Direct Care Management Total Salary Per Unit Cost" dataDxfId="31" dataCellStyle="Normal_DYS YITS Rate Dev 5.12.10">
      <calculatedColumnFormula>DR2/$M2</calculatedColumnFormula>
    </tableColumn>
    <tableColumn id="138" name="Clinical Total Salary Per Unit Cost" dataDxfId="30" dataCellStyle="Normal_DYS YITS Rate Dev 5.12.10">
      <calculatedColumnFormula>IF(DS2="","",DS2/$M2)</calculatedColumnFormula>
    </tableColumn>
    <tableColumn id="139" name="Non-Specialized Direct Care Total Salary Per Unit Cost" dataDxfId="29" dataCellStyle="Normal_DYS YITS Rate Dev 5.12.10">
      <calculatedColumnFormula>IF(DT2="","",DT2/$M2)</calculatedColumnFormula>
    </tableColumn>
    <tableColumn id="140" name="Direct Care Support Total Salary Per Unit Cost" dataDxfId="28" dataCellStyle="Normal_DYS YITS Rate Dev 5.12.10">
      <calculatedColumnFormula>IF(DU2="","",DU2/$M2)</calculatedColumnFormula>
    </tableColumn>
    <tableColumn id="141" name="Total Direct Program Staff Related Per Unit Cost" dataDxfId="27" dataCellStyle="Normal_DYS YITS Rate Dev 5.12.10">
      <calculatedColumnFormula>IF(DV2="","",DV2/$M2)</calculatedColumnFormula>
    </tableColumn>
    <tableColumn id="142" name="Tax &amp; Fringe Per Unit Cost" dataDxfId="26" dataCellStyle="Normal_DYS YITS Rate Dev 5.12.10">
      <calculatedColumnFormula>IF(DW2="","",DW2/$M2)</calculatedColumnFormula>
    </tableColumn>
    <tableColumn id="143" name="Other Staffing Costs Per Unit Cost" dataDxfId="25" dataCellStyle="Normal_DYS YITS Rate Dev 5.12.10">
      <calculatedColumnFormula>IF(DX2="","",DX2/$M2)</calculatedColumnFormula>
    </tableColumn>
    <tableColumn id="144" name="ALL Staffing Expenses Per Unit Cost" dataDxfId="24" dataCellStyle="Normal_DYS YITS Rate Dev 5.12.10">
      <calculatedColumnFormula>CR2/$M2</calculatedColumnFormula>
    </tableColumn>
    <tableColumn id="145" name="ALL Staffing Salaries (No Tax / Fringe) Per Unit Cost" dataDxfId="23" dataCellStyle="Normal_DYS YITS Rate Dev 5.12.10">
      <calculatedColumnFormula>CY2/$M2</calculatedColumnFormula>
    </tableColumn>
    <tableColumn id="146" name="Ownership4" dataDxfId="22" dataCellStyle="Normal_DYS YITS Rate Dev 5.12.10"/>
    <tableColumn id="147" name="Occupancy Per Unit Cost" dataDxfId="21" dataCellStyle="Normal_DYS YITS Rate Dev 5.12.10">
      <calculatedColumnFormula>DY2/$M2</calculatedColumnFormula>
    </tableColumn>
    <tableColumn id="148" name="Other Program Per Unit Cost" dataDxfId="20" dataCellStyle="Normal_DYS YITS Rate Dev 5.12.10">
      <calculatedColumnFormula>DZ2/$M2</calculatedColumnFormula>
    </tableColumn>
    <tableColumn id="149" name="Agency Allocation Unit Cost" dataDxfId="19" dataCellStyle="Normal_DYS YITS Rate Dev 5.12.10">
      <calculatedColumnFormula>EA2/$M2</calculatedColumnFormula>
    </tableColumn>
    <tableColumn id="150" name="Tax and Fringe Per Unit Cost" dataDxfId="18" dataCellStyle="Normal_DYS YITS Rate Dev 5.12.10">
      <calculatedColumnFormula>DW2/$M2</calculatedColumnFormula>
    </tableColumn>
    <tableColumn id="151" name="Total Unit Cost" dataDxfId="17" dataCellStyle="Normal_DYS YITS Rate Dev 5.12.10">
      <calculatedColumnFormula>EB2/$M2</calculatedColumnFormula>
    </tableColumn>
    <tableColumn id="152" name="Total Unit Cost Adj for Utilization" dataDxfId="16" dataCellStyle="Normal_DYS YITS Rate Dev 5.12.10">
      <calculatedColumnFormula>EX2/T2</calculatedColumnFormula>
    </tableColumn>
    <tableColumn id="153" name="Unit Cost Check with DYS Data" dataDxfId="15" dataCellStyle="Normal_DYS YITS Rate Dev 5.12.10">
      <calculatedColumnFormula>R2</calculatedColumnFormula>
    </tableColumn>
    <tableColumn id="154" name="DIFFERENCE" dataDxfId="14" dataCellStyle="Normal_DYS YITS Rate Dev 5.12.10">
      <calculatedColumnFormula>EX2-EZ2</calculatedColumnFormula>
    </tableColumn>
    <tableColumn id="155" name="Direct Care Management Total FTEs Per Unit" dataDxfId="13" dataCellStyle="Normal_DYS YITS Rate Dev 5.12.10">
      <calculatedColumnFormula>AN2/$L2</calculatedColumnFormula>
    </tableColumn>
    <tableColumn id="156" name="Clinical Total FTEs Per Unit" dataDxfId="12" dataCellStyle="Normal_DYS YITS Rate Dev 5.12.10">
      <calculatedColumnFormula>AO2/$L2</calculatedColumnFormula>
    </tableColumn>
    <tableColumn id="157" name="Non-Specialized Direct Care Total FTEs Per Unit" dataDxfId="11" dataCellStyle="Normal_DYS YITS Rate Dev 5.12.10">
      <calculatedColumnFormula>AP2/$L2</calculatedColumnFormula>
    </tableColumn>
    <tableColumn id="158" name="Direct Care Support Total FTEs Per Unit" dataDxfId="10" dataCellStyle="Normal_DYS YITS Rate Dev 5.12.10">
      <calculatedColumnFormula>AQ2/$L2</calculatedColumnFormula>
    </tableColumn>
    <tableColumn id="159" name="Total FTEs Per Unit" dataDxfId="9" dataCellStyle="Normal_DYS YITS Rate Dev 5.12.10">
      <calculatedColumnFormula>AM2/L2</calculatedColumnFormula>
    </tableColumn>
    <tableColumn id="160" name="Clients per Direct Care Management FTEs" dataDxfId="8" dataCellStyle="Normal_DYS YITS Rate Dev 5.12.10">
      <calculatedColumnFormula>$L2/AN2</calculatedColumnFormula>
    </tableColumn>
    <tableColumn id="161" name="Clients per Clinical FTEs" dataDxfId="7" dataCellStyle="Normal_DYS YITS Rate Dev 5.12.10">
      <calculatedColumnFormula>$L2/AO2</calculatedColumnFormula>
    </tableColumn>
    <tableColumn id="162" name="Clients per Non-Specialized Direct Care FTEs" dataDxfId="6" dataCellStyle="Normal_DYS YITS Rate Dev 5.12.10">
      <calculatedColumnFormula>$L2/AP2</calculatedColumnFormula>
    </tableColumn>
    <tableColumn id="163" name="Clients per Direct Care Support FTEs" dataDxfId="5" dataCellStyle="Normal_DYS YITS Rate Dev 5.12.10">
      <calculatedColumnFormula>$L2/AQ2</calculatedColumnFormula>
    </tableColumn>
    <tableColumn id="164" name="Clients per FTEs" totalsRowFunction="sum" dataDxfId="4" dataCellStyle="Normal_DYS YITS Rate Dev 5.12.10">
      <calculatedColumnFormula>$L2/AM2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5.xml"/><Relationship Id="rId4" Type="http://schemas.openxmlformats.org/officeDocument/2006/relationships/table" Target="../tables/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7"/>
  <sheetViews>
    <sheetView topLeftCell="B1" workbookViewId="0">
      <selection activeCell="R9" sqref="R9"/>
    </sheetView>
  </sheetViews>
  <sheetFormatPr defaultColWidth="8.75" defaultRowHeight="14.25" x14ac:dyDescent="0.2"/>
  <cols>
    <col min="1" max="1" width="8.75" style="1027" customWidth="1"/>
    <col min="2" max="2" width="19.625" style="1027" customWidth="1"/>
    <col min="3" max="8" width="8.75" style="1027"/>
    <col min="9" max="10" width="16.875" style="1027" customWidth="1"/>
    <col min="11" max="16384" width="8.75" style="1027"/>
  </cols>
  <sheetData>
    <row r="1" spans="1:20" x14ac:dyDescent="0.2">
      <c r="B1" s="1028" t="s">
        <v>542</v>
      </c>
      <c r="J1" s="1028" t="s">
        <v>543</v>
      </c>
    </row>
    <row r="2" spans="1:20" ht="15.75" thickBot="1" x14ac:dyDescent="0.25">
      <c r="A2" s="1113" t="s">
        <v>544</v>
      </c>
      <c r="B2" s="1113"/>
      <c r="C2" s="1113"/>
      <c r="D2" s="1113"/>
      <c r="E2" s="1113"/>
      <c r="F2" s="1113"/>
      <c r="I2" s="1113" t="s">
        <v>544</v>
      </c>
      <c r="J2" s="1113"/>
      <c r="K2" s="1113"/>
      <c r="L2" s="1113"/>
      <c r="M2" s="1113"/>
      <c r="N2" s="1113"/>
      <c r="S2" s="1028" t="s">
        <v>290</v>
      </c>
      <c r="T2" s="1029">
        <f>[6]CPIMA!BK27</f>
        <v>2.7235921972764018E-2</v>
      </c>
    </row>
    <row r="3" spans="1:20" ht="15.75" thickBot="1" x14ac:dyDescent="0.25">
      <c r="A3" s="1116" t="s">
        <v>253</v>
      </c>
      <c r="B3" s="1030" t="s">
        <v>545</v>
      </c>
      <c r="C3" s="1110" t="s">
        <v>546</v>
      </c>
      <c r="D3" s="1111"/>
      <c r="E3" s="1111"/>
      <c r="F3" s="1112"/>
      <c r="I3" s="1116" t="s">
        <v>253</v>
      </c>
      <c r="J3" s="1030" t="s">
        <v>545</v>
      </c>
      <c r="K3" s="1110" t="s">
        <v>546</v>
      </c>
      <c r="L3" s="1111"/>
      <c r="M3" s="1111"/>
      <c r="N3" s="1112"/>
    </row>
    <row r="4" spans="1:20" ht="15.75" thickBot="1" x14ac:dyDescent="0.25">
      <c r="A4" s="1117"/>
      <c r="B4" s="1032"/>
      <c r="C4" s="1033" t="s">
        <v>339</v>
      </c>
      <c r="D4" s="1032" t="s">
        <v>340</v>
      </c>
      <c r="E4" s="1032" t="s">
        <v>263</v>
      </c>
      <c r="F4" s="1034" t="s">
        <v>264</v>
      </c>
      <c r="I4" s="1117"/>
      <c r="J4" s="1032"/>
      <c r="K4" s="1033" t="s">
        <v>339</v>
      </c>
      <c r="L4" s="1032" t="s">
        <v>340</v>
      </c>
      <c r="M4" s="1032" t="s">
        <v>263</v>
      </c>
      <c r="N4" s="1034" t="s">
        <v>264</v>
      </c>
    </row>
    <row r="5" spans="1:20" ht="15.75" thickBot="1" x14ac:dyDescent="0.25">
      <c r="A5" s="1117"/>
      <c r="B5" s="1035">
        <v>0.9</v>
      </c>
      <c r="C5" s="1036">
        <v>409.66</v>
      </c>
      <c r="D5" s="1036">
        <v>375.02</v>
      </c>
      <c r="E5" s="1036">
        <v>335.06</v>
      </c>
      <c r="F5" s="1037">
        <v>331.67</v>
      </c>
      <c r="I5" s="1117"/>
      <c r="J5" s="1035">
        <v>0.9</v>
      </c>
      <c r="K5" s="1036">
        <f>C5*($T$2+1)</f>
        <v>420.81746779536252</v>
      </c>
      <c r="L5" s="1036">
        <f>D5*($T$2+1)</f>
        <v>385.23401545822594</v>
      </c>
      <c r="M5" s="1036">
        <f>E5*($T$2+1)</f>
        <v>344.18566801619431</v>
      </c>
      <c r="N5" s="1036">
        <f>F5*($T$2+1)</f>
        <v>340.70333824070667</v>
      </c>
    </row>
    <row r="6" spans="1:20" ht="15.75" thickBot="1" x14ac:dyDescent="0.25">
      <c r="A6" s="1117"/>
      <c r="B6" s="1035">
        <v>0.85</v>
      </c>
      <c r="C6" s="1036">
        <v>433.76</v>
      </c>
      <c r="D6" s="1036">
        <v>397.08</v>
      </c>
      <c r="E6" s="1036">
        <v>354.78</v>
      </c>
      <c r="F6" s="1037">
        <v>351.18</v>
      </c>
      <c r="I6" s="1117"/>
      <c r="J6" s="1035">
        <v>0.85</v>
      </c>
      <c r="K6" s="1036">
        <f t="shared" ref="K6:N13" si="0">C6*($T$2+1)</f>
        <v>445.57385351490609</v>
      </c>
      <c r="L6" s="1036">
        <f t="shared" si="0"/>
        <v>407.89483989694514</v>
      </c>
      <c r="M6" s="1036">
        <f t="shared" si="0"/>
        <v>364.44276039749718</v>
      </c>
      <c r="N6" s="1036">
        <f t="shared" si="0"/>
        <v>360.74471107839526</v>
      </c>
    </row>
    <row r="7" spans="1:20" ht="15.75" thickBot="1" x14ac:dyDescent="0.25">
      <c r="A7" s="1117"/>
      <c r="B7" s="1035">
        <v>0.8</v>
      </c>
      <c r="C7" s="1036">
        <v>460.87</v>
      </c>
      <c r="D7" s="1036">
        <v>421.9</v>
      </c>
      <c r="E7" s="1036">
        <v>376.95</v>
      </c>
      <c r="F7" s="1037">
        <v>373.12</v>
      </c>
      <c r="I7" s="1117"/>
      <c r="J7" s="1035">
        <v>0.8</v>
      </c>
      <c r="K7" s="1036">
        <f t="shared" si="0"/>
        <v>473.42221935958776</v>
      </c>
      <c r="L7" s="1036">
        <f t="shared" si="0"/>
        <v>433.39083548030914</v>
      </c>
      <c r="M7" s="1036">
        <f t="shared" si="0"/>
        <v>387.2165807876334</v>
      </c>
      <c r="N7" s="1036">
        <f t="shared" si="0"/>
        <v>383.28226720647774</v>
      </c>
    </row>
    <row r="8" spans="1:20" ht="15.75" thickBot="1" x14ac:dyDescent="0.25">
      <c r="A8" s="1117"/>
      <c r="B8" s="1035">
        <v>0.75</v>
      </c>
      <c r="C8" s="1036">
        <v>491.6</v>
      </c>
      <c r="D8" s="1036">
        <v>450.03</v>
      </c>
      <c r="E8" s="1036">
        <v>402.08</v>
      </c>
      <c r="F8" s="1037">
        <v>397.99</v>
      </c>
      <c r="I8" s="1117"/>
      <c r="J8" s="1035">
        <v>0.75</v>
      </c>
      <c r="K8" s="1036">
        <f t="shared" si="0"/>
        <v>504.9891792418108</v>
      </c>
      <c r="L8" s="1036">
        <f t="shared" si="0"/>
        <v>462.28698196540296</v>
      </c>
      <c r="M8" s="1036">
        <f t="shared" si="0"/>
        <v>413.03101950680895</v>
      </c>
      <c r="N8" s="1036">
        <f t="shared" si="0"/>
        <v>408.82962458594039</v>
      </c>
    </row>
    <row r="9" spans="1:20" ht="15.75" thickBot="1" x14ac:dyDescent="0.25">
      <c r="A9" s="1117"/>
      <c r="B9" s="1035">
        <v>0.7</v>
      </c>
      <c r="C9" s="1036">
        <v>526.71</v>
      </c>
      <c r="D9" s="1036">
        <v>482.17</v>
      </c>
      <c r="E9" s="1036">
        <v>430.79</v>
      </c>
      <c r="F9" s="1037">
        <v>426.43</v>
      </c>
      <c r="I9" s="1117"/>
      <c r="J9" s="1035">
        <v>0.7</v>
      </c>
      <c r="K9" s="1036">
        <f t="shared" si="0"/>
        <v>541.05543246227455</v>
      </c>
      <c r="L9" s="1036">
        <f t="shared" si="0"/>
        <v>495.30234449760763</v>
      </c>
      <c r="M9" s="1036">
        <f t="shared" si="0"/>
        <v>442.52296282664702</v>
      </c>
      <c r="N9" s="1036">
        <f t="shared" si="0"/>
        <v>438.04421420684577</v>
      </c>
    </row>
    <row r="10" spans="1:20" ht="15.75" thickBot="1" x14ac:dyDescent="0.25">
      <c r="A10" s="1117"/>
      <c r="B10" s="1035">
        <v>0.65</v>
      </c>
      <c r="C10" s="1036">
        <v>567.23</v>
      </c>
      <c r="D10" s="1036">
        <v>519.26</v>
      </c>
      <c r="E10" s="1036">
        <v>463.93</v>
      </c>
      <c r="F10" s="1037">
        <v>459.22</v>
      </c>
      <c r="I10" s="1117"/>
      <c r="J10" s="1035">
        <v>0.65</v>
      </c>
      <c r="K10" s="1036">
        <f t="shared" si="0"/>
        <v>582.67903202061098</v>
      </c>
      <c r="L10" s="1036">
        <f t="shared" si="0"/>
        <v>533.40252484357745</v>
      </c>
      <c r="M10" s="1036">
        <f t="shared" si="0"/>
        <v>476.5655612808244</v>
      </c>
      <c r="N10" s="1036">
        <f t="shared" si="0"/>
        <v>471.72728008833275</v>
      </c>
    </row>
    <row r="11" spans="1:20" ht="15.75" thickBot="1" x14ac:dyDescent="0.25">
      <c r="A11" s="1117"/>
      <c r="B11" s="1035">
        <v>0.6</v>
      </c>
      <c r="C11" s="1036">
        <v>614.5</v>
      </c>
      <c r="D11" s="1036">
        <v>562.53</v>
      </c>
      <c r="E11" s="1036">
        <v>502.6</v>
      </c>
      <c r="F11" s="1037">
        <v>497.49</v>
      </c>
      <c r="I11" s="1117"/>
      <c r="J11" s="1035">
        <v>0.6</v>
      </c>
      <c r="K11" s="1036">
        <f t="shared" si="0"/>
        <v>631.23647405226347</v>
      </c>
      <c r="L11" s="1036">
        <f t="shared" si="0"/>
        <v>577.85102318733891</v>
      </c>
      <c r="M11" s="1036">
        <f t="shared" si="0"/>
        <v>516.28877438351128</v>
      </c>
      <c r="N11" s="1036">
        <f t="shared" si="0"/>
        <v>511.0395988222304</v>
      </c>
    </row>
    <row r="12" spans="1:20" ht="15.75" thickBot="1" x14ac:dyDescent="0.25">
      <c r="A12" s="1117"/>
      <c r="B12" s="1035">
        <v>0.55000000000000004</v>
      </c>
      <c r="C12" s="1036">
        <v>670.36</v>
      </c>
      <c r="D12" s="1036">
        <v>613.66999999999996</v>
      </c>
      <c r="E12" s="1036">
        <v>548.29</v>
      </c>
      <c r="F12" s="1037">
        <v>542.72</v>
      </c>
      <c r="I12" s="1117"/>
      <c r="J12" s="1035">
        <v>0.55000000000000004</v>
      </c>
      <c r="K12" s="1036">
        <f t="shared" si="0"/>
        <v>688.61787265366206</v>
      </c>
      <c r="L12" s="1036">
        <f t="shared" si="0"/>
        <v>630.38386823702604</v>
      </c>
      <c r="M12" s="1036">
        <f t="shared" si="0"/>
        <v>563.22318365844671</v>
      </c>
      <c r="N12" s="1036">
        <f t="shared" si="0"/>
        <v>557.50147957305853</v>
      </c>
    </row>
    <row r="13" spans="1:20" ht="15.75" thickBot="1" x14ac:dyDescent="0.25">
      <c r="A13" s="1118"/>
      <c r="B13" s="1035">
        <v>0.5</v>
      </c>
      <c r="C13" s="1036">
        <v>737.39</v>
      </c>
      <c r="D13" s="1036">
        <v>675.05</v>
      </c>
      <c r="E13" s="1036">
        <v>603.12</v>
      </c>
      <c r="F13" s="1037">
        <v>596.99</v>
      </c>
      <c r="I13" s="1118"/>
      <c r="J13" s="1035">
        <v>0.5</v>
      </c>
      <c r="K13" s="1036">
        <f t="shared" si="0"/>
        <v>757.47349650349645</v>
      </c>
      <c r="L13" s="1036">
        <f t="shared" si="0"/>
        <v>693.43560912771432</v>
      </c>
      <c r="M13" s="1036">
        <f t="shared" si="0"/>
        <v>619.54652926021345</v>
      </c>
      <c r="N13" s="1036">
        <f t="shared" si="0"/>
        <v>613.24957305852035</v>
      </c>
    </row>
    <row r="14" spans="1:20" ht="16.5" thickBot="1" x14ac:dyDescent="0.25">
      <c r="A14" s="1038"/>
      <c r="I14" s="1038"/>
    </row>
    <row r="15" spans="1:20" ht="15.75" thickBot="1" x14ac:dyDescent="0.25">
      <c r="A15" s="1107" t="s">
        <v>297</v>
      </c>
      <c r="B15" s="1031" t="s">
        <v>545</v>
      </c>
      <c r="C15" s="1110" t="s">
        <v>546</v>
      </c>
      <c r="D15" s="1111"/>
      <c r="E15" s="1111"/>
      <c r="F15" s="1112"/>
      <c r="I15" s="1107" t="s">
        <v>297</v>
      </c>
      <c r="J15" s="1031" t="s">
        <v>545</v>
      </c>
      <c r="K15" s="1110" t="s">
        <v>546</v>
      </c>
      <c r="L15" s="1111"/>
      <c r="M15" s="1111"/>
      <c r="N15" s="1112"/>
    </row>
    <row r="16" spans="1:20" ht="15.75" thickBot="1" x14ac:dyDescent="0.25">
      <c r="A16" s="1108"/>
      <c r="B16" s="1039"/>
      <c r="C16" s="1033" t="s">
        <v>339</v>
      </c>
      <c r="D16" s="1032" t="s">
        <v>340</v>
      </c>
      <c r="E16" s="1032" t="s">
        <v>263</v>
      </c>
      <c r="F16" s="1034" t="s">
        <v>264</v>
      </c>
      <c r="I16" s="1108"/>
      <c r="J16" s="1039"/>
      <c r="K16" s="1033" t="s">
        <v>339</v>
      </c>
      <c r="L16" s="1032" t="s">
        <v>340</v>
      </c>
      <c r="M16" s="1032" t="s">
        <v>263</v>
      </c>
      <c r="N16" s="1034" t="s">
        <v>264</v>
      </c>
    </row>
    <row r="17" spans="1:14" ht="15.75" thickBot="1" x14ac:dyDescent="0.25">
      <c r="A17" s="1108"/>
      <c r="B17" s="1040">
        <v>0.9</v>
      </c>
      <c r="C17" s="1037">
        <v>389.05</v>
      </c>
      <c r="D17" s="1037">
        <v>354.41</v>
      </c>
      <c r="E17" s="1037">
        <v>314.45</v>
      </c>
      <c r="F17" s="1037">
        <v>311.04000000000002</v>
      </c>
      <c r="I17" s="1108"/>
      <c r="J17" s="1040">
        <v>0.9</v>
      </c>
      <c r="K17" s="1037">
        <f>C17*($T$2+1)</f>
        <v>399.64613544350385</v>
      </c>
      <c r="L17" s="1037">
        <f>D17*($T$2+1)</f>
        <v>364.06268310636733</v>
      </c>
      <c r="M17" s="1037">
        <f>E17*($T$2+1)</f>
        <v>323.01433566433565</v>
      </c>
      <c r="N17" s="1037">
        <f>F17*($T$2+1)</f>
        <v>319.51146117040855</v>
      </c>
    </row>
    <row r="18" spans="1:14" ht="15.75" thickBot="1" x14ac:dyDescent="0.25">
      <c r="A18" s="1108"/>
      <c r="B18" s="1040">
        <v>0.85</v>
      </c>
      <c r="C18" s="1037">
        <v>411.94</v>
      </c>
      <c r="D18" s="1037">
        <v>375.26</v>
      </c>
      <c r="E18" s="1037">
        <v>332.95</v>
      </c>
      <c r="F18" s="1037">
        <v>329.35</v>
      </c>
      <c r="I18" s="1108"/>
      <c r="J18" s="1040">
        <v>0.85</v>
      </c>
      <c r="K18" s="1037">
        <f t="shared" ref="K18:N25" si="1">C18*($T$2+1)</f>
        <v>423.15956569746044</v>
      </c>
      <c r="L18" s="1037">
        <f t="shared" si="1"/>
        <v>385.48055207949943</v>
      </c>
      <c r="M18" s="1037">
        <f t="shared" si="1"/>
        <v>342.01820022083177</v>
      </c>
      <c r="N18" s="1037">
        <f t="shared" si="1"/>
        <v>338.32015090172985</v>
      </c>
    </row>
    <row r="19" spans="1:14" ht="15.75" thickBot="1" x14ac:dyDescent="0.25">
      <c r="A19" s="1108"/>
      <c r="B19" s="1040">
        <v>0.8</v>
      </c>
      <c r="C19" s="1037">
        <v>437.68</v>
      </c>
      <c r="D19" s="1037">
        <v>398.71</v>
      </c>
      <c r="E19" s="1037">
        <v>353.76</v>
      </c>
      <c r="F19" s="1037">
        <v>349.93</v>
      </c>
      <c r="I19" s="1108"/>
      <c r="J19" s="1040">
        <v>0.8</v>
      </c>
      <c r="K19" s="1037">
        <f t="shared" si="1"/>
        <v>449.60061832903938</v>
      </c>
      <c r="L19" s="1037">
        <f t="shared" si="1"/>
        <v>409.5692344497607</v>
      </c>
      <c r="M19" s="1037">
        <f t="shared" si="1"/>
        <v>363.39497975708497</v>
      </c>
      <c r="N19" s="1037">
        <f t="shared" si="1"/>
        <v>359.4606661759293</v>
      </c>
    </row>
    <row r="20" spans="1:14" ht="15.75" thickBot="1" x14ac:dyDescent="0.25">
      <c r="A20" s="1108"/>
      <c r="B20" s="1040">
        <v>0.75</v>
      </c>
      <c r="C20" s="1037">
        <v>466.86</v>
      </c>
      <c r="D20" s="1037">
        <v>425.29</v>
      </c>
      <c r="E20" s="1037">
        <v>377.35</v>
      </c>
      <c r="F20" s="1037">
        <v>373.26</v>
      </c>
      <c r="I20" s="1108"/>
      <c r="J20" s="1040">
        <v>0.75</v>
      </c>
      <c r="K20" s="1037">
        <f t="shared" si="1"/>
        <v>479.57536253220462</v>
      </c>
      <c r="L20" s="1037">
        <f t="shared" si="1"/>
        <v>436.87316525579683</v>
      </c>
      <c r="M20" s="1037">
        <f t="shared" si="1"/>
        <v>387.62747515642252</v>
      </c>
      <c r="N20" s="1037">
        <f t="shared" si="1"/>
        <v>383.42608023555391</v>
      </c>
    </row>
    <row r="21" spans="1:14" ht="15.75" thickBot="1" x14ac:dyDescent="0.25">
      <c r="A21" s="1108"/>
      <c r="B21" s="1040">
        <v>0.7</v>
      </c>
      <c r="C21" s="1037">
        <v>500.21</v>
      </c>
      <c r="D21" s="1037">
        <v>455.67</v>
      </c>
      <c r="E21" s="1037">
        <v>404.3</v>
      </c>
      <c r="F21" s="1037">
        <v>399.92</v>
      </c>
      <c r="I21" s="1108"/>
      <c r="J21" s="1040">
        <v>0.7</v>
      </c>
      <c r="K21" s="1037">
        <f t="shared" si="1"/>
        <v>513.83368052999629</v>
      </c>
      <c r="L21" s="1037">
        <f t="shared" si="1"/>
        <v>468.08059256532943</v>
      </c>
      <c r="M21" s="1037">
        <f t="shared" si="1"/>
        <v>415.31148325358851</v>
      </c>
      <c r="N21" s="1037">
        <f t="shared" si="1"/>
        <v>410.8121899153478</v>
      </c>
    </row>
    <row r="22" spans="1:14" ht="15.75" thickBot="1" x14ac:dyDescent="0.25">
      <c r="A22" s="1108"/>
      <c r="B22" s="1040">
        <v>0.65</v>
      </c>
      <c r="C22" s="1037">
        <v>538.69000000000005</v>
      </c>
      <c r="D22" s="1037">
        <v>490.72</v>
      </c>
      <c r="E22" s="1037">
        <v>435.4</v>
      </c>
      <c r="F22" s="1037">
        <v>430.68</v>
      </c>
      <c r="I22" s="1108"/>
      <c r="J22" s="1040">
        <v>0.65</v>
      </c>
      <c r="K22" s="1037">
        <f t="shared" si="1"/>
        <v>553.36171880750828</v>
      </c>
      <c r="L22" s="1037">
        <f t="shared" si="1"/>
        <v>504.08521163047482</v>
      </c>
      <c r="M22" s="1037">
        <f t="shared" si="1"/>
        <v>447.25852042694146</v>
      </c>
      <c r="N22" s="1037">
        <f t="shared" si="1"/>
        <v>442.40996687523</v>
      </c>
    </row>
    <row r="23" spans="1:14" ht="15.75" thickBot="1" x14ac:dyDescent="0.25">
      <c r="A23" s="1108"/>
      <c r="B23" s="1040">
        <v>0.6</v>
      </c>
      <c r="C23" s="1037">
        <v>583.57000000000005</v>
      </c>
      <c r="D23" s="1037">
        <v>531.61</v>
      </c>
      <c r="E23" s="1037">
        <v>471.68</v>
      </c>
      <c r="F23" s="1037">
        <v>466.58</v>
      </c>
      <c r="I23" s="1108"/>
      <c r="J23" s="1040">
        <v>0.6</v>
      </c>
      <c r="K23" s="1037">
        <f t="shared" si="1"/>
        <v>599.46406698564601</v>
      </c>
      <c r="L23" s="1037">
        <f t="shared" si="1"/>
        <v>546.08888847994115</v>
      </c>
      <c r="M23" s="1037">
        <f t="shared" si="1"/>
        <v>484.52663967611335</v>
      </c>
      <c r="N23" s="1037">
        <f t="shared" si="1"/>
        <v>479.28773647405222</v>
      </c>
    </row>
    <row r="24" spans="1:14" ht="15.75" thickBot="1" x14ac:dyDescent="0.25">
      <c r="A24" s="1108"/>
      <c r="B24" s="1040">
        <v>0.55000000000000004</v>
      </c>
      <c r="C24" s="1037">
        <v>636.63</v>
      </c>
      <c r="D24" s="1037">
        <v>579.95000000000005</v>
      </c>
      <c r="E24" s="1037">
        <v>514.54999999999995</v>
      </c>
      <c r="F24" s="1037">
        <v>508.99</v>
      </c>
      <c r="I24" s="1108"/>
      <c r="J24" s="1040">
        <v>0.55000000000000004</v>
      </c>
      <c r="K24" s="1037">
        <f t="shared" si="1"/>
        <v>653.96920500552073</v>
      </c>
      <c r="L24" s="1037">
        <f t="shared" si="1"/>
        <v>595.74547294810452</v>
      </c>
      <c r="M24" s="1037">
        <f t="shared" si="1"/>
        <v>528.56424365108569</v>
      </c>
      <c r="N24" s="1037">
        <f t="shared" si="1"/>
        <v>522.85281192491721</v>
      </c>
    </row>
    <row r="25" spans="1:14" ht="15.75" thickBot="1" x14ac:dyDescent="0.25">
      <c r="A25" s="1109"/>
      <c r="B25" s="1040">
        <v>0.5</v>
      </c>
      <c r="C25" s="1037">
        <v>700.29</v>
      </c>
      <c r="D25" s="1037">
        <v>637.94000000000005</v>
      </c>
      <c r="E25" s="1037">
        <v>566.01</v>
      </c>
      <c r="F25" s="1037">
        <v>559.89</v>
      </c>
      <c r="I25" s="1109"/>
      <c r="J25" s="1040">
        <v>0.5</v>
      </c>
      <c r="K25" s="1037">
        <f t="shared" si="1"/>
        <v>719.36304379830688</v>
      </c>
      <c r="L25" s="1037">
        <f t="shared" si="1"/>
        <v>655.31488406330516</v>
      </c>
      <c r="M25" s="1037">
        <f t="shared" si="1"/>
        <v>581.42580419580418</v>
      </c>
      <c r="N25" s="1037">
        <f t="shared" si="1"/>
        <v>575.1391203533309</v>
      </c>
    </row>
    <row r="26" spans="1:14" ht="16.5" thickBot="1" x14ac:dyDescent="0.25">
      <c r="A26" s="1038"/>
      <c r="I26" s="1038"/>
    </row>
    <row r="27" spans="1:14" ht="15.75" thickBot="1" x14ac:dyDescent="0.25">
      <c r="A27" s="1107" t="s">
        <v>298</v>
      </c>
      <c r="B27" s="1031" t="s">
        <v>545</v>
      </c>
      <c r="C27" s="1110" t="s">
        <v>546</v>
      </c>
      <c r="D27" s="1111"/>
      <c r="E27" s="1111"/>
      <c r="F27" s="1112"/>
      <c r="I27" s="1107" t="s">
        <v>298</v>
      </c>
      <c r="J27" s="1031" t="s">
        <v>545</v>
      </c>
      <c r="K27" s="1110" t="s">
        <v>546</v>
      </c>
      <c r="L27" s="1111"/>
      <c r="M27" s="1111"/>
      <c r="N27" s="1112"/>
    </row>
    <row r="28" spans="1:14" ht="15.75" thickBot="1" x14ac:dyDescent="0.25">
      <c r="A28" s="1108"/>
      <c r="B28" s="1039"/>
      <c r="C28" s="1033" t="s">
        <v>339</v>
      </c>
      <c r="D28" s="1032" t="s">
        <v>340</v>
      </c>
      <c r="E28" s="1032" t="s">
        <v>263</v>
      </c>
      <c r="F28" s="1034" t="s">
        <v>264</v>
      </c>
      <c r="I28" s="1108"/>
      <c r="J28" s="1039"/>
      <c r="K28" s="1033" t="s">
        <v>339</v>
      </c>
      <c r="L28" s="1032" t="s">
        <v>340</v>
      </c>
      <c r="M28" s="1032" t="s">
        <v>263</v>
      </c>
      <c r="N28" s="1034" t="s">
        <v>264</v>
      </c>
    </row>
    <row r="29" spans="1:14" ht="15.75" thickBot="1" x14ac:dyDescent="0.25">
      <c r="A29" s="1108"/>
      <c r="B29" s="1040">
        <v>0.9</v>
      </c>
      <c r="C29" s="1037">
        <v>372.16</v>
      </c>
      <c r="D29" s="1037">
        <v>337.52</v>
      </c>
      <c r="E29" s="1037">
        <v>297.57</v>
      </c>
      <c r="F29" s="1037">
        <v>294.17</v>
      </c>
      <c r="I29" s="1108"/>
      <c r="J29" s="1040">
        <v>0.9</v>
      </c>
      <c r="K29" s="1037">
        <f>C29*($T$2+1)</f>
        <v>382.29612072138389</v>
      </c>
      <c r="L29" s="1037">
        <f>D29*($T$2+1)</f>
        <v>346.71266838424731</v>
      </c>
      <c r="M29" s="1037">
        <f>E29*($T$2+1)</f>
        <v>305.67459330143538</v>
      </c>
      <c r="N29" s="1037">
        <f>F29*($T$2+1)</f>
        <v>302.18199116672804</v>
      </c>
    </row>
    <row r="30" spans="1:14" ht="15.75" thickBot="1" x14ac:dyDescent="0.25">
      <c r="A30" s="1108"/>
      <c r="B30" s="1040">
        <v>0.85</v>
      </c>
      <c r="C30" s="1037">
        <v>394.06</v>
      </c>
      <c r="D30" s="1037">
        <v>357.38</v>
      </c>
      <c r="E30" s="1037">
        <v>315.08</v>
      </c>
      <c r="F30" s="1037">
        <v>311.45999999999998</v>
      </c>
      <c r="I30" s="1108"/>
      <c r="J30" s="1040">
        <v>0.85</v>
      </c>
      <c r="K30" s="1037">
        <f t="shared" ref="K30:N37" si="2">C30*($T$2+1)</f>
        <v>404.79258741258741</v>
      </c>
      <c r="L30" s="1037">
        <f t="shared" si="2"/>
        <v>367.1135737946264</v>
      </c>
      <c r="M30" s="1037">
        <f t="shared" si="2"/>
        <v>323.6614942951785</v>
      </c>
      <c r="N30" s="1037">
        <f t="shared" si="2"/>
        <v>319.94290025763706</v>
      </c>
    </row>
    <row r="31" spans="1:14" ht="15.75" thickBot="1" x14ac:dyDescent="0.25">
      <c r="A31" s="1108"/>
      <c r="B31" s="1040">
        <v>0.8</v>
      </c>
      <c r="C31" s="1037">
        <v>418.68</v>
      </c>
      <c r="D31" s="1037">
        <v>379.71</v>
      </c>
      <c r="E31" s="1037">
        <v>334.77</v>
      </c>
      <c r="F31" s="1037">
        <v>330.93</v>
      </c>
      <c r="I31" s="1108"/>
      <c r="J31" s="1040">
        <v>0.8</v>
      </c>
      <c r="K31" s="1037">
        <f t="shared" si="2"/>
        <v>430.08313581155687</v>
      </c>
      <c r="L31" s="1037">
        <f t="shared" si="2"/>
        <v>390.05175193227819</v>
      </c>
      <c r="M31" s="1037">
        <f t="shared" si="2"/>
        <v>343.88776959882222</v>
      </c>
      <c r="N31" s="1037">
        <f t="shared" si="2"/>
        <v>339.9431836584468</v>
      </c>
    </row>
    <row r="32" spans="1:14" ht="15.75" thickBot="1" x14ac:dyDescent="0.25">
      <c r="A32" s="1108"/>
      <c r="B32" s="1040">
        <v>0.75</v>
      </c>
      <c r="C32" s="1037">
        <v>446.6</v>
      </c>
      <c r="D32" s="1037">
        <v>405.03</v>
      </c>
      <c r="E32" s="1037">
        <v>357.08</v>
      </c>
      <c r="F32" s="1037">
        <v>353</v>
      </c>
      <c r="I32" s="1108"/>
      <c r="J32" s="1040">
        <v>0.75</v>
      </c>
      <c r="K32" s="1037">
        <f t="shared" si="2"/>
        <v>458.76356275303647</v>
      </c>
      <c r="L32" s="1037">
        <f t="shared" si="2"/>
        <v>416.06136547662857</v>
      </c>
      <c r="M32" s="1037">
        <f t="shared" si="2"/>
        <v>366.80540301803455</v>
      </c>
      <c r="N32" s="1037">
        <f t="shared" si="2"/>
        <v>362.6142804563857</v>
      </c>
    </row>
    <row r="33" spans="1:14" ht="15.75" thickBot="1" x14ac:dyDescent="0.25">
      <c r="A33" s="1108"/>
      <c r="B33" s="1040">
        <v>0.7</v>
      </c>
      <c r="C33" s="1037">
        <v>478.5</v>
      </c>
      <c r="D33" s="1037">
        <v>433.96</v>
      </c>
      <c r="E33" s="1037">
        <v>382.58</v>
      </c>
      <c r="F33" s="1037">
        <v>378.21</v>
      </c>
      <c r="I33" s="1108"/>
      <c r="J33" s="1040">
        <v>0.7</v>
      </c>
      <c r="K33" s="1037">
        <f t="shared" si="2"/>
        <v>491.53238866396759</v>
      </c>
      <c r="L33" s="1037">
        <f t="shared" si="2"/>
        <v>445.77930069930068</v>
      </c>
      <c r="M33" s="1037">
        <f t="shared" si="2"/>
        <v>392.99991902834006</v>
      </c>
      <c r="N33" s="1037">
        <f t="shared" si="2"/>
        <v>388.51089804931905</v>
      </c>
    </row>
    <row r="34" spans="1:14" ht="15.75" thickBot="1" x14ac:dyDescent="0.25">
      <c r="A34" s="1108"/>
      <c r="B34" s="1040">
        <v>0.65</v>
      </c>
      <c r="C34" s="1037">
        <v>515.30999999999995</v>
      </c>
      <c r="D34" s="1037">
        <v>467.34</v>
      </c>
      <c r="E34" s="1037">
        <v>412.02</v>
      </c>
      <c r="F34" s="1037">
        <v>407.31</v>
      </c>
      <c r="I34" s="1108"/>
      <c r="J34" s="1040">
        <v>0.65</v>
      </c>
      <c r="K34" s="1037">
        <f t="shared" si="2"/>
        <v>529.34494295178501</v>
      </c>
      <c r="L34" s="1037">
        <f t="shared" si="2"/>
        <v>480.06843577475149</v>
      </c>
      <c r="M34" s="1037">
        <f t="shared" si="2"/>
        <v>423.24174457121819</v>
      </c>
      <c r="N34" s="1037">
        <f t="shared" si="2"/>
        <v>418.40346337872654</v>
      </c>
    </row>
    <row r="35" spans="1:14" ht="15.75" thickBot="1" x14ac:dyDescent="0.25">
      <c r="A35" s="1108"/>
      <c r="B35" s="1040">
        <v>0.6</v>
      </c>
      <c r="C35" s="1037">
        <v>558.25</v>
      </c>
      <c r="D35" s="1037">
        <v>506.29</v>
      </c>
      <c r="E35" s="1037">
        <v>446.35</v>
      </c>
      <c r="F35" s="1037">
        <v>441.24</v>
      </c>
      <c r="I35" s="1108"/>
      <c r="J35" s="1040">
        <v>0.6</v>
      </c>
      <c r="K35" s="1037">
        <f t="shared" si="2"/>
        <v>573.45445344129553</v>
      </c>
      <c r="L35" s="1037">
        <f t="shared" si="2"/>
        <v>520.07927493559077</v>
      </c>
      <c r="M35" s="1037">
        <f t="shared" si="2"/>
        <v>458.50675377254328</v>
      </c>
      <c r="N35" s="1037">
        <f t="shared" si="2"/>
        <v>453.2575782112624</v>
      </c>
    </row>
    <row r="36" spans="1:14" ht="15.75" thickBot="1" x14ac:dyDescent="0.25">
      <c r="A36" s="1108"/>
      <c r="B36" s="1040">
        <v>0.55000000000000004</v>
      </c>
      <c r="C36" s="1037">
        <v>609</v>
      </c>
      <c r="D36" s="1037">
        <v>552.32000000000005</v>
      </c>
      <c r="E36" s="1037">
        <v>486.93</v>
      </c>
      <c r="F36" s="1037">
        <v>481.36</v>
      </c>
      <c r="I36" s="1108"/>
      <c r="J36" s="1040">
        <v>0.55000000000000004</v>
      </c>
      <c r="K36" s="1037">
        <f t="shared" si="2"/>
        <v>625.58667648141329</v>
      </c>
      <c r="L36" s="1037">
        <f t="shared" si="2"/>
        <v>567.36294442399708</v>
      </c>
      <c r="M36" s="1037">
        <f t="shared" si="2"/>
        <v>500.191987486198</v>
      </c>
      <c r="N36" s="1037">
        <f t="shared" si="2"/>
        <v>494.47028340080971</v>
      </c>
    </row>
    <row r="37" spans="1:14" ht="15.75" thickBot="1" x14ac:dyDescent="0.25">
      <c r="A37" s="1109"/>
      <c r="B37" s="1040">
        <v>0.5</v>
      </c>
      <c r="C37" s="1037">
        <v>669.9</v>
      </c>
      <c r="D37" s="1037">
        <v>607.54999999999995</v>
      </c>
      <c r="E37" s="1037">
        <v>535.62</v>
      </c>
      <c r="F37" s="1037">
        <v>529.49</v>
      </c>
      <c r="I37" s="1109"/>
      <c r="J37" s="1040">
        <v>0.5</v>
      </c>
      <c r="K37" s="1037">
        <f t="shared" si="2"/>
        <v>688.14534412955459</v>
      </c>
      <c r="L37" s="1037">
        <f t="shared" si="2"/>
        <v>624.09718439455276</v>
      </c>
      <c r="M37" s="1037">
        <f t="shared" si="2"/>
        <v>550.20810452705189</v>
      </c>
      <c r="N37" s="1037">
        <f t="shared" si="2"/>
        <v>543.91114832535879</v>
      </c>
    </row>
    <row r="38" spans="1:14" ht="16.5" thickBot="1" x14ac:dyDescent="0.25">
      <c r="A38" s="1038"/>
      <c r="I38" s="1038"/>
    </row>
    <row r="39" spans="1:14" ht="15.75" thickBot="1" x14ac:dyDescent="0.25">
      <c r="A39" s="1107" t="s">
        <v>547</v>
      </c>
      <c r="B39" s="1031" t="s">
        <v>545</v>
      </c>
      <c r="C39" s="1110" t="s">
        <v>546</v>
      </c>
      <c r="D39" s="1111"/>
      <c r="E39" s="1111"/>
      <c r="F39" s="1112"/>
      <c r="I39" s="1107" t="s">
        <v>547</v>
      </c>
      <c r="J39" s="1031" t="s">
        <v>545</v>
      </c>
      <c r="K39" s="1110" t="s">
        <v>546</v>
      </c>
      <c r="L39" s="1111"/>
      <c r="M39" s="1111"/>
      <c r="N39" s="1112"/>
    </row>
    <row r="40" spans="1:14" ht="15.75" thickBot="1" x14ac:dyDescent="0.25">
      <c r="A40" s="1108"/>
      <c r="B40" s="1039"/>
      <c r="C40" s="1033" t="s">
        <v>339</v>
      </c>
      <c r="D40" s="1032" t="s">
        <v>340</v>
      </c>
      <c r="E40" s="1032" t="s">
        <v>263</v>
      </c>
      <c r="F40" s="1034" t="s">
        <v>264</v>
      </c>
      <c r="I40" s="1108"/>
      <c r="J40" s="1039"/>
      <c r="K40" s="1033" t="s">
        <v>339</v>
      </c>
      <c r="L40" s="1032" t="s">
        <v>340</v>
      </c>
      <c r="M40" s="1032" t="s">
        <v>263</v>
      </c>
      <c r="N40" s="1034" t="s">
        <v>264</v>
      </c>
    </row>
    <row r="41" spans="1:14" ht="15.75" thickBot="1" x14ac:dyDescent="0.25">
      <c r="A41" s="1108"/>
      <c r="B41" s="1040">
        <v>0.9</v>
      </c>
      <c r="C41" s="1037">
        <v>345.96</v>
      </c>
      <c r="D41" s="1037">
        <v>318.58999999999997</v>
      </c>
      <c r="E41" s="1037">
        <v>283.58999999999997</v>
      </c>
      <c r="F41" s="1037">
        <v>270.69</v>
      </c>
      <c r="I41" s="1108"/>
      <c r="J41" s="1040">
        <v>0.9</v>
      </c>
      <c r="K41" s="1037">
        <f>C41*($T$2+1)</f>
        <v>355.38253956569741</v>
      </c>
      <c r="L41" s="1037">
        <f>D41*($T$2+1)</f>
        <v>327.26709238130286</v>
      </c>
      <c r="M41" s="1037">
        <f>E41*($T$2+1)</f>
        <v>291.31383511225613</v>
      </c>
      <c r="N41" s="1037">
        <f>F41*($T$2+1)</f>
        <v>278.06249171880751</v>
      </c>
    </row>
    <row r="42" spans="1:14" ht="15.75" thickBot="1" x14ac:dyDescent="0.25">
      <c r="A42" s="1108"/>
      <c r="B42" s="1040">
        <v>0.85</v>
      </c>
      <c r="C42" s="1037">
        <v>366.31</v>
      </c>
      <c r="D42" s="1037">
        <v>337.33</v>
      </c>
      <c r="E42" s="1037">
        <v>300.27</v>
      </c>
      <c r="F42" s="1037">
        <v>286.62</v>
      </c>
      <c r="I42" s="1108"/>
      <c r="J42" s="1040">
        <v>0.85</v>
      </c>
      <c r="K42" s="1037">
        <f t="shared" ref="K42:N49" si="3">C42*($T$2+1)</f>
        <v>376.28679057784319</v>
      </c>
      <c r="L42" s="1037">
        <f t="shared" si="3"/>
        <v>346.51749355907248</v>
      </c>
      <c r="M42" s="1037">
        <f t="shared" si="3"/>
        <v>308.44813029076181</v>
      </c>
      <c r="N42" s="1037">
        <f t="shared" si="3"/>
        <v>294.42635995583362</v>
      </c>
    </row>
    <row r="43" spans="1:14" ht="15.75" thickBot="1" x14ac:dyDescent="0.25">
      <c r="A43" s="1108"/>
      <c r="B43" s="1040">
        <v>0.8</v>
      </c>
      <c r="C43" s="1037">
        <v>389.2</v>
      </c>
      <c r="D43" s="1037">
        <v>358.41</v>
      </c>
      <c r="E43" s="1037">
        <v>319.02999999999997</v>
      </c>
      <c r="F43" s="1037">
        <v>304.52999999999997</v>
      </c>
      <c r="I43" s="1108"/>
      <c r="J43" s="1040">
        <v>0.8</v>
      </c>
      <c r="K43" s="1037">
        <f t="shared" si="3"/>
        <v>399.80022083179978</v>
      </c>
      <c r="L43" s="1037">
        <f t="shared" si="3"/>
        <v>368.17162679425837</v>
      </c>
      <c r="M43" s="1037">
        <f t="shared" si="3"/>
        <v>327.71907618697088</v>
      </c>
      <c r="N43" s="1037">
        <f t="shared" si="3"/>
        <v>312.8241553183658</v>
      </c>
    </row>
    <row r="44" spans="1:14" ht="15.75" thickBot="1" x14ac:dyDescent="0.25">
      <c r="A44" s="1108"/>
      <c r="B44" s="1040">
        <v>0.75</v>
      </c>
      <c r="C44" s="1037">
        <v>415.15</v>
      </c>
      <c r="D44" s="1037">
        <v>382.31</v>
      </c>
      <c r="E44" s="1037">
        <v>340.31</v>
      </c>
      <c r="F44" s="1037">
        <v>324.83</v>
      </c>
      <c r="I44" s="1108"/>
      <c r="J44" s="1040">
        <v>0.75</v>
      </c>
      <c r="K44" s="1037">
        <f t="shared" si="3"/>
        <v>426.45699300699295</v>
      </c>
      <c r="L44" s="1037">
        <f t="shared" si="3"/>
        <v>392.72256532940742</v>
      </c>
      <c r="M44" s="1037">
        <f t="shared" si="3"/>
        <v>349.57865660655131</v>
      </c>
      <c r="N44" s="1037">
        <f t="shared" si="3"/>
        <v>333.67704453441291</v>
      </c>
    </row>
    <row r="45" spans="1:14" ht="15.75" thickBot="1" x14ac:dyDescent="0.25">
      <c r="A45" s="1108"/>
      <c r="B45" s="1040">
        <v>0.7</v>
      </c>
      <c r="C45" s="1037">
        <v>444.8</v>
      </c>
      <c r="D45" s="1037">
        <v>409.61</v>
      </c>
      <c r="E45" s="1037">
        <v>364.61</v>
      </c>
      <c r="F45" s="1037">
        <v>348.03</v>
      </c>
      <c r="I45" s="1108"/>
      <c r="J45" s="1040">
        <v>0.7</v>
      </c>
      <c r="K45" s="1037">
        <f t="shared" si="3"/>
        <v>456.91453809348548</v>
      </c>
      <c r="L45" s="1037">
        <f t="shared" si="3"/>
        <v>420.76610599926391</v>
      </c>
      <c r="M45" s="1037">
        <f t="shared" si="3"/>
        <v>374.54048951048952</v>
      </c>
      <c r="N45" s="1037">
        <f t="shared" si="3"/>
        <v>357.50891792418105</v>
      </c>
    </row>
    <row r="46" spans="1:14" ht="15.75" thickBot="1" x14ac:dyDescent="0.25">
      <c r="A46" s="1108"/>
      <c r="B46" s="1040">
        <v>0.65</v>
      </c>
      <c r="C46" s="1037">
        <v>479.02</v>
      </c>
      <c r="D46" s="1037">
        <v>441.12</v>
      </c>
      <c r="E46" s="1037">
        <v>392.66</v>
      </c>
      <c r="F46" s="1037">
        <v>374.81</v>
      </c>
      <c r="I46" s="1108"/>
      <c r="J46" s="1040">
        <v>0.65</v>
      </c>
      <c r="K46" s="1037">
        <f t="shared" si="3"/>
        <v>492.06655134339343</v>
      </c>
      <c r="L46" s="1037">
        <f t="shared" si="3"/>
        <v>453.13430990062568</v>
      </c>
      <c r="M46" s="1037">
        <f t="shared" si="3"/>
        <v>403.35445712182553</v>
      </c>
      <c r="N46" s="1037">
        <f t="shared" si="3"/>
        <v>385.01829591461171</v>
      </c>
    </row>
    <row r="47" spans="1:14" ht="15.75" thickBot="1" x14ac:dyDescent="0.25">
      <c r="A47" s="1108"/>
      <c r="B47" s="1040">
        <v>0.6</v>
      </c>
      <c r="C47" s="1037">
        <v>518.92999999999995</v>
      </c>
      <c r="D47" s="1037">
        <v>477.88</v>
      </c>
      <c r="E47" s="1037">
        <v>425.39</v>
      </c>
      <c r="F47" s="1037">
        <v>406.04</v>
      </c>
      <c r="I47" s="1108"/>
      <c r="J47" s="1040">
        <v>0.6</v>
      </c>
      <c r="K47" s="1037">
        <f t="shared" si="3"/>
        <v>533.06353698932639</v>
      </c>
      <c r="L47" s="1037">
        <f t="shared" si="3"/>
        <v>490.8955023923445</v>
      </c>
      <c r="M47" s="1037">
        <f t="shared" si="3"/>
        <v>436.9758888479941</v>
      </c>
      <c r="N47" s="1037">
        <f t="shared" si="3"/>
        <v>417.09887375782114</v>
      </c>
    </row>
    <row r="48" spans="1:14" ht="15.75" thickBot="1" x14ac:dyDescent="0.25">
      <c r="A48" s="1108"/>
      <c r="B48" s="1040">
        <v>0.55000000000000004</v>
      </c>
      <c r="C48" s="1037">
        <v>566.11</v>
      </c>
      <c r="D48" s="1037">
        <v>521.33000000000004</v>
      </c>
      <c r="E48" s="1037">
        <v>464.06</v>
      </c>
      <c r="F48" s="1037">
        <v>442.96</v>
      </c>
      <c r="I48" s="1108"/>
      <c r="J48" s="1040">
        <v>0.55000000000000004</v>
      </c>
      <c r="K48" s="1037">
        <f t="shared" si="3"/>
        <v>581.5285277880015</v>
      </c>
      <c r="L48" s="1037">
        <f t="shared" si="3"/>
        <v>535.52890320206109</v>
      </c>
      <c r="M48" s="1037">
        <f t="shared" si="3"/>
        <v>476.69910195068087</v>
      </c>
      <c r="N48" s="1037">
        <f t="shared" si="3"/>
        <v>455.02442399705552</v>
      </c>
    </row>
    <row r="49" spans="1:15" ht="15.75" thickBot="1" x14ac:dyDescent="0.25">
      <c r="A49" s="1109"/>
      <c r="B49" s="1040">
        <v>0.5</v>
      </c>
      <c r="C49" s="1037">
        <v>622.72</v>
      </c>
      <c r="D49" s="1037">
        <v>573.46</v>
      </c>
      <c r="E49" s="1037">
        <v>510.46</v>
      </c>
      <c r="F49" s="1037">
        <v>487.25</v>
      </c>
      <c r="I49" s="1109"/>
      <c r="J49" s="1040">
        <v>0.5</v>
      </c>
      <c r="K49" s="1037">
        <f t="shared" si="3"/>
        <v>639.6803533308796</v>
      </c>
      <c r="L49" s="1037">
        <f t="shared" si="3"/>
        <v>589.07871181450128</v>
      </c>
      <c r="M49" s="1037">
        <f t="shared" si="3"/>
        <v>524.36284873021714</v>
      </c>
      <c r="N49" s="1037">
        <f t="shared" si="3"/>
        <v>500.52070298122925</v>
      </c>
    </row>
    <row r="50" spans="1:15" ht="16.5" thickBot="1" x14ac:dyDescent="0.25">
      <c r="A50" s="1038"/>
      <c r="I50" s="1038"/>
    </row>
    <row r="51" spans="1:15" ht="15.75" thickBot="1" x14ac:dyDescent="0.25">
      <c r="A51" s="1107" t="s">
        <v>548</v>
      </c>
      <c r="B51" s="1031" t="s">
        <v>545</v>
      </c>
      <c r="C51" s="1110" t="s">
        <v>546</v>
      </c>
      <c r="D51" s="1111"/>
      <c r="E51" s="1111"/>
      <c r="F51" s="1111"/>
      <c r="G51" s="1112"/>
      <c r="I51" s="1107" t="s">
        <v>548</v>
      </c>
      <c r="J51" s="1031" t="s">
        <v>545</v>
      </c>
      <c r="K51" s="1110" t="s">
        <v>546</v>
      </c>
      <c r="L51" s="1111"/>
      <c r="M51" s="1111"/>
      <c r="N51" s="1111"/>
      <c r="O51" s="1112"/>
    </row>
    <row r="52" spans="1:15" ht="15.75" thickBot="1" x14ac:dyDescent="0.25">
      <c r="A52" s="1108"/>
      <c r="B52" s="1034"/>
      <c r="C52" s="1041" t="s">
        <v>343</v>
      </c>
      <c r="D52" s="1041" t="s">
        <v>339</v>
      </c>
      <c r="E52" s="1034" t="s">
        <v>340</v>
      </c>
      <c r="F52" s="1034" t="s">
        <v>263</v>
      </c>
      <c r="G52" s="1034" t="s">
        <v>264</v>
      </c>
      <c r="I52" s="1108"/>
      <c r="J52" s="1034"/>
      <c r="K52" s="1041" t="s">
        <v>343</v>
      </c>
      <c r="L52" s="1041" t="s">
        <v>339</v>
      </c>
      <c r="M52" s="1034" t="s">
        <v>340</v>
      </c>
      <c r="N52" s="1034" t="s">
        <v>263</v>
      </c>
      <c r="O52" s="1034" t="s">
        <v>264</v>
      </c>
    </row>
    <row r="53" spans="1:15" ht="15.75" thickBot="1" x14ac:dyDescent="0.25">
      <c r="A53" s="1108"/>
      <c r="B53" s="1040">
        <v>0.9</v>
      </c>
      <c r="C53" s="1037">
        <v>344.82</v>
      </c>
      <c r="D53" s="1037">
        <v>312.82</v>
      </c>
      <c r="E53" s="1037">
        <v>301.41000000000003</v>
      </c>
      <c r="F53" s="1037">
        <v>293.27999999999997</v>
      </c>
      <c r="G53" s="1037">
        <v>287.41000000000003</v>
      </c>
      <c r="I53" s="1108"/>
      <c r="J53" s="1040">
        <v>0.9</v>
      </c>
      <c r="K53" s="1037">
        <f>C53*($T$2+1)</f>
        <v>354.21149061464848</v>
      </c>
      <c r="L53" s="1037">
        <f>D53*($T$2+1)</f>
        <v>321.33994111152003</v>
      </c>
      <c r="M53" s="1037">
        <f>E53*($T$2+1)</f>
        <v>309.61917924181085</v>
      </c>
      <c r="N53" s="1037">
        <f>F53*($T$2+1)</f>
        <v>301.26775119617218</v>
      </c>
      <c r="O53" s="1037">
        <f>G53*($T$2+1)</f>
        <v>295.23787633419215</v>
      </c>
    </row>
    <row r="54" spans="1:15" ht="15.75" thickBot="1" x14ac:dyDescent="0.25">
      <c r="A54" s="1108"/>
      <c r="B54" s="1040">
        <v>0.85</v>
      </c>
      <c r="C54" s="1037">
        <v>365.1</v>
      </c>
      <c r="D54" s="1037">
        <v>331.22</v>
      </c>
      <c r="E54" s="1037">
        <v>319.14999999999998</v>
      </c>
      <c r="F54" s="1037">
        <v>310.52</v>
      </c>
      <c r="G54" s="1037">
        <v>304.32</v>
      </c>
      <c r="I54" s="1108"/>
      <c r="J54" s="1040">
        <v>0.85</v>
      </c>
      <c r="K54" s="1037">
        <f t="shared" ref="K54:O61" si="4">C54*($T$2+1)</f>
        <v>375.04383511225615</v>
      </c>
      <c r="L54" s="1037">
        <f t="shared" si="4"/>
        <v>340.24108207581895</v>
      </c>
      <c r="M54" s="1037">
        <f t="shared" si="4"/>
        <v>327.8423444976076</v>
      </c>
      <c r="N54" s="1037">
        <f t="shared" si="4"/>
        <v>318.97729849098266</v>
      </c>
      <c r="O54" s="1037">
        <f t="shared" si="4"/>
        <v>312.60843577475157</v>
      </c>
    </row>
    <row r="55" spans="1:15" ht="15.75" thickBot="1" x14ac:dyDescent="0.25">
      <c r="A55" s="1108"/>
      <c r="B55" s="1040">
        <v>0.8</v>
      </c>
      <c r="C55" s="1037">
        <v>387.93</v>
      </c>
      <c r="D55" s="1037">
        <v>351.92</v>
      </c>
      <c r="E55" s="1037">
        <v>339.08</v>
      </c>
      <c r="F55" s="1037">
        <v>329.93</v>
      </c>
      <c r="G55" s="1037">
        <v>323.33999999999997</v>
      </c>
      <c r="I55" s="1108"/>
      <c r="J55" s="1040">
        <v>0.8</v>
      </c>
      <c r="K55" s="1037">
        <f t="shared" si="4"/>
        <v>398.49563121089437</v>
      </c>
      <c r="L55" s="1037">
        <f t="shared" si="4"/>
        <v>361.50486566065513</v>
      </c>
      <c r="M55" s="1037">
        <f t="shared" si="4"/>
        <v>348.31515642252481</v>
      </c>
      <c r="N55" s="1037">
        <f t="shared" si="4"/>
        <v>338.91594773647404</v>
      </c>
      <c r="O55" s="1037">
        <f t="shared" si="4"/>
        <v>332.14646301067347</v>
      </c>
    </row>
    <row r="56" spans="1:15" ht="15.75" thickBot="1" x14ac:dyDescent="0.25">
      <c r="A56" s="1108"/>
      <c r="B56" s="1040">
        <v>0.75</v>
      </c>
      <c r="C56" s="1037">
        <v>413.78</v>
      </c>
      <c r="D56" s="1037">
        <v>375.39</v>
      </c>
      <c r="E56" s="1037">
        <v>361.7</v>
      </c>
      <c r="F56" s="1037">
        <v>351.93</v>
      </c>
      <c r="G56" s="1037">
        <v>344.9</v>
      </c>
      <c r="I56" s="1108"/>
      <c r="J56" s="1040">
        <v>0.75</v>
      </c>
      <c r="K56" s="1037">
        <f t="shared" si="4"/>
        <v>425.04967979389028</v>
      </c>
      <c r="L56" s="1037">
        <f t="shared" si="4"/>
        <v>385.61409274935585</v>
      </c>
      <c r="M56" s="1037">
        <f t="shared" si="4"/>
        <v>371.55123297754875</v>
      </c>
      <c r="N56" s="1037">
        <f t="shared" si="4"/>
        <v>361.51513801987483</v>
      </c>
      <c r="O56" s="1037">
        <f t="shared" si="4"/>
        <v>354.29366948840629</v>
      </c>
    </row>
    <row r="57" spans="1:15" ht="15.75" thickBot="1" x14ac:dyDescent="0.25">
      <c r="A57" s="1108"/>
      <c r="B57" s="1040">
        <v>0.7</v>
      </c>
      <c r="C57" s="1037">
        <v>443.34</v>
      </c>
      <c r="D57" s="1037">
        <v>402.19</v>
      </c>
      <c r="E57" s="1037">
        <v>387.53</v>
      </c>
      <c r="F57" s="1037">
        <v>377.07</v>
      </c>
      <c r="G57" s="1037">
        <v>369.53</v>
      </c>
      <c r="I57" s="1108"/>
      <c r="J57" s="1040">
        <v>0.7</v>
      </c>
      <c r="K57" s="1037">
        <f t="shared" si="4"/>
        <v>455.41477364740518</v>
      </c>
      <c r="L57" s="1037">
        <f t="shared" si="4"/>
        <v>413.14401545822597</v>
      </c>
      <c r="M57" s="1037">
        <f t="shared" si="4"/>
        <v>398.0847368421052</v>
      </c>
      <c r="N57" s="1037">
        <f t="shared" si="4"/>
        <v>387.33984909827012</v>
      </c>
      <c r="O57" s="1037">
        <f t="shared" si="4"/>
        <v>379.59449024659546</v>
      </c>
    </row>
    <row r="58" spans="1:15" ht="15.75" thickBot="1" x14ac:dyDescent="0.25">
      <c r="A58" s="1108"/>
      <c r="B58" s="1040">
        <v>0.65</v>
      </c>
      <c r="C58" s="1037">
        <v>477.44</v>
      </c>
      <c r="D58" s="1037">
        <v>433.14</v>
      </c>
      <c r="E58" s="1037">
        <v>417.34</v>
      </c>
      <c r="F58" s="1037">
        <v>406.07</v>
      </c>
      <c r="G58" s="1037">
        <v>397.96</v>
      </c>
      <c r="I58" s="1108"/>
      <c r="J58" s="1040">
        <v>0.65</v>
      </c>
      <c r="K58" s="1037">
        <f t="shared" si="4"/>
        <v>490.44351858667648</v>
      </c>
      <c r="L58" s="1037">
        <f t="shared" si="4"/>
        <v>444.93696724328299</v>
      </c>
      <c r="M58" s="1037">
        <f t="shared" si="4"/>
        <v>428.7066396761133</v>
      </c>
      <c r="N58" s="1037">
        <f t="shared" si="4"/>
        <v>417.12969083548029</v>
      </c>
      <c r="O58" s="1037">
        <f t="shared" si="4"/>
        <v>408.79880750828113</v>
      </c>
    </row>
    <row r="59" spans="1:15" ht="15.75" thickBot="1" x14ac:dyDescent="0.25">
      <c r="A59" s="1108"/>
      <c r="B59" s="1040">
        <v>0.6</v>
      </c>
      <c r="C59" s="1037">
        <v>517.24</v>
      </c>
      <c r="D59" s="1037">
        <v>469.23</v>
      </c>
      <c r="E59" s="1037">
        <v>452.12</v>
      </c>
      <c r="F59" s="1037">
        <v>439.92</v>
      </c>
      <c r="G59" s="1037">
        <v>431.12</v>
      </c>
      <c r="I59" s="1108"/>
      <c r="J59" s="1040">
        <v>0.6</v>
      </c>
      <c r="K59" s="1037">
        <f t="shared" si="4"/>
        <v>531.32750828119242</v>
      </c>
      <c r="L59" s="1037">
        <f t="shared" si="4"/>
        <v>482.00991166728011</v>
      </c>
      <c r="M59" s="1037">
        <f t="shared" si="4"/>
        <v>464.4339050423261</v>
      </c>
      <c r="N59" s="1037">
        <f t="shared" si="4"/>
        <v>451.90162679425839</v>
      </c>
      <c r="O59" s="1037">
        <f t="shared" si="4"/>
        <v>442.86195068089802</v>
      </c>
    </row>
    <row r="60" spans="1:15" ht="15.75" thickBot="1" x14ac:dyDescent="0.25">
      <c r="A60" s="1108"/>
      <c r="B60" s="1040">
        <v>0.55000000000000004</v>
      </c>
      <c r="C60" s="1037">
        <v>564.26</v>
      </c>
      <c r="D60" s="1037">
        <v>511.89</v>
      </c>
      <c r="E60" s="1037">
        <v>493.22</v>
      </c>
      <c r="F60" s="1037">
        <v>479.9</v>
      </c>
      <c r="G60" s="1037">
        <v>470.31</v>
      </c>
      <c r="I60" s="1108"/>
      <c r="J60" s="1040">
        <v>0.55000000000000004</v>
      </c>
      <c r="K60" s="1037">
        <f t="shared" si="4"/>
        <v>579.62814133235179</v>
      </c>
      <c r="L60" s="1037">
        <f t="shared" si="4"/>
        <v>525.83179609863816</v>
      </c>
      <c r="M60" s="1037">
        <f t="shared" si="4"/>
        <v>506.65330143540672</v>
      </c>
      <c r="N60" s="1037">
        <f t="shared" si="4"/>
        <v>492.97051895472941</v>
      </c>
      <c r="O60" s="1037">
        <f t="shared" si="4"/>
        <v>483.11932646301068</v>
      </c>
    </row>
    <row r="61" spans="1:15" ht="15.75" thickBot="1" x14ac:dyDescent="0.25">
      <c r="A61" s="1109"/>
      <c r="B61" s="1040">
        <v>0.5</v>
      </c>
      <c r="C61" s="1037">
        <v>620.67999999999995</v>
      </c>
      <c r="D61" s="1037">
        <v>563.07000000000005</v>
      </c>
      <c r="E61" s="1037">
        <v>542.54</v>
      </c>
      <c r="F61" s="1037">
        <v>527.9</v>
      </c>
      <c r="G61" s="1037">
        <v>517.34</v>
      </c>
      <c r="I61" s="1109"/>
      <c r="J61" s="1040">
        <v>0.5</v>
      </c>
      <c r="K61" s="1037">
        <f t="shared" si="4"/>
        <v>637.58479205005517</v>
      </c>
      <c r="L61" s="1037">
        <f t="shared" si="4"/>
        <v>578.40573058520431</v>
      </c>
      <c r="M61" s="1037">
        <f t="shared" si="4"/>
        <v>557.3165771071034</v>
      </c>
      <c r="N61" s="1037">
        <f t="shared" si="4"/>
        <v>542.27784320942214</v>
      </c>
      <c r="O61" s="1037">
        <f t="shared" si="4"/>
        <v>531.43023187338974</v>
      </c>
    </row>
    <row r="62" spans="1:15" ht="16.5" thickBot="1" x14ac:dyDescent="0.25">
      <c r="A62" s="1038"/>
      <c r="I62" s="1038"/>
    </row>
    <row r="63" spans="1:15" ht="15.75" thickBot="1" x14ac:dyDescent="0.25">
      <c r="A63" s="1107" t="s">
        <v>549</v>
      </c>
      <c r="B63" s="1042" t="s">
        <v>545</v>
      </c>
      <c r="C63" s="1110" t="s">
        <v>546</v>
      </c>
      <c r="D63" s="1111"/>
      <c r="E63" s="1111"/>
      <c r="F63" s="1111"/>
      <c r="G63" s="1112"/>
      <c r="I63" s="1107" t="s">
        <v>549</v>
      </c>
      <c r="J63" s="1042" t="s">
        <v>545</v>
      </c>
      <c r="K63" s="1110" t="s">
        <v>546</v>
      </c>
      <c r="L63" s="1111"/>
      <c r="M63" s="1111"/>
      <c r="N63" s="1111"/>
      <c r="O63" s="1112"/>
    </row>
    <row r="64" spans="1:15" ht="15.75" thickBot="1" x14ac:dyDescent="0.25">
      <c r="A64" s="1108"/>
      <c r="B64" s="1043"/>
      <c r="C64" s="1041" t="s">
        <v>343</v>
      </c>
      <c r="D64" s="1041" t="s">
        <v>339</v>
      </c>
      <c r="E64" s="1034" t="s">
        <v>340</v>
      </c>
      <c r="F64" s="1034" t="s">
        <v>263</v>
      </c>
      <c r="G64" s="1034" t="s">
        <v>264</v>
      </c>
      <c r="I64" s="1108"/>
      <c r="J64" s="1043"/>
      <c r="K64" s="1041" t="s">
        <v>343</v>
      </c>
      <c r="L64" s="1041" t="s">
        <v>339</v>
      </c>
      <c r="M64" s="1034" t="s">
        <v>340</v>
      </c>
      <c r="N64" s="1034" t="s">
        <v>263</v>
      </c>
      <c r="O64" s="1034" t="s">
        <v>264</v>
      </c>
    </row>
    <row r="65" spans="1:15" ht="15.75" thickBot="1" x14ac:dyDescent="0.25">
      <c r="A65" s="1108"/>
      <c r="B65" s="1040">
        <v>0.9</v>
      </c>
      <c r="C65" s="1037">
        <v>98.37</v>
      </c>
      <c r="D65" s="1037">
        <v>95.68</v>
      </c>
      <c r="E65" s="1037">
        <v>94.36</v>
      </c>
      <c r="F65" s="1037">
        <v>93.41</v>
      </c>
      <c r="G65" s="1037">
        <v>92.73</v>
      </c>
      <c r="I65" s="1108"/>
      <c r="J65" s="1040">
        <v>0.9</v>
      </c>
      <c r="K65" s="1037">
        <f>C65*($T$2+1)</f>
        <v>101.0491976444608</v>
      </c>
      <c r="L65" s="1037">
        <f>D65*($T$2+1)</f>
        <v>98.285933014354072</v>
      </c>
      <c r="M65" s="1037">
        <f>E65*($T$2+1)</f>
        <v>96.929981597350007</v>
      </c>
      <c r="N65" s="1037">
        <f>F65*($T$2+1)</f>
        <v>95.954107471475879</v>
      </c>
      <c r="O65" s="1037">
        <f>G65*($T$2+1)</f>
        <v>95.255587044534408</v>
      </c>
    </row>
    <row r="66" spans="1:15" ht="15.75" thickBot="1" x14ac:dyDescent="0.25">
      <c r="A66" s="1108"/>
      <c r="B66" s="1040">
        <v>0.85</v>
      </c>
      <c r="C66" s="1037">
        <v>104.17</v>
      </c>
      <c r="D66" s="1037">
        <v>101.31</v>
      </c>
      <c r="E66" s="1037">
        <v>99.91</v>
      </c>
      <c r="F66" s="1037">
        <v>98.9</v>
      </c>
      <c r="G66" s="1037">
        <v>98.18</v>
      </c>
      <c r="I66" s="1108"/>
      <c r="J66" s="1040">
        <v>0.85</v>
      </c>
      <c r="K66" s="1037">
        <f t="shared" ref="K66:O73" si="5">C66*($T$2+1)</f>
        <v>107.00716599190284</v>
      </c>
      <c r="L66" s="1037">
        <f t="shared" si="5"/>
        <v>104.06927125506073</v>
      </c>
      <c r="M66" s="1037">
        <f t="shared" si="5"/>
        <v>102.63114096429885</v>
      </c>
      <c r="N66" s="1037">
        <f t="shared" si="5"/>
        <v>101.59363268310636</v>
      </c>
      <c r="O66" s="1037">
        <f t="shared" si="5"/>
        <v>100.85402281928597</v>
      </c>
    </row>
    <row r="67" spans="1:15" ht="15.75" thickBot="1" x14ac:dyDescent="0.25">
      <c r="A67" s="1108"/>
      <c r="B67" s="1040">
        <v>0.8</v>
      </c>
      <c r="C67" s="1037">
        <v>110.68</v>
      </c>
      <c r="D67" s="1037">
        <v>107.64</v>
      </c>
      <c r="E67" s="1037">
        <v>106.16</v>
      </c>
      <c r="F67" s="1037">
        <v>105.09</v>
      </c>
      <c r="G67" s="1037">
        <v>104.32</v>
      </c>
      <c r="I67" s="1108"/>
      <c r="J67" s="1040">
        <v>0.8</v>
      </c>
      <c r="K67" s="1037">
        <f t="shared" si="5"/>
        <v>113.69447184394554</v>
      </c>
      <c r="L67" s="1037">
        <f t="shared" si="5"/>
        <v>110.57167464114832</v>
      </c>
      <c r="M67" s="1037">
        <f t="shared" si="5"/>
        <v>109.05136547662863</v>
      </c>
      <c r="N67" s="1037">
        <f t="shared" si="5"/>
        <v>107.95222304011777</v>
      </c>
      <c r="O67" s="1037">
        <f t="shared" si="5"/>
        <v>107.16125138019873</v>
      </c>
    </row>
    <row r="68" spans="1:15" ht="15.75" thickBot="1" x14ac:dyDescent="0.25">
      <c r="A68" s="1108"/>
      <c r="B68" s="1040">
        <v>0.75</v>
      </c>
      <c r="C68" s="1037">
        <v>118.06</v>
      </c>
      <c r="D68" s="1037">
        <v>114.82</v>
      </c>
      <c r="E68" s="1037">
        <v>113.23</v>
      </c>
      <c r="F68" s="1037">
        <v>112.09</v>
      </c>
      <c r="G68" s="1037">
        <v>111.27</v>
      </c>
      <c r="I68" s="1108"/>
      <c r="J68" s="1040">
        <v>0.75</v>
      </c>
      <c r="K68" s="1037">
        <f t="shared" si="5"/>
        <v>121.27547294810452</v>
      </c>
      <c r="L68" s="1037">
        <f t="shared" si="5"/>
        <v>117.94722856091276</v>
      </c>
      <c r="M68" s="1037">
        <f t="shared" si="5"/>
        <v>116.31392344497607</v>
      </c>
      <c r="N68" s="1037">
        <f t="shared" si="5"/>
        <v>115.14287449392712</v>
      </c>
      <c r="O68" s="1037">
        <f t="shared" si="5"/>
        <v>114.30054103790945</v>
      </c>
    </row>
    <row r="69" spans="1:15" ht="15.75" thickBot="1" x14ac:dyDescent="0.25">
      <c r="A69" s="1108"/>
      <c r="B69" s="1040">
        <v>0.7</v>
      </c>
      <c r="C69" s="1037">
        <v>126.48</v>
      </c>
      <c r="D69" s="1037">
        <v>123.01</v>
      </c>
      <c r="E69" s="1037">
        <v>121.32</v>
      </c>
      <c r="F69" s="1037">
        <v>120.1</v>
      </c>
      <c r="G69" s="1037">
        <v>119.22</v>
      </c>
      <c r="I69" s="1108"/>
      <c r="J69" s="1040">
        <v>0.7</v>
      </c>
      <c r="K69" s="1037">
        <f t="shared" si="5"/>
        <v>129.9247994111152</v>
      </c>
      <c r="L69" s="1037">
        <f t="shared" si="5"/>
        <v>126.36029076186971</v>
      </c>
      <c r="M69" s="1037">
        <f t="shared" si="5"/>
        <v>124.62426205373572</v>
      </c>
      <c r="N69" s="1037">
        <f t="shared" si="5"/>
        <v>123.37103422892895</v>
      </c>
      <c r="O69" s="1037">
        <f t="shared" si="5"/>
        <v>122.46706661759292</v>
      </c>
    </row>
    <row r="70" spans="1:15" ht="15.75" thickBot="1" x14ac:dyDescent="0.25">
      <c r="A70" s="1108"/>
      <c r="B70" s="1040">
        <v>0.65</v>
      </c>
      <c r="C70" s="1037">
        <v>136.22</v>
      </c>
      <c r="D70" s="1037">
        <v>132.47999999999999</v>
      </c>
      <c r="E70" s="1037">
        <v>130.66</v>
      </c>
      <c r="F70" s="1037">
        <v>129.33000000000001</v>
      </c>
      <c r="G70" s="1037">
        <v>128.38999999999999</v>
      </c>
      <c r="I70" s="1108"/>
      <c r="J70" s="1040">
        <v>0.65</v>
      </c>
      <c r="K70" s="1037">
        <f t="shared" si="5"/>
        <v>139.93007729112992</v>
      </c>
      <c r="L70" s="1037">
        <f t="shared" si="5"/>
        <v>136.08821494295177</v>
      </c>
      <c r="M70" s="1037">
        <f t="shared" si="5"/>
        <v>134.21864556496135</v>
      </c>
      <c r="N70" s="1037">
        <f t="shared" si="5"/>
        <v>132.85242178873759</v>
      </c>
      <c r="O70" s="1037">
        <f t="shared" si="5"/>
        <v>131.88682002208316</v>
      </c>
    </row>
    <row r="71" spans="1:15" ht="15.75" thickBot="1" x14ac:dyDescent="0.25">
      <c r="A71" s="1108"/>
      <c r="B71" s="1040">
        <v>0.6</v>
      </c>
      <c r="C71" s="1037">
        <v>147.56</v>
      </c>
      <c r="D71" s="1037">
        <v>143.52000000000001</v>
      </c>
      <c r="E71" s="1037">
        <v>141.54</v>
      </c>
      <c r="F71" s="1037">
        <v>140.12</v>
      </c>
      <c r="G71" s="1037">
        <v>139.09</v>
      </c>
      <c r="I71" s="1108"/>
      <c r="J71" s="1040">
        <v>0.6</v>
      </c>
      <c r="K71" s="1037">
        <f t="shared" si="5"/>
        <v>151.57893264630107</v>
      </c>
      <c r="L71" s="1037">
        <f t="shared" si="5"/>
        <v>147.42889952153109</v>
      </c>
      <c r="M71" s="1037">
        <f t="shared" si="5"/>
        <v>145.39497239602503</v>
      </c>
      <c r="N71" s="1037">
        <f t="shared" si="5"/>
        <v>143.9362973868237</v>
      </c>
      <c r="O71" s="1037">
        <f t="shared" si="5"/>
        <v>142.87824438719176</v>
      </c>
    </row>
    <row r="72" spans="1:15" ht="15.75" thickBot="1" x14ac:dyDescent="0.25">
      <c r="A72" s="1108"/>
      <c r="B72" s="1040">
        <v>0.55000000000000004</v>
      </c>
      <c r="C72" s="1037">
        <v>160.97999999999999</v>
      </c>
      <c r="D72" s="1037">
        <v>156.57</v>
      </c>
      <c r="E72" s="1037">
        <v>154.41</v>
      </c>
      <c r="F72" s="1037">
        <v>152.85</v>
      </c>
      <c r="G72" s="1037">
        <v>151.74</v>
      </c>
      <c r="I72" s="1108"/>
      <c r="J72" s="1040">
        <v>0.55000000000000004</v>
      </c>
      <c r="K72" s="1037">
        <f t="shared" si="5"/>
        <v>165.36443871917555</v>
      </c>
      <c r="L72" s="1037">
        <f t="shared" si="5"/>
        <v>160.83432830327567</v>
      </c>
      <c r="M72" s="1037">
        <f t="shared" si="5"/>
        <v>158.6154987118145</v>
      </c>
      <c r="N72" s="1037">
        <f t="shared" si="5"/>
        <v>157.01301067353697</v>
      </c>
      <c r="O72" s="1037">
        <f t="shared" si="5"/>
        <v>155.87277880014722</v>
      </c>
    </row>
    <row r="73" spans="1:15" ht="15.75" thickBot="1" x14ac:dyDescent="0.25">
      <c r="A73" s="1109"/>
      <c r="B73" s="1040">
        <v>0.5</v>
      </c>
      <c r="C73" s="1037">
        <v>177.07</v>
      </c>
      <c r="D73" s="1037">
        <v>172.23</v>
      </c>
      <c r="E73" s="1037">
        <v>169.85</v>
      </c>
      <c r="F73" s="1037">
        <v>168.13</v>
      </c>
      <c r="G73" s="1037">
        <v>166.91</v>
      </c>
      <c r="I73" s="1109"/>
      <c r="J73" s="1040">
        <v>0.5</v>
      </c>
      <c r="K73" s="1037">
        <f t="shared" si="5"/>
        <v>181.89266470371732</v>
      </c>
      <c r="L73" s="1037">
        <f t="shared" si="5"/>
        <v>176.92084284136914</v>
      </c>
      <c r="M73" s="1037">
        <f t="shared" si="5"/>
        <v>174.47602134707395</v>
      </c>
      <c r="N73" s="1037">
        <f t="shared" si="5"/>
        <v>172.7091755612808</v>
      </c>
      <c r="O73" s="1037">
        <f t="shared" si="5"/>
        <v>171.45594773647403</v>
      </c>
    </row>
    <row r="74" spans="1:15" ht="15.75" x14ac:dyDescent="0.2">
      <c r="A74" s="1115"/>
      <c r="B74" s="1115"/>
      <c r="C74" s="1115"/>
      <c r="D74" s="1115"/>
      <c r="E74" s="1115"/>
      <c r="F74" s="1115"/>
      <c r="G74" s="1044"/>
      <c r="I74" s="1115"/>
      <c r="J74" s="1115"/>
      <c r="K74" s="1115"/>
      <c r="L74" s="1115"/>
      <c r="M74" s="1115"/>
      <c r="N74" s="1115"/>
      <c r="O74" s="1044"/>
    </row>
    <row r="75" spans="1:15" ht="27.6" customHeight="1" thickBot="1" x14ac:dyDescent="0.25">
      <c r="A75" s="1114" t="s">
        <v>550</v>
      </c>
      <c r="B75" s="1114"/>
      <c r="C75" s="1114"/>
      <c r="D75" s="1114"/>
      <c r="E75" s="1114"/>
      <c r="F75" s="1114"/>
      <c r="G75" s="1044"/>
      <c r="I75" s="1114" t="s">
        <v>550</v>
      </c>
      <c r="J75" s="1114"/>
      <c r="K75" s="1114"/>
      <c r="L75" s="1114"/>
      <c r="M75" s="1114"/>
      <c r="N75" s="1114"/>
      <c r="O75" s="1044"/>
    </row>
    <row r="76" spans="1:15" ht="16.5" thickBot="1" x14ac:dyDescent="0.25">
      <c r="A76" s="1107" t="s">
        <v>253</v>
      </c>
      <c r="B76" s="1034" t="s">
        <v>545</v>
      </c>
      <c r="C76" s="1110" t="s">
        <v>546</v>
      </c>
      <c r="D76" s="1111"/>
      <c r="E76" s="1111"/>
      <c r="F76" s="1112"/>
      <c r="G76" s="1044"/>
      <c r="I76" s="1107" t="s">
        <v>253</v>
      </c>
      <c r="J76" s="1034" t="s">
        <v>545</v>
      </c>
      <c r="K76" s="1110" t="s">
        <v>546</v>
      </c>
      <c r="L76" s="1111"/>
      <c r="M76" s="1111"/>
      <c r="N76" s="1112"/>
      <c r="O76" s="1044"/>
    </row>
    <row r="77" spans="1:15" ht="16.5" thickBot="1" x14ac:dyDescent="0.25">
      <c r="A77" s="1108"/>
      <c r="B77" s="1039"/>
      <c r="C77" s="1041" t="s">
        <v>339</v>
      </c>
      <c r="D77" s="1034" t="s">
        <v>340</v>
      </c>
      <c r="E77" s="1034" t="s">
        <v>263</v>
      </c>
      <c r="F77" s="1034" t="s">
        <v>264</v>
      </c>
      <c r="G77" s="1044"/>
      <c r="I77" s="1108"/>
      <c r="J77" s="1039"/>
      <c r="K77" s="1041" t="s">
        <v>339</v>
      </c>
      <c r="L77" s="1034" t="s">
        <v>340</v>
      </c>
      <c r="M77" s="1034" t="s">
        <v>263</v>
      </c>
      <c r="N77" s="1034" t="s">
        <v>264</v>
      </c>
      <c r="O77" s="1044"/>
    </row>
    <row r="78" spans="1:15" ht="16.5" thickBot="1" x14ac:dyDescent="0.25">
      <c r="A78" s="1108"/>
      <c r="B78" s="1040">
        <v>0.9</v>
      </c>
      <c r="C78" s="1037">
        <v>480.01</v>
      </c>
      <c r="D78" s="1037">
        <v>405.58</v>
      </c>
      <c r="E78" s="1037">
        <v>364.65</v>
      </c>
      <c r="F78" s="1037">
        <v>352.47</v>
      </c>
      <c r="G78" s="1044"/>
      <c r="I78" s="1108"/>
      <c r="J78" s="1040">
        <v>0.9</v>
      </c>
      <c r="K78" s="1037">
        <f>C78*($T$2+1)</f>
        <v>493.08351490614643</v>
      </c>
      <c r="L78" s="1037">
        <f>D78*($T$2+1)</f>
        <v>416.62634523371361</v>
      </c>
      <c r="M78" s="1037">
        <f>E78*($T$2+1)</f>
        <v>374.58157894736837</v>
      </c>
      <c r="N78" s="1037">
        <f>F78*($T$2+1)</f>
        <v>362.06984541774017</v>
      </c>
      <c r="O78" s="1044"/>
    </row>
    <row r="79" spans="1:15" ht="16.5" thickBot="1" x14ac:dyDescent="0.25">
      <c r="A79" s="1108"/>
      <c r="B79" s="1040">
        <v>0.85</v>
      </c>
      <c r="C79" s="1037">
        <v>508.24</v>
      </c>
      <c r="D79" s="1037">
        <v>429.44</v>
      </c>
      <c r="E79" s="1037">
        <v>386.11</v>
      </c>
      <c r="F79" s="1037">
        <v>373.2</v>
      </c>
      <c r="G79" s="1044"/>
      <c r="I79" s="1108"/>
      <c r="J79" s="1040">
        <v>0.85</v>
      </c>
      <c r="K79" s="1037">
        <f t="shared" ref="K79:N86" si="6">C79*($T$2+1)</f>
        <v>522.08238498343758</v>
      </c>
      <c r="L79" s="1037">
        <f t="shared" si="6"/>
        <v>441.1361943319838</v>
      </c>
      <c r="M79" s="1037">
        <f t="shared" si="6"/>
        <v>396.62606183290393</v>
      </c>
      <c r="N79" s="1037">
        <f t="shared" si="6"/>
        <v>383.36444608023555</v>
      </c>
      <c r="O79" s="1044"/>
    </row>
    <row r="80" spans="1:15" ht="16.5" thickBot="1" x14ac:dyDescent="0.25">
      <c r="A80" s="1108"/>
      <c r="B80" s="1040">
        <v>0.8</v>
      </c>
      <c r="C80" s="1037">
        <v>540.01</v>
      </c>
      <c r="D80" s="1037">
        <v>456.28</v>
      </c>
      <c r="E80" s="1037">
        <v>410.24</v>
      </c>
      <c r="F80" s="1037">
        <v>396.53</v>
      </c>
      <c r="G80" s="1044"/>
      <c r="I80" s="1108"/>
      <c r="J80" s="1040">
        <v>0.8</v>
      </c>
      <c r="K80" s="1037">
        <f t="shared" si="6"/>
        <v>554.71767022451229</v>
      </c>
      <c r="L80" s="1037">
        <f t="shared" si="6"/>
        <v>468.70720647773277</v>
      </c>
      <c r="M80" s="1037">
        <f t="shared" si="6"/>
        <v>421.41326463010671</v>
      </c>
      <c r="N80" s="1037">
        <f t="shared" si="6"/>
        <v>407.3298601398601</v>
      </c>
      <c r="O80" s="1044"/>
    </row>
    <row r="81" spans="1:15" ht="16.5" thickBot="1" x14ac:dyDescent="0.25">
      <c r="A81" s="1108"/>
      <c r="B81" s="1040">
        <v>0.75</v>
      </c>
      <c r="C81" s="1037">
        <v>576.01</v>
      </c>
      <c r="D81" s="1037">
        <v>486.7</v>
      </c>
      <c r="E81" s="1037">
        <v>437.59</v>
      </c>
      <c r="F81" s="1037">
        <v>422.97</v>
      </c>
      <c r="G81" s="1044"/>
      <c r="I81" s="1108"/>
      <c r="J81" s="1040">
        <v>0.75</v>
      </c>
      <c r="K81" s="1037">
        <f t="shared" si="6"/>
        <v>591.69816341553178</v>
      </c>
      <c r="L81" s="1037">
        <f t="shared" si="6"/>
        <v>499.95572322414426</v>
      </c>
      <c r="M81" s="1037">
        <f t="shared" si="6"/>
        <v>449.50816709606181</v>
      </c>
      <c r="N81" s="1037">
        <f t="shared" si="6"/>
        <v>434.48997791682001</v>
      </c>
      <c r="O81" s="1044"/>
    </row>
    <row r="82" spans="1:15" ht="16.5" thickBot="1" x14ac:dyDescent="0.25">
      <c r="A82" s="1108"/>
      <c r="B82" s="1040">
        <v>0.7</v>
      </c>
      <c r="C82" s="1037">
        <v>617.15</v>
      </c>
      <c r="D82" s="1037">
        <v>521.46</v>
      </c>
      <c r="E82" s="1037">
        <v>468.84</v>
      </c>
      <c r="F82" s="1037">
        <v>453.18</v>
      </c>
      <c r="G82" s="1044"/>
      <c r="I82" s="1108"/>
      <c r="J82" s="1040">
        <v>0.7</v>
      </c>
      <c r="K82" s="1037">
        <f t="shared" si="6"/>
        <v>633.9586492454913</v>
      </c>
      <c r="L82" s="1037">
        <f t="shared" si="6"/>
        <v>535.66244387191762</v>
      </c>
      <c r="M82" s="1037">
        <f t="shared" si="6"/>
        <v>481.60928965771069</v>
      </c>
      <c r="N82" s="1037">
        <f t="shared" si="6"/>
        <v>465.52277511961722</v>
      </c>
      <c r="O82" s="1044"/>
    </row>
    <row r="83" spans="1:15" ht="16.5" thickBot="1" x14ac:dyDescent="0.25">
      <c r="A83" s="1108"/>
      <c r="B83" s="1040">
        <v>0.65</v>
      </c>
      <c r="C83" s="1037">
        <v>664.63</v>
      </c>
      <c r="D83" s="1037">
        <v>561.57000000000005</v>
      </c>
      <c r="E83" s="1037">
        <v>504.91</v>
      </c>
      <c r="F83" s="1037">
        <v>488.04</v>
      </c>
      <c r="G83" s="1044"/>
      <c r="I83" s="1108"/>
      <c r="J83" s="1040">
        <v>0.65</v>
      </c>
      <c r="K83" s="1037">
        <f t="shared" si="6"/>
        <v>682.73181082075814</v>
      </c>
      <c r="L83" s="1037">
        <f t="shared" si="6"/>
        <v>576.86487670224517</v>
      </c>
      <c r="M83" s="1037">
        <f t="shared" si="6"/>
        <v>518.66168936326835</v>
      </c>
      <c r="N83" s="1037">
        <f t="shared" si="6"/>
        <v>501.33221935958778</v>
      </c>
      <c r="O83" s="1044"/>
    </row>
    <row r="84" spans="1:15" ht="16.5" thickBot="1" x14ac:dyDescent="0.25">
      <c r="A84" s="1108"/>
      <c r="B84" s="1040">
        <v>0.6</v>
      </c>
      <c r="C84" s="1037">
        <v>720.01</v>
      </c>
      <c r="D84" s="1037">
        <v>608.38</v>
      </c>
      <c r="E84" s="1037">
        <v>546.99</v>
      </c>
      <c r="F84" s="1037">
        <v>528.71</v>
      </c>
      <c r="G84" s="1044"/>
      <c r="I84" s="1108"/>
      <c r="J84" s="1040">
        <v>0.6</v>
      </c>
      <c r="K84" s="1037">
        <f t="shared" si="6"/>
        <v>739.62013617960986</v>
      </c>
      <c r="L84" s="1037">
        <f t="shared" si="6"/>
        <v>624.94979020979019</v>
      </c>
      <c r="M84" s="1037">
        <f t="shared" si="6"/>
        <v>561.88777695988222</v>
      </c>
      <c r="N84" s="1037">
        <f t="shared" si="6"/>
        <v>543.10990430622007</v>
      </c>
      <c r="O84" s="1044"/>
    </row>
    <row r="85" spans="1:15" ht="16.5" thickBot="1" x14ac:dyDescent="0.25">
      <c r="A85" s="1108"/>
      <c r="B85" s="1040">
        <v>0.55000000000000004</v>
      </c>
      <c r="C85" s="1037">
        <v>785.47</v>
      </c>
      <c r="D85" s="1037">
        <v>663.68</v>
      </c>
      <c r="E85" s="1037">
        <v>596.71</v>
      </c>
      <c r="F85" s="1037">
        <v>576.78</v>
      </c>
      <c r="G85" s="1044"/>
      <c r="I85" s="1108"/>
      <c r="J85" s="1040">
        <v>0.55000000000000004</v>
      </c>
      <c r="K85" s="1037">
        <f t="shared" si="6"/>
        <v>806.86299963194699</v>
      </c>
      <c r="L85" s="1037">
        <f t="shared" si="6"/>
        <v>681.75593669488399</v>
      </c>
      <c r="M85" s="1037">
        <f t="shared" si="6"/>
        <v>612.96194700036801</v>
      </c>
      <c r="N85" s="1037">
        <f t="shared" si="6"/>
        <v>592.4891350754508</v>
      </c>
      <c r="O85" s="1044"/>
    </row>
    <row r="86" spans="1:15" ht="16.5" thickBot="1" x14ac:dyDescent="0.25">
      <c r="A86" s="1109"/>
      <c r="B86" s="1040">
        <v>0.5</v>
      </c>
      <c r="C86" s="1037">
        <v>864.02</v>
      </c>
      <c r="D86" s="1037">
        <v>730.05</v>
      </c>
      <c r="E86" s="1037">
        <v>656.38</v>
      </c>
      <c r="F86" s="1037">
        <v>634.46</v>
      </c>
      <c r="G86" s="1044"/>
      <c r="I86" s="1109"/>
      <c r="J86" s="1040">
        <v>0.5</v>
      </c>
      <c r="K86" s="1037">
        <f t="shared" si="6"/>
        <v>887.55238130290752</v>
      </c>
      <c r="L86" s="1037">
        <f t="shared" si="6"/>
        <v>749.93358483621637</v>
      </c>
      <c r="M86" s="1037">
        <f t="shared" si="6"/>
        <v>674.25711446448281</v>
      </c>
      <c r="N86" s="1037">
        <f t="shared" si="6"/>
        <v>651.74010305483989</v>
      </c>
      <c r="O86" s="1044"/>
    </row>
    <row r="87" spans="1:15" ht="16.5" thickBot="1" x14ac:dyDescent="0.25">
      <c r="A87" s="1038"/>
      <c r="I87" s="1038"/>
    </row>
    <row r="88" spans="1:15" ht="15.75" thickBot="1" x14ac:dyDescent="0.25">
      <c r="A88" s="1107" t="s">
        <v>297</v>
      </c>
      <c r="B88" s="1031" t="s">
        <v>545</v>
      </c>
      <c r="C88" s="1110" t="s">
        <v>546</v>
      </c>
      <c r="D88" s="1111"/>
      <c r="E88" s="1111"/>
      <c r="F88" s="1112"/>
      <c r="I88" s="1107" t="s">
        <v>297</v>
      </c>
      <c r="J88" s="1031" t="s">
        <v>545</v>
      </c>
      <c r="K88" s="1110" t="s">
        <v>546</v>
      </c>
      <c r="L88" s="1111"/>
      <c r="M88" s="1111"/>
      <c r="N88" s="1112"/>
    </row>
    <row r="89" spans="1:15" ht="15.75" thickBot="1" x14ac:dyDescent="0.25">
      <c r="A89" s="1108"/>
      <c r="B89" s="1039"/>
      <c r="C89" s="1041" t="s">
        <v>339</v>
      </c>
      <c r="D89" s="1034" t="s">
        <v>340</v>
      </c>
      <c r="E89" s="1034" t="s">
        <v>263</v>
      </c>
      <c r="F89" s="1034" t="s">
        <v>264</v>
      </c>
      <c r="I89" s="1108"/>
      <c r="J89" s="1039"/>
      <c r="K89" s="1041" t="s">
        <v>339</v>
      </c>
      <c r="L89" s="1034" t="s">
        <v>340</v>
      </c>
      <c r="M89" s="1034" t="s">
        <v>263</v>
      </c>
      <c r="N89" s="1034" t="s">
        <v>264</v>
      </c>
    </row>
    <row r="90" spans="1:15" ht="15.75" thickBot="1" x14ac:dyDescent="0.25">
      <c r="A90" s="1108"/>
      <c r="B90" s="1040">
        <v>0.9</v>
      </c>
      <c r="C90" s="1037">
        <v>459.39</v>
      </c>
      <c r="D90" s="1037">
        <v>384.97</v>
      </c>
      <c r="E90" s="1037">
        <v>344.04</v>
      </c>
      <c r="F90" s="1037">
        <v>331.86</v>
      </c>
      <c r="I90" s="1108"/>
      <c r="J90" s="1040">
        <v>0.9</v>
      </c>
      <c r="K90" s="1037">
        <f>C90*($T$2+1)</f>
        <v>471.90191019506807</v>
      </c>
      <c r="L90" s="1037">
        <f>D90*($T$2+1)</f>
        <v>395.455012881855</v>
      </c>
      <c r="M90" s="1037">
        <f>E90*($T$2+1)</f>
        <v>353.41024659550976</v>
      </c>
      <c r="N90" s="1037">
        <f>F90*($T$2+1)</f>
        <v>340.8985130658815</v>
      </c>
    </row>
    <row r="91" spans="1:15" ht="15.75" thickBot="1" x14ac:dyDescent="0.25">
      <c r="A91" s="1108"/>
      <c r="B91" s="1040">
        <v>0.85</v>
      </c>
      <c r="C91" s="1037">
        <v>486.41</v>
      </c>
      <c r="D91" s="1037">
        <v>407.61</v>
      </c>
      <c r="E91" s="1037">
        <v>364.29</v>
      </c>
      <c r="F91" s="1037">
        <v>351.38</v>
      </c>
      <c r="I91" s="1108"/>
      <c r="J91" s="1040">
        <v>0.85</v>
      </c>
      <c r="K91" s="1037">
        <f t="shared" ref="K91:N98" si="7">C91*($T$2+1)</f>
        <v>499.65782480677217</v>
      </c>
      <c r="L91" s="1037">
        <f t="shared" si="7"/>
        <v>418.71163415531834</v>
      </c>
      <c r="M91" s="1037">
        <f t="shared" si="7"/>
        <v>374.21177401545822</v>
      </c>
      <c r="N91" s="1037">
        <f t="shared" si="7"/>
        <v>360.95015826278984</v>
      </c>
    </row>
    <row r="92" spans="1:15" ht="15.75" thickBot="1" x14ac:dyDescent="0.25">
      <c r="A92" s="1108"/>
      <c r="B92" s="1040">
        <v>0.8</v>
      </c>
      <c r="C92" s="1037">
        <v>516.82000000000005</v>
      </c>
      <c r="D92" s="1037">
        <v>433.09</v>
      </c>
      <c r="E92" s="1037">
        <v>387.05</v>
      </c>
      <c r="F92" s="1037">
        <v>373.35</v>
      </c>
      <c r="I92" s="1108"/>
      <c r="J92" s="1040">
        <v>0.8</v>
      </c>
      <c r="K92" s="1037">
        <f t="shared" si="7"/>
        <v>530.89606919396397</v>
      </c>
      <c r="L92" s="1037">
        <f t="shared" si="7"/>
        <v>444.88560544718433</v>
      </c>
      <c r="M92" s="1037">
        <f t="shared" si="7"/>
        <v>397.59166359955833</v>
      </c>
      <c r="N92" s="1037">
        <f t="shared" si="7"/>
        <v>383.51853146853148</v>
      </c>
    </row>
    <row r="93" spans="1:15" ht="15.75" thickBot="1" x14ac:dyDescent="0.25">
      <c r="A93" s="1108"/>
      <c r="B93" s="1040">
        <v>0.75</v>
      </c>
      <c r="C93" s="1037">
        <v>551.28</v>
      </c>
      <c r="D93" s="1037">
        <v>461.97</v>
      </c>
      <c r="E93" s="1037">
        <v>412.86</v>
      </c>
      <c r="F93" s="1037">
        <v>398.23</v>
      </c>
      <c r="I93" s="1108"/>
      <c r="J93" s="1040">
        <v>0.75</v>
      </c>
      <c r="K93" s="1037">
        <f t="shared" si="7"/>
        <v>566.2946190651453</v>
      </c>
      <c r="L93" s="1037">
        <f t="shared" si="7"/>
        <v>474.55217887375784</v>
      </c>
      <c r="M93" s="1037">
        <f t="shared" si="7"/>
        <v>424.10462274567539</v>
      </c>
      <c r="N93" s="1037">
        <f t="shared" si="7"/>
        <v>409.07616120721383</v>
      </c>
    </row>
    <row r="94" spans="1:15" ht="15.75" thickBot="1" x14ac:dyDescent="0.25">
      <c r="A94" s="1108"/>
      <c r="B94" s="1040">
        <v>0.7</v>
      </c>
      <c r="C94" s="1037">
        <v>590.65</v>
      </c>
      <c r="D94" s="1037">
        <v>494.96</v>
      </c>
      <c r="E94" s="1037">
        <v>442.34</v>
      </c>
      <c r="F94" s="1037">
        <v>426.68</v>
      </c>
      <c r="I94" s="1108"/>
      <c r="J94" s="1040">
        <v>0.7</v>
      </c>
      <c r="K94" s="1037">
        <f t="shared" si="7"/>
        <v>606.73689731321303</v>
      </c>
      <c r="L94" s="1037">
        <f t="shared" si="7"/>
        <v>508.44069193963924</v>
      </c>
      <c r="M94" s="1037">
        <f t="shared" si="7"/>
        <v>454.38753772543242</v>
      </c>
      <c r="N94" s="1037">
        <f t="shared" si="7"/>
        <v>438.30102318733896</v>
      </c>
    </row>
    <row r="95" spans="1:15" ht="15.75" thickBot="1" x14ac:dyDescent="0.25">
      <c r="A95" s="1108"/>
      <c r="B95" s="1040">
        <v>0.65</v>
      </c>
      <c r="C95" s="1037">
        <v>636.09</v>
      </c>
      <c r="D95" s="1037">
        <v>533.03</v>
      </c>
      <c r="E95" s="1037">
        <v>476.37</v>
      </c>
      <c r="F95" s="1037">
        <v>459.5</v>
      </c>
      <c r="I95" s="1108"/>
      <c r="J95" s="1040">
        <v>0.65</v>
      </c>
      <c r="K95" s="1037">
        <f t="shared" si="7"/>
        <v>653.41449760765556</v>
      </c>
      <c r="L95" s="1037">
        <f t="shared" si="7"/>
        <v>547.54756348914236</v>
      </c>
      <c r="M95" s="1037">
        <f t="shared" si="7"/>
        <v>489.3443761501656</v>
      </c>
      <c r="N95" s="1037">
        <f t="shared" si="7"/>
        <v>472.01490614648509</v>
      </c>
    </row>
    <row r="96" spans="1:15" ht="15.75" thickBot="1" x14ac:dyDescent="0.25">
      <c r="A96" s="1108"/>
      <c r="B96" s="1040">
        <v>0.6</v>
      </c>
      <c r="C96" s="1037">
        <v>689.09</v>
      </c>
      <c r="D96" s="1037">
        <v>577.46</v>
      </c>
      <c r="E96" s="1037">
        <v>516.07000000000005</v>
      </c>
      <c r="F96" s="1037">
        <v>497.79</v>
      </c>
      <c r="I96" s="1108"/>
      <c r="J96" s="1040">
        <v>0.6</v>
      </c>
      <c r="K96" s="1037">
        <f t="shared" si="7"/>
        <v>707.85800147221198</v>
      </c>
      <c r="L96" s="1037">
        <f t="shared" si="7"/>
        <v>593.18765550239232</v>
      </c>
      <c r="M96" s="1037">
        <f t="shared" si="7"/>
        <v>530.12564225248434</v>
      </c>
      <c r="N96" s="1037">
        <f t="shared" si="7"/>
        <v>511.34776959882225</v>
      </c>
    </row>
    <row r="97" spans="1:14" ht="15.75" thickBot="1" x14ac:dyDescent="0.25">
      <c r="A97" s="1108"/>
      <c r="B97" s="1040">
        <v>0.55000000000000004</v>
      </c>
      <c r="C97" s="1037">
        <v>751.74</v>
      </c>
      <c r="D97" s="1037">
        <v>629.95000000000005</v>
      </c>
      <c r="E97" s="1037">
        <v>562.98</v>
      </c>
      <c r="F97" s="1037">
        <v>543.04</v>
      </c>
      <c r="I97" s="1108"/>
      <c r="J97" s="1040">
        <v>0.55000000000000004</v>
      </c>
      <c r="K97" s="1037">
        <f t="shared" si="7"/>
        <v>772.21433198380566</v>
      </c>
      <c r="L97" s="1037">
        <f t="shared" si="7"/>
        <v>647.10726904674277</v>
      </c>
      <c r="M97" s="1037">
        <f t="shared" si="7"/>
        <v>578.31327935222669</v>
      </c>
      <c r="N97" s="1037">
        <f t="shared" si="7"/>
        <v>557.83019506808978</v>
      </c>
    </row>
    <row r="98" spans="1:14" ht="15.75" thickBot="1" x14ac:dyDescent="0.25">
      <c r="A98" s="1109"/>
      <c r="B98" s="1040">
        <v>0.5</v>
      </c>
      <c r="C98" s="1037">
        <v>826.91</v>
      </c>
      <c r="D98" s="1037">
        <v>692.94</v>
      </c>
      <c r="E98" s="1037">
        <v>619.28</v>
      </c>
      <c r="F98" s="1037">
        <v>597.35</v>
      </c>
      <c r="I98" s="1109"/>
      <c r="J98" s="1040">
        <v>0.5</v>
      </c>
      <c r="K98" s="1037">
        <f t="shared" si="7"/>
        <v>849.43165623849825</v>
      </c>
      <c r="L98" s="1037">
        <f t="shared" si="7"/>
        <v>711.81285977180721</v>
      </c>
      <c r="M98" s="1037">
        <f t="shared" si="7"/>
        <v>636.14666175929324</v>
      </c>
      <c r="N98" s="1037">
        <f t="shared" si="7"/>
        <v>613.61937799043062</v>
      </c>
    </row>
    <row r="99" spans="1:14" ht="16.5" thickBot="1" x14ac:dyDescent="0.25">
      <c r="A99" s="1038"/>
      <c r="I99" s="1038"/>
    </row>
    <row r="100" spans="1:14" ht="15.75" thickBot="1" x14ac:dyDescent="0.25">
      <c r="A100" s="1107" t="s">
        <v>298</v>
      </c>
      <c r="B100" s="1031" t="s">
        <v>545</v>
      </c>
      <c r="C100" s="1110" t="s">
        <v>546</v>
      </c>
      <c r="D100" s="1111"/>
      <c r="E100" s="1111"/>
      <c r="F100" s="1112"/>
      <c r="I100" s="1107" t="s">
        <v>298</v>
      </c>
      <c r="J100" s="1031" t="s">
        <v>545</v>
      </c>
      <c r="K100" s="1110" t="s">
        <v>546</v>
      </c>
      <c r="L100" s="1111"/>
      <c r="M100" s="1111"/>
      <c r="N100" s="1112"/>
    </row>
    <row r="101" spans="1:14" ht="15.75" thickBot="1" x14ac:dyDescent="0.25">
      <c r="A101" s="1108"/>
      <c r="B101" s="1039"/>
      <c r="C101" s="1041" t="s">
        <v>339</v>
      </c>
      <c r="D101" s="1034" t="s">
        <v>340</v>
      </c>
      <c r="E101" s="1034" t="s">
        <v>263</v>
      </c>
      <c r="F101" s="1034" t="s">
        <v>264</v>
      </c>
      <c r="I101" s="1108"/>
      <c r="J101" s="1039"/>
      <c r="K101" s="1041" t="s">
        <v>339</v>
      </c>
      <c r="L101" s="1034" t="s">
        <v>340</v>
      </c>
      <c r="M101" s="1034" t="s">
        <v>263</v>
      </c>
      <c r="N101" s="1034" t="s">
        <v>264</v>
      </c>
    </row>
    <row r="102" spans="1:14" ht="15.75" thickBot="1" x14ac:dyDescent="0.25">
      <c r="A102" s="1108"/>
      <c r="B102" s="1040">
        <v>0.9</v>
      </c>
      <c r="C102" s="1037">
        <v>442.51</v>
      </c>
      <c r="D102" s="1037">
        <v>368.08</v>
      </c>
      <c r="E102" s="1037">
        <v>327.17</v>
      </c>
      <c r="F102" s="1037">
        <v>314.97000000000003</v>
      </c>
      <c r="I102" s="1108"/>
      <c r="J102" s="1040">
        <v>0.9</v>
      </c>
      <c r="K102" s="1037">
        <f>C102*($T$2+1)</f>
        <v>454.5621678321678</v>
      </c>
      <c r="L102" s="1037">
        <f>D102*($T$2+1)</f>
        <v>378.10499815973498</v>
      </c>
      <c r="M102" s="1037">
        <f>E102*($T$2+1)</f>
        <v>336.08077659182925</v>
      </c>
      <c r="N102" s="1037">
        <f>F102*($T$2+1)</f>
        <v>323.54849834376154</v>
      </c>
    </row>
    <row r="103" spans="1:14" ht="15.75" thickBot="1" x14ac:dyDescent="0.25">
      <c r="A103" s="1108"/>
      <c r="B103" s="1040">
        <v>0.85</v>
      </c>
      <c r="C103" s="1037">
        <v>468.54</v>
      </c>
      <c r="D103" s="1037">
        <v>389.73</v>
      </c>
      <c r="E103" s="1037">
        <v>346.41</v>
      </c>
      <c r="F103" s="1037">
        <v>333.5</v>
      </c>
      <c r="I103" s="1108"/>
      <c r="J103" s="1040">
        <v>0.85</v>
      </c>
      <c r="K103" s="1037">
        <f t="shared" ref="K103:N110" si="8">C103*($T$2+1)</f>
        <v>481.3011188811189</v>
      </c>
      <c r="L103" s="1037">
        <f t="shared" si="8"/>
        <v>400.34465587044537</v>
      </c>
      <c r="M103" s="1037">
        <f t="shared" si="8"/>
        <v>355.84479573058519</v>
      </c>
      <c r="N103" s="1037">
        <f t="shared" si="8"/>
        <v>342.58317997791681</v>
      </c>
    </row>
    <row r="104" spans="1:14" ht="15.75" thickBot="1" x14ac:dyDescent="0.25">
      <c r="A104" s="1108"/>
      <c r="B104" s="1040">
        <v>0.8</v>
      </c>
      <c r="C104" s="1037">
        <v>497.82</v>
      </c>
      <c r="D104" s="1037">
        <v>414.1</v>
      </c>
      <c r="E104" s="1037">
        <v>368.05</v>
      </c>
      <c r="F104" s="1037">
        <v>354.35</v>
      </c>
      <c r="I104" s="1108"/>
      <c r="J104" s="1040">
        <v>0.8</v>
      </c>
      <c r="K104" s="1037">
        <f t="shared" si="8"/>
        <v>511.3785866764814</v>
      </c>
      <c r="L104" s="1037">
        <f t="shared" si="8"/>
        <v>425.37839528892158</v>
      </c>
      <c r="M104" s="1037">
        <f t="shared" si="8"/>
        <v>378.07418108207582</v>
      </c>
      <c r="N104" s="1037">
        <f t="shared" si="8"/>
        <v>364.00104895104897</v>
      </c>
    </row>
    <row r="105" spans="1:14" ht="15.75" thickBot="1" x14ac:dyDescent="0.25">
      <c r="A105" s="1108"/>
      <c r="B105" s="1040">
        <v>0.75</v>
      </c>
      <c r="C105" s="1037">
        <v>531.01</v>
      </c>
      <c r="D105" s="1037">
        <v>441.7</v>
      </c>
      <c r="E105" s="1037">
        <v>392.59</v>
      </c>
      <c r="F105" s="1037">
        <v>377.97</v>
      </c>
      <c r="I105" s="1108"/>
      <c r="J105" s="1040">
        <v>0.75</v>
      </c>
      <c r="K105" s="1037">
        <f t="shared" si="8"/>
        <v>545.47254692675745</v>
      </c>
      <c r="L105" s="1037">
        <f t="shared" si="8"/>
        <v>453.73010673536987</v>
      </c>
      <c r="M105" s="1037">
        <f t="shared" si="8"/>
        <v>403.28255060728742</v>
      </c>
      <c r="N105" s="1037">
        <f t="shared" si="8"/>
        <v>388.26436142804567</v>
      </c>
    </row>
    <row r="106" spans="1:14" ht="15.75" thickBot="1" x14ac:dyDescent="0.25">
      <c r="A106" s="1108"/>
      <c r="B106" s="1040">
        <v>0.7</v>
      </c>
      <c r="C106" s="1037">
        <v>568.94000000000005</v>
      </c>
      <c r="D106" s="1037">
        <v>473.25</v>
      </c>
      <c r="E106" s="1037">
        <v>420.64</v>
      </c>
      <c r="F106" s="1037">
        <v>404.97</v>
      </c>
      <c r="I106" s="1108"/>
      <c r="J106" s="1040">
        <v>0.7</v>
      </c>
      <c r="K106" s="1037">
        <f t="shared" si="8"/>
        <v>584.43560544718446</v>
      </c>
      <c r="L106" s="1037">
        <f t="shared" si="8"/>
        <v>486.1394000736106</v>
      </c>
      <c r="M106" s="1037">
        <f t="shared" si="8"/>
        <v>432.09651821862343</v>
      </c>
      <c r="N106" s="1037">
        <f t="shared" si="8"/>
        <v>415.99973132131026</v>
      </c>
    </row>
    <row r="107" spans="1:14" ht="15.75" thickBot="1" x14ac:dyDescent="0.25">
      <c r="A107" s="1108"/>
      <c r="B107" s="1040">
        <v>0.65</v>
      </c>
      <c r="C107" s="1037">
        <v>612.70000000000005</v>
      </c>
      <c r="D107" s="1037">
        <v>509.66</v>
      </c>
      <c r="E107" s="1037">
        <v>453</v>
      </c>
      <c r="F107" s="1037">
        <v>436.12</v>
      </c>
      <c r="I107" s="1108"/>
      <c r="J107" s="1040">
        <v>0.65</v>
      </c>
      <c r="K107" s="1037">
        <f t="shared" si="8"/>
        <v>629.3874493927126</v>
      </c>
      <c r="L107" s="1037">
        <f t="shared" si="8"/>
        <v>523.54105999263891</v>
      </c>
      <c r="M107" s="1037">
        <f t="shared" si="8"/>
        <v>465.33787265366209</v>
      </c>
      <c r="N107" s="1037">
        <f t="shared" si="8"/>
        <v>447.99813029076188</v>
      </c>
    </row>
    <row r="108" spans="1:14" ht="15.75" thickBot="1" x14ac:dyDescent="0.25">
      <c r="A108" s="1108"/>
      <c r="B108" s="1040">
        <v>0.6</v>
      </c>
      <c r="C108" s="1037">
        <v>663.76</v>
      </c>
      <c r="D108" s="1037">
        <v>552.12</v>
      </c>
      <c r="E108" s="1037">
        <v>490.74</v>
      </c>
      <c r="F108" s="1037">
        <v>472.46</v>
      </c>
      <c r="I108" s="1108"/>
      <c r="J108" s="1040">
        <v>0.6</v>
      </c>
      <c r="K108" s="1037">
        <f t="shared" si="8"/>
        <v>681.8381155686418</v>
      </c>
      <c r="L108" s="1037">
        <f t="shared" si="8"/>
        <v>567.15749723960244</v>
      </c>
      <c r="M108" s="1037">
        <f t="shared" si="8"/>
        <v>504.10575634891421</v>
      </c>
      <c r="N108" s="1037">
        <f t="shared" si="8"/>
        <v>485.32788369525207</v>
      </c>
    </row>
    <row r="109" spans="1:14" ht="15.75" thickBot="1" x14ac:dyDescent="0.25">
      <c r="A109" s="1108"/>
      <c r="B109" s="1040">
        <v>0.55000000000000004</v>
      </c>
      <c r="C109" s="1037">
        <v>724.1</v>
      </c>
      <c r="D109" s="1037">
        <v>602.33000000000004</v>
      </c>
      <c r="E109" s="1037">
        <v>535.36</v>
      </c>
      <c r="F109" s="1037">
        <v>515.41</v>
      </c>
      <c r="I109" s="1108"/>
      <c r="J109" s="1040">
        <v>0.55000000000000004</v>
      </c>
      <c r="K109" s="1037">
        <f t="shared" si="8"/>
        <v>743.82153110047841</v>
      </c>
      <c r="L109" s="1037">
        <f t="shared" si="8"/>
        <v>618.73501288185503</v>
      </c>
      <c r="M109" s="1037">
        <f t="shared" si="8"/>
        <v>549.94102318733894</v>
      </c>
      <c r="N109" s="1037">
        <f t="shared" si="8"/>
        <v>529.44766654398222</v>
      </c>
    </row>
    <row r="110" spans="1:14" ht="15.75" thickBot="1" x14ac:dyDescent="0.25">
      <c r="A110" s="1109"/>
      <c r="B110" s="1040">
        <v>0.5</v>
      </c>
      <c r="C110" s="1037">
        <v>796.52</v>
      </c>
      <c r="D110" s="1037">
        <v>662.56</v>
      </c>
      <c r="E110" s="1037">
        <v>588.89</v>
      </c>
      <c r="F110" s="1037">
        <v>566.96</v>
      </c>
      <c r="I110" s="1109"/>
      <c r="J110" s="1040">
        <v>0.5</v>
      </c>
      <c r="K110" s="1037">
        <f t="shared" si="8"/>
        <v>818.21395656974596</v>
      </c>
      <c r="L110" s="1037">
        <f t="shared" si="8"/>
        <v>680.60543246227451</v>
      </c>
      <c r="M110" s="1037">
        <f t="shared" si="8"/>
        <v>604.92896209054095</v>
      </c>
      <c r="N110" s="1037">
        <f t="shared" si="8"/>
        <v>582.40167832167833</v>
      </c>
    </row>
    <row r="111" spans="1:14" ht="16.5" thickBot="1" x14ac:dyDescent="0.25">
      <c r="A111" s="1038"/>
      <c r="I111" s="1038"/>
    </row>
    <row r="112" spans="1:14" ht="15.75" thickBot="1" x14ac:dyDescent="0.25">
      <c r="A112" s="1107" t="s">
        <v>547</v>
      </c>
      <c r="B112" s="1031" t="s">
        <v>545</v>
      </c>
      <c r="C112" s="1110" t="s">
        <v>546</v>
      </c>
      <c r="D112" s="1111"/>
      <c r="E112" s="1111"/>
      <c r="F112" s="1112"/>
      <c r="I112" s="1107" t="s">
        <v>547</v>
      </c>
      <c r="J112" s="1031" t="s">
        <v>545</v>
      </c>
      <c r="K112" s="1110" t="s">
        <v>546</v>
      </c>
      <c r="L112" s="1111"/>
      <c r="M112" s="1111"/>
      <c r="N112" s="1112"/>
    </row>
    <row r="113" spans="1:14" ht="15.75" thickBot="1" x14ac:dyDescent="0.25">
      <c r="A113" s="1108"/>
      <c r="B113" s="1039"/>
      <c r="C113" s="1041" t="s">
        <v>339</v>
      </c>
      <c r="D113" s="1034" t="s">
        <v>340</v>
      </c>
      <c r="E113" s="1034" t="s">
        <v>263</v>
      </c>
      <c r="F113" s="1034" t="s">
        <v>264</v>
      </c>
      <c r="I113" s="1108"/>
      <c r="J113" s="1039"/>
      <c r="K113" s="1041" t="s">
        <v>339</v>
      </c>
      <c r="L113" s="1034" t="s">
        <v>340</v>
      </c>
      <c r="M113" s="1034" t="s">
        <v>263</v>
      </c>
      <c r="N113" s="1034" t="s">
        <v>264</v>
      </c>
    </row>
    <row r="114" spans="1:14" ht="15.75" thickBot="1" x14ac:dyDescent="0.25">
      <c r="A114" s="1108"/>
      <c r="B114" s="1040">
        <v>0.9</v>
      </c>
      <c r="C114" s="1037">
        <v>416.3</v>
      </c>
      <c r="D114" s="1037">
        <v>349.14</v>
      </c>
      <c r="E114" s="1037">
        <v>313.19</v>
      </c>
      <c r="F114" s="1037">
        <v>291.51</v>
      </c>
      <c r="I114" s="1108"/>
      <c r="J114" s="1040">
        <v>0.9</v>
      </c>
      <c r="K114" s="1037">
        <f>C114*($T$2+1)</f>
        <v>427.63831431726169</v>
      </c>
      <c r="L114" s="1037">
        <f>D114*($T$2+1)</f>
        <v>358.64914979757083</v>
      </c>
      <c r="M114" s="1037">
        <f>E114*($T$2+1)</f>
        <v>321.72001840264994</v>
      </c>
      <c r="N114" s="1037">
        <f>F114*($T$2+1)</f>
        <v>299.44954361428046</v>
      </c>
    </row>
    <row r="115" spans="1:14" ht="15.75" thickBot="1" x14ac:dyDescent="0.25">
      <c r="A115" s="1108"/>
      <c r="B115" s="1040">
        <v>0.85</v>
      </c>
      <c r="C115" s="1037">
        <v>440.79</v>
      </c>
      <c r="D115" s="1037">
        <v>369.68</v>
      </c>
      <c r="E115" s="1037">
        <v>331.6</v>
      </c>
      <c r="F115" s="1037">
        <v>308.66000000000003</v>
      </c>
      <c r="I115" s="1108"/>
      <c r="J115" s="1040">
        <v>0.85</v>
      </c>
      <c r="K115" s="1037">
        <f t="shared" ref="K115:N122" si="9">C115*($T$2+1)</f>
        <v>452.79532204637468</v>
      </c>
      <c r="L115" s="1037">
        <f t="shared" si="9"/>
        <v>379.74857563489144</v>
      </c>
      <c r="M115" s="1037">
        <f t="shared" si="9"/>
        <v>340.63143172616856</v>
      </c>
      <c r="N115" s="1037">
        <f t="shared" si="9"/>
        <v>317.06663967611337</v>
      </c>
    </row>
    <row r="116" spans="1:14" ht="15.75" thickBot="1" x14ac:dyDescent="0.25">
      <c r="A116" s="1108"/>
      <c r="B116" s="1040">
        <v>0.8</v>
      </c>
      <c r="C116" s="1037">
        <v>468.33</v>
      </c>
      <c r="D116" s="1037">
        <v>392.79</v>
      </c>
      <c r="E116" s="1037">
        <v>352.33</v>
      </c>
      <c r="F116" s="1037">
        <v>327.94</v>
      </c>
      <c r="I116" s="1108"/>
      <c r="J116" s="1040">
        <v>0.8</v>
      </c>
      <c r="K116" s="1037">
        <f t="shared" si="9"/>
        <v>481.08539933750455</v>
      </c>
      <c r="L116" s="1037">
        <f t="shared" si="9"/>
        <v>403.48799779168201</v>
      </c>
      <c r="M116" s="1037">
        <f t="shared" si="9"/>
        <v>361.92603238866394</v>
      </c>
      <c r="N116" s="1037">
        <f t="shared" si="9"/>
        <v>336.87174825174822</v>
      </c>
    </row>
    <row r="117" spans="1:14" ht="15.75" thickBot="1" x14ac:dyDescent="0.25">
      <c r="A117" s="1108"/>
      <c r="B117" s="1040">
        <v>0.75</v>
      </c>
      <c r="C117" s="1037">
        <v>499.56</v>
      </c>
      <c r="D117" s="1037">
        <v>418.98</v>
      </c>
      <c r="E117" s="1037">
        <v>375.82</v>
      </c>
      <c r="F117" s="1037">
        <v>349.81</v>
      </c>
      <c r="I117" s="1108"/>
      <c r="J117" s="1040">
        <v>0.75</v>
      </c>
      <c r="K117" s="1037">
        <f t="shared" si="9"/>
        <v>513.16597718071398</v>
      </c>
      <c r="L117" s="1037">
        <f t="shared" si="9"/>
        <v>430.39130658814867</v>
      </c>
      <c r="M117" s="1037">
        <f t="shared" si="9"/>
        <v>386.05580419580417</v>
      </c>
      <c r="N117" s="1037">
        <f t="shared" si="9"/>
        <v>359.33739786529259</v>
      </c>
    </row>
    <row r="118" spans="1:14" ht="15.75" thickBot="1" x14ac:dyDescent="0.25">
      <c r="A118" s="1108"/>
      <c r="B118" s="1040">
        <v>0.7</v>
      </c>
      <c r="C118" s="1037">
        <v>535.25</v>
      </c>
      <c r="D118" s="1037">
        <v>448.9</v>
      </c>
      <c r="E118" s="1037">
        <v>402.66</v>
      </c>
      <c r="F118" s="1037">
        <v>374.8</v>
      </c>
      <c r="I118" s="1108"/>
      <c r="J118" s="1040">
        <v>0.7</v>
      </c>
      <c r="K118" s="1037">
        <f t="shared" si="9"/>
        <v>549.82802723592192</v>
      </c>
      <c r="L118" s="1037">
        <f t="shared" si="9"/>
        <v>461.12620537357373</v>
      </c>
      <c r="M118" s="1037">
        <f t="shared" si="9"/>
        <v>413.62681634155319</v>
      </c>
      <c r="N118" s="1037">
        <f t="shared" si="9"/>
        <v>385.00802355539196</v>
      </c>
    </row>
    <row r="119" spans="1:14" ht="15.75" thickBot="1" x14ac:dyDescent="0.25">
      <c r="A119" s="1108"/>
      <c r="B119" s="1040">
        <v>0.65</v>
      </c>
      <c r="C119" s="1037">
        <v>576.41999999999996</v>
      </c>
      <c r="D119" s="1037">
        <v>483.43</v>
      </c>
      <c r="E119" s="1037">
        <v>433.64</v>
      </c>
      <c r="F119" s="1037">
        <v>403.62</v>
      </c>
      <c r="I119" s="1108"/>
      <c r="J119" s="1040">
        <v>0.65</v>
      </c>
      <c r="K119" s="1037">
        <f t="shared" si="9"/>
        <v>592.11933014354065</v>
      </c>
      <c r="L119" s="1037">
        <f t="shared" si="9"/>
        <v>496.59666175929334</v>
      </c>
      <c r="M119" s="1037">
        <f t="shared" si="9"/>
        <v>445.45058520426937</v>
      </c>
      <c r="N119" s="1037">
        <f t="shared" si="9"/>
        <v>414.61296282664705</v>
      </c>
    </row>
    <row r="120" spans="1:14" ht="15.75" thickBot="1" x14ac:dyDescent="0.25">
      <c r="A120" s="1108"/>
      <c r="B120" s="1040">
        <v>0.6</v>
      </c>
      <c r="C120" s="1037">
        <v>624.45000000000005</v>
      </c>
      <c r="D120" s="1037">
        <v>523.72</v>
      </c>
      <c r="E120" s="1037">
        <v>469.77</v>
      </c>
      <c r="F120" s="1037">
        <v>437.26</v>
      </c>
      <c r="I120" s="1108"/>
      <c r="J120" s="1040">
        <v>0.6</v>
      </c>
      <c r="K120" s="1037">
        <f t="shared" si="9"/>
        <v>641.45747147589259</v>
      </c>
      <c r="L120" s="1037">
        <f t="shared" si="9"/>
        <v>537.98399705557597</v>
      </c>
      <c r="M120" s="1037">
        <f t="shared" si="9"/>
        <v>482.56461906514534</v>
      </c>
      <c r="N120" s="1037">
        <f t="shared" si="9"/>
        <v>449.16917924181081</v>
      </c>
    </row>
    <row r="121" spans="1:14" ht="15.75" thickBot="1" x14ac:dyDescent="0.25">
      <c r="A121" s="1108"/>
      <c r="B121" s="1040">
        <v>0.55000000000000004</v>
      </c>
      <c r="C121" s="1037">
        <v>681.22</v>
      </c>
      <c r="D121" s="1037">
        <v>571.33000000000004</v>
      </c>
      <c r="E121" s="1037">
        <v>512.48</v>
      </c>
      <c r="F121" s="1037">
        <v>477.01</v>
      </c>
      <c r="I121" s="1108"/>
      <c r="J121" s="1040">
        <v>0.55000000000000004</v>
      </c>
      <c r="K121" s="1037">
        <f t="shared" si="9"/>
        <v>699.77365476628631</v>
      </c>
      <c r="L121" s="1037">
        <f t="shared" si="9"/>
        <v>586.89069930069934</v>
      </c>
      <c r="M121" s="1037">
        <f t="shared" si="9"/>
        <v>526.43786529260217</v>
      </c>
      <c r="N121" s="1037">
        <f t="shared" si="9"/>
        <v>490.00180714022815</v>
      </c>
    </row>
    <row r="122" spans="1:14" ht="15.75" thickBot="1" x14ac:dyDescent="0.25">
      <c r="A122" s="1109"/>
      <c r="B122" s="1040">
        <v>0.5</v>
      </c>
      <c r="C122" s="1037">
        <v>749.34</v>
      </c>
      <c r="D122" s="1037">
        <v>628.47</v>
      </c>
      <c r="E122" s="1037">
        <v>563.73</v>
      </c>
      <c r="F122" s="1037">
        <v>524.71</v>
      </c>
      <c r="I122" s="1109"/>
      <c r="J122" s="1040">
        <v>0.5</v>
      </c>
      <c r="K122" s="1037">
        <f t="shared" si="9"/>
        <v>769.74896577107108</v>
      </c>
      <c r="L122" s="1037">
        <f t="shared" si="9"/>
        <v>645.58695988222303</v>
      </c>
      <c r="M122" s="1037">
        <f t="shared" si="9"/>
        <v>579.08370629370631</v>
      </c>
      <c r="N122" s="1037">
        <f t="shared" si="9"/>
        <v>539.00096061832903</v>
      </c>
    </row>
    <row r="123" spans="1:14" ht="15" x14ac:dyDescent="0.2">
      <c r="A123" s="1045"/>
      <c r="I123" s="1045"/>
    </row>
    <row r="124" spans="1:14" s="1046" customFormat="1" x14ac:dyDescent="0.2"/>
    <row r="126" spans="1:14" ht="15.75" thickBot="1" x14ac:dyDescent="0.25">
      <c r="A126" s="1113" t="s">
        <v>551</v>
      </c>
      <c r="B126" s="1113"/>
      <c r="C126" s="1113"/>
      <c r="D126" s="1113"/>
      <c r="E126" s="1113"/>
      <c r="F126" s="1113"/>
      <c r="I126" s="1113" t="s">
        <v>551</v>
      </c>
      <c r="J126" s="1113"/>
      <c r="K126" s="1113"/>
      <c r="L126" s="1113"/>
      <c r="M126" s="1113"/>
      <c r="N126" s="1113"/>
    </row>
    <row r="127" spans="1:14" ht="15.75" thickBot="1" x14ac:dyDescent="0.25">
      <c r="A127" s="1047" t="s">
        <v>359</v>
      </c>
      <c r="B127" s="1048" t="s">
        <v>545</v>
      </c>
      <c r="C127" s="1104" t="s">
        <v>546</v>
      </c>
      <c r="D127" s="1105"/>
      <c r="E127" s="1105"/>
      <c r="F127" s="1106"/>
      <c r="I127" s="1047" t="s">
        <v>359</v>
      </c>
      <c r="J127" s="1048" t="s">
        <v>545</v>
      </c>
      <c r="K127" s="1104" t="s">
        <v>546</v>
      </c>
      <c r="L127" s="1105"/>
      <c r="M127" s="1105"/>
      <c r="N127" s="1106"/>
    </row>
    <row r="128" spans="1:14" ht="15.75" thickBot="1" x14ac:dyDescent="0.25">
      <c r="A128" s="1047"/>
      <c r="B128" s="1049"/>
      <c r="C128" s="1041" t="s">
        <v>339</v>
      </c>
      <c r="D128" s="1034" t="s">
        <v>340</v>
      </c>
      <c r="E128" s="1034" t="s">
        <v>263</v>
      </c>
      <c r="F128" s="1034" t="s">
        <v>264</v>
      </c>
      <c r="I128" s="1047"/>
      <c r="J128" s="1049"/>
      <c r="K128" s="1041" t="s">
        <v>339</v>
      </c>
      <c r="L128" s="1034" t="s">
        <v>340</v>
      </c>
      <c r="M128" s="1034" t="s">
        <v>263</v>
      </c>
      <c r="N128" s="1034" t="s">
        <v>264</v>
      </c>
    </row>
    <row r="129" spans="1:14" ht="15.75" thickBot="1" x14ac:dyDescent="0.25">
      <c r="A129" s="1047" t="s">
        <v>552</v>
      </c>
      <c r="B129" s="1050">
        <v>0.9</v>
      </c>
      <c r="C129" s="1051">
        <v>9.89</v>
      </c>
      <c r="D129" s="1051">
        <v>7.65</v>
      </c>
      <c r="E129" s="1051">
        <v>5.93</v>
      </c>
      <c r="F129" s="1052">
        <v>4.75</v>
      </c>
      <c r="I129" s="1047" t="s">
        <v>552</v>
      </c>
      <c r="J129" s="1050">
        <v>0.9</v>
      </c>
      <c r="K129" s="1051">
        <f>C129*($T$2+1)</f>
        <v>10.159363268310637</v>
      </c>
      <c r="L129" s="1051">
        <f>D129*($T$2+1)</f>
        <v>7.858354803091645</v>
      </c>
      <c r="M129" s="1051">
        <f>E129*($T$2+1)</f>
        <v>6.09150901729849</v>
      </c>
      <c r="N129" s="1051">
        <f>F129*($T$2+1)</f>
        <v>4.8793706293706292</v>
      </c>
    </row>
    <row r="130" spans="1:14" ht="15.75" thickBot="1" x14ac:dyDescent="0.25">
      <c r="A130" s="1053"/>
      <c r="B130" s="1050">
        <v>0.85</v>
      </c>
      <c r="C130" s="1051">
        <v>10.47</v>
      </c>
      <c r="D130" s="1051">
        <v>8.1</v>
      </c>
      <c r="E130" s="1051">
        <v>6.28</v>
      </c>
      <c r="F130" s="1052">
        <v>5.03</v>
      </c>
      <c r="I130" s="1053"/>
      <c r="J130" s="1050">
        <v>0.85</v>
      </c>
      <c r="K130" s="1051">
        <f t="shared" ref="K130:N137" si="10">C130*($T$2+1)</f>
        <v>10.755160103054839</v>
      </c>
      <c r="L130" s="1051">
        <f t="shared" si="10"/>
        <v>8.3206109679793876</v>
      </c>
      <c r="M130" s="1051">
        <f t="shared" si="10"/>
        <v>6.4510415899889582</v>
      </c>
      <c r="N130" s="1051">
        <f t="shared" si="10"/>
        <v>5.1669966875230031</v>
      </c>
    </row>
    <row r="131" spans="1:14" ht="15.75" thickBot="1" x14ac:dyDescent="0.25">
      <c r="A131" s="1053"/>
      <c r="B131" s="1050">
        <v>0.8</v>
      </c>
      <c r="C131" s="1051">
        <v>11.12</v>
      </c>
      <c r="D131" s="1051">
        <v>8.61</v>
      </c>
      <c r="E131" s="1051">
        <v>6.67</v>
      </c>
      <c r="F131" s="1052">
        <v>5.34</v>
      </c>
      <c r="I131" s="1053"/>
      <c r="J131" s="1050">
        <v>0.8</v>
      </c>
      <c r="K131" s="1051">
        <f t="shared" si="10"/>
        <v>11.422863452337134</v>
      </c>
      <c r="L131" s="1051">
        <f t="shared" si="10"/>
        <v>8.8445012881854979</v>
      </c>
      <c r="M131" s="1051">
        <f t="shared" si="10"/>
        <v>6.8516635995583357</v>
      </c>
      <c r="N131" s="1051">
        <f t="shared" si="10"/>
        <v>5.48543982333456</v>
      </c>
    </row>
    <row r="132" spans="1:14" ht="15.75" thickBot="1" x14ac:dyDescent="0.25">
      <c r="A132" s="1053"/>
      <c r="B132" s="1050">
        <v>0.75</v>
      </c>
      <c r="C132" s="1051">
        <v>11.86</v>
      </c>
      <c r="D132" s="1051">
        <v>9.18</v>
      </c>
      <c r="E132" s="1051">
        <v>7.12</v>
      </c>
      <c r="F132" s="1052">
        <v>5.7</v>
      </c>
      <c r="I132" s="1053"/>
      <c r="J132" s="1050">
        <v>0.75</v>
      </c>
      <c r="K132" s="1051">
        <f t="shared" si="10"/>
        <v>12.18301803459698</v>
      </c>
      <c r="L132" s="1051">
        <f t="shared" si="10"/>
        <v>9.430025763709974</v>
      </c>
      <c r="M132" s="1051">
        <f t="shared" si="10"/>
        <v>7.3139197644460801</v>
      </c>
      <c r="N132" s="1051">
        <f t="shared" si="10"/>
        <v>5.8552447552447555</v>
      </c>
    </row>
    <row r="133" spans="1:14" ht="15.75" thickBot="1" x14ac:dyDescent="0.25">
      <c r="A133" s="1053"/>
      <c r="B133" s="1050">
        <v>0.7</v>
      </c>
      <c r="C133" s="1051">
        <v>12.71</v>
      </c>
      <c r="D133" s="1051">
        <v>9.84</v>
      </c>
      <c r="E133" s="1051">
        <v>7.62</v>
      </c>
      <c r="F133" s="1052">
        <v>6.11</v>
      </c>
      <c r="I133" s="1053"/>
      <c r="J133" s="1050">
        <v>0.7</v>
      </c>
      <c r="K133" s="1051">
        <f t="shared" si="10"/>
        <v>13.056168568273831</v>
      </c>
      <c r="L133" s="1051">
        <f t="shared" si="10"/>
        <v>10.108001472211997</v>
      </c>
      <c r="M133" s="1051">
        <f t="shared" si="10"/>
        <v>7.8275377254324621</v>
      </c>
      <c r="N133" s="1051">
        <f t="shared" si="10"/>
        <v>6.2764114832535887</v>
      </c>
    </row>
    <row r="134" spans="1:14" ht="15.75" thickBot="1" x14ac:dyDescent="0.25">
      <c r="A134" s="1053"/>
      <c r="B134" s="1050">
        <v>0.65</v>
      </c>
      <c r="C134" s="1051">
        <v>13.69</v>
      </c>
      <c r="D134" s="1051">
        <v>10.6</v>
      </c>
      <c r="E134" s="1051">
        <v>8.2100000000000009</v>
      </c>
      <c r="F134" s="1052">
        <v>6.58</v>
      </c>
      <c r="I134" s="1053"/>
      <c r="J134" s="1050">
        <v>0.65</v>
      </c>
      <c r="K134" s="1051">
        <f t="shared" si="10"/>
        <v>14.062859771807139</v>
      </c>
      <c r="L134" s="1051">
        <f t="shared" si="10"/>
        <v>10.888700772911298</v>
      </c>
      <c r="M134" s="1051">
        <f t="shared" si="10"/>
        <v>8.433606919396393</v>
      </c>
      <c r="N134" s="1051">
        <f t="shared" si="10"/>
        <v>6.7592123665807877</v>
      </c>
    </row>
    <row r="135" spans="1:14" ht="15.75" thickBot="1" x14ac:dyDescent="0.25">
      <c r="A135" s="1053"/>
      <c r="B135" s="1050">
        <v>0.6</v>
      </c>
      <c r="C135" s="1051">
        <v>14.83</v>
      </c>
      <c r="D135" s="1051">
        <v>11.48</v>
      </c>
      <c r="E135" s="1051">
        <v>8.89</v>
      </c>
      <c r="F135" s="1052">
        <v>7.13</v>
      </c>
      <c r="I135" s="1053"/>
      <c r="J135" s="1050">
        <v>0.6</v>
      </c>
      <c r="K135" s="1051">
        <f t="shared" si="10"/>
        <v>15.233908722856091</v>
      </c>
      <c r="L135" s="1051">
        <f t="shared" si="10"/>
        <v>11.792668384247332</v>
      </c>
      <c r="M135" s="1051">
        <f t="shared" si="10"/>
        <v>9.1321273463378727</v>
      </c>
      <c r="N135" s="1051">
        <f t="shared" si="10"/>
        <v>7.3241921236658074</v>
      </c>
    </row>
    <row r="136" spans="1:14" ht="15.75" thickBot="1" x14ac:dyDescent="0.25">
      <c r="A136" s="1053"/>
      <c r="B136" s="1050">
        <v>0.55000000000000004</v>
      </c>
      <c r="C136" s="1051">
        <v>16.18</v>
      </c>
      <c r="D136" s="1051">
        <v>12.52</v>
      </c>
      <c r="E136" s="1051">
        <v>9.6999999999999993</v>
      </c>
      <c r="F136" s="1052">
        <v>7.77</v>
      </c>
      <c r="I136" s="1053"/>
      <c r="J136" s="1050">
        <v>0.55000000000000004</v>
      </c>
      <c r="K136" s="1051">
        <f t="shared" si="10"/>
        <v>16.620677217519322</v>
      </c>
      <c r="L136" s="1051">
        <f t="shared" si="10"/>
        <v>12.860993743099005</v>
      </c>
      <c r="M136" s="1051">
        <f t="shared" si="10"/>
        <v>9.9641884431358108</v>
      </c>
      <c r="N136" s="1051">
        <f t="shared" si="10"/>
        <v>7.981623113728376</v>
      </c>
    </row>
    <row r="137" spans="1:14" ht="15.75" thickBot="1" x14ac:dyDescent="0.25">
      <c r="A137" s="1054"/>
      <c r="B137" s="1050">
        <v>0.5</v>
      </c>
      <c r="C137" s="1051">
        <v>17.79</v>
      </c>
      <c r="D137" s="1051">
        <v>13.77</v>
      </c>
      <c r="E137" s="1051">
        <v>10.67</v>
      </c>
      <c r="F137" s="1052">
        <v>8.5500000000000007</v>
      </c>
      <c r="I137" s="1054"/>
      <c r="J137" s="1050">
        <v>0.5</v>
      </c>
      <c r="K137" s="1051">
        <f t="shared" si="10"/>
        <v>18.274527051895472</v>
      </c>
      <c r="L137" s="1051">
        <f t="shared" si="10"/>
        <v>14.145038645564961</v>
      </c>
      <c r="M137" s="1051">
        <f t="shared" si="10"/>
        <v>10.960607287449392</v>
      </c>
      <c r="N137" s="1051">
        <f t="shared" si="10"/>
        <v>8.7828671328671337</v>
      </c>
    </row>
    <row r="138" spans="1:14" ht="16.5" thickBot="1" x14ac:dyDescent="0.25">
      <c r="A138" s="1038"/>
      <c r="I138" s="1038"/>
    </row>
    <row r="139" spans="1:14" ht="15.75" thickBot="1" x14ac:dyDescent="0.25">
      <c r="A139" s="1055" t="s">
        <v>359</v>
      </c>
      <c r="B139" s="1056" t="s">
        <v>545</v>
      </c>
      <c r="C139" s="1101" t="s">
        <v>546</v>
      </c>
      <c r="D139" s="1102"/>
      <c r="E139" s="1102"/>
      <c r="F139" s="1103"/>
      <c r="I139" s="1055" t="s">
        <v>359</v>
      </c>
      <c r="J139" s="1056" t="s">
        <v>545</v>
      </c>
      <c r="K139" s="1101" t="s">
        <v>546</v>
      </c>
      <c r="L139" s="1102"/>
      <c r="M139" s="1102"/>
      <c r="N139" s="1103"/>
    </row>
    <row r="140" spans="1:14" ht="15.75" thickBot="1" x14ac:dyDescent="0.25">
      <c r="A140" s="1047"/>
      <c r="B140" s="1049"/>
      <c r="C140" s="1041" t="s">
        <v>339</v>
      </c>
      <c r="D140" s="1034" t="s">
        <v>340</v>
      </c>
      <c r="E140" s="1034" t="s">
        <v>263</v>
      </c>
      <c r="F140" s="1034" t="s">
        <v>264</v>
      </c>
      <c r="I140" s="1047"/>
      <c r="J140" s="1049"/>
      <c r="K140" s="1041" t="s">
        <v>339</v>
      </c>
      <c r="L140" s="1034" t="s">
        <v>340</v>
      </c>
      <c r="M140" s="1034" t="s">
        <v>263</v>
      </c>
      <c r="N140" s="1034" t="s">
        <v>264</v>
      </c>
    </row>
    <row r="141" spans="1:14" ht="15.75" thickBot="1" x14ac:dyDescent="0.25">
      <c r="A141" s="1047" t="s">
        <v>553</v>
      </c>
      <c r="B141" s="1050">
        <v>0.9</v>
      </c>
      <c r="C141" s="1051">
        <v>19.77</v>
      </c>
      <c r="D141" s="1051">
        <v>15.31</v>
      </c>
      <c r="E141" s="1051">
        <v>11.87</v>
      </c>
      <c r="F141" s="1052">
        <v>9.49</v>
      </c>
      <c r="I141" s="1047" t="s">
        <v>553</v>
      </c>
      <c r="J141" s="1050">
        <v>0.9</v>
      </c>
      <c r="K141" s="1051">
        <f>C141*($T$2+1)</f>
        <v>20.308454177401543</v>
      </c>
      <c r="L141" s="1051">
        <f>D141*($T$2+1)</f>
        <v>15.726981965403018</v>
      </c>
      <c r="M141" s="1051">
        <f>E141*($T$2+1)</f>
        <v>12.193290393816708</v>
      </c>
      <c r="N141" s="1051">
        <f>F141*($T$2+1)</f>
        <v>9.7484688995215301</v>
      </c>
    </row>
    <row r="142" spans="1:14" ht="15.75" thickBot="1" x14ac:dyDescent="0.25">
      <c r="A142" s="1053"/>
      <c r="B142" s="1050">
        <v>0.85</v>
      </c>
      <c r="C142" s="1051">
        <v>20.94</v>
      </c>
      <c r="D142" s="1051">
        <v>16.21</v>
      </c>
      <c r="E142" s="1051">
        <v>12.57</v>
      </c>
      <c r="F142" s="1052">
        <v>10.050000000000001</v>
      </c>
      <c r="I142" s="1053"/>
      <c r="J142" s="1050">
        <v>0.85</v>
      </c>
      <c r="K142" s="1051">
        <f t="shared" ref="K142:N149" si="11">C142*($T$2+1)</f>
        <v>21.510320206109679</v>
      </c>
      <c r="L142" s="1051">
        <f t="shared" si="11"/>
        <v>16.651494295178505</v>
      </c>
      <c r="M142" s="1051">
        <f t="shared" si="11"/>
        <v>12.912355539197645</v>
      </c>
      <c r="N142" s="1051">
        <f t="shared" si="11"/>
        <v>10.32372101582628</v>
      </c>
    </row>
    <row r="143" spans="1:14" ht="15.75" thickBot="1" x14ac:dyDescent="0.25">
      <c r="A143" s="1053"/>
      <c r="B143" s="1050">
        <v>0.8</v>
      </c>
      <c r="C143" s="1051">
        <v>22.24</v>
      </c>
      <c r="D143" s="1051">
        <v>17.22</v>
      </c>
      <c r="E143" s="1051">
        <v>13.35</v>
      </c>
      <c r="F143" s="1052">
        <v>10.68</v>
      </c>
      <c r="I143" s="1053"/>
      <c r="J143" s="1050">
        <v>0.8</v>
      </c>
      <c r="K143" s="1051">
        <f t="shared" si="11"/>
        <v>22.845726904674269</v>
      </c>
      <c r="L143" s="1051">
        <f t="shared" si="11"/>
        <v>17.689002576370996</v>
      </c>
      <c r="M143" s="1051">
        <f t="shared" si="11"/>
        <v>13.7135995583364</v>
      </c>
      <c r="N143" s="1051">
        <f t="shared" si="11"/>
        <v>10.97087964666912</v>
      </c>
    </row>
    <row r="144" spans="1:14" ht="15.75" thickBot="1" x14ac:dyDescent="0.25">
      <c r="A144" s="1053"/>
      <c r="B144" s="1050">
        <v>0.75</v>
      </c>
      <c r="C144" s="1051">
        <v>23.73</v>
      </c>
      <c r="D144" s="1051">
        <v>18.37</v>
      </c>
      <c r="E144" s="1051">
        <v>14.24</v>
      </c>
      <c r="F144" s="1052">
        <v>11.39</v>
      </c>
      <c r="I144" s="1053"/>
      <c r="J144" s="1050">
        <v>0.75</v>
      </c>
      <c r="K144" s="1051">
        <f t="shared" si="11"/>
        <v>24.37630842841369</v>
      </c>
      <c r="L144" s="1051">
        <f t="shared" si="11"/>
        <v>18.870323886639675</v>
      </c>
      <c r="M144" s="1051">
        <f t="shared" si="11"/>
        <v>14.62783952889216</v>
      </c>
      <c r="N144" s="1051">
        <f t="shared" si="11"/>
        <v>11.700217151269783</v>
      </c>
    </row>
    <row r="145" spans="1:14" ht="15.75" thickBot="1" x14ac:dyDescent="0.25">
      <c r="A145" s="1053"/>
      <c r="B145" s="1050">
        <v>0.7</v>
      </c>
      <c r="C145" s="1051">
        <v>25.42</v>
      </c>
      <c r="D145" s="1051">
        <v>19.68</v>
      </c>
      <c r="E145" s="1051">
        <v>15.26</v>
      </c>
      <c r="F145" s="1052">
        <v>12.2</v>
      </c>
      <c r="I145" s="1053"/>
      <c r="J145" s="1050">
        <v>0.7</v>
      </c>
      <c r="K145" s="1051">
        <f t="shared" si="11"/>
        <v>26.112337136547662</v>
      </c>
      <c r="L145" s="1051">
        <f t="shared" si="11"/>
        <v>20.216002944423995</v>
      </c>
      <c r="M145" s="1051">
        <f t="shared" si="11"/>
        <v>15.675620169304379</v>
      </c>
      <c r="N145" s="1051">
        <f t="shared" si="11"/>
        <v>12.532278248067721</v>
      </c>
    </row>
    <row r="146" spans="1:14" ht="15.75" thickBot="1" x14ac:dyDescent="0.25">
      <c r="A146" s="1053"/>
      <c r="B146" s="1050">
        <v>0.65</v>
      </c>
      <c r="C146" s="1051">
        <v>27.38</v>
      </c>
      <c r="D146" s="1051">
        <v>21.19</v>
      </c>
      <c r="E146" s="1051">
        <v>16.440000000000001</v>
      </c>
      <c r="F146" s="1052">
        <v>13.14</v>
      </c>
      <c r="I146" s="1053"/>
      <c r="J146" s="1050">
        <v>0.65</v>
      </c>
      <c r="K146" s="1051">
        <f t="shared" si="11"/>
        <v>28.125719543614277</v>
      </c>
      <c r="L146" s="1051">
        <f t="shared" si="11"/>
        <v>21.767129186602872</v>
      </c>
      <c r="M146" s="1051">
        <f t="shared" si="11"/>
        <v>16.887758557232242</v>
      </c>
      <c r="N146" s="1051">
        <f t="shared" si="11"/>
        <v>13.497880014722121</v>
      </c>
    </row>
    <row r="147" spans="1:14" ht="15.75" thickBot="1" x14ac:dyDescent="0.25">
      <c r="A147" s="1053"/>
      <c r="B147" s="1050">
        <v>0.6</v>
      </c>
      <c r="C147" s="1051">
        <v>29.66</v>
      </c>
      <c r="D147" s="1051">
        <v>22.96</v>
      </c>
      <c r="E147" s="1051">
        <v>17.809999999999999</v>
      </c>
      <c r="F147" s="1052">
        <v>14.23</v>
      </c>
      <c r="I147" s="1053"/>
      <c r="J147" s="1050">
        <v>0.6</v>
      </c>
      <c r="K147" s="1051">
        <f t="shared" si="11"/>
        <v>30.467817445712182</v>
      </c>
      <c r="L147" s="1051">
        <f t="shared" si="11"/>
        <v>23.585336768494663</v>
      </c>
      <c r="M147" s="1051">
        <f t="shared" si="11"/>
        <v>18.295071770334925</v>
      </c>
      <c r="N147" s="1051">
        <f t="shared" si="11"/>
        <v>14.617567169672432</v>
      </c>
    </row>
    <row r="148" spans="1:14" ht="15.75" thickBot="1" x14ac:dyDescent="0.25">
      <c r="A148" s="1053"/>
      <c r="B148" s="1050">
        <v>0.55000000000000004</v>
      </c>
      <c r="C148" s="1051">
        <v>32.35</v>
      </c>
      <c r="D148" s="1051">
        <v>25.05</v>
      </c>
      <c r="E148" s="1051">
        <v>19.420000000000002</v>
      </c>
      <c r="F148" s="1052">
        <v>15.53</v>
      </c>
      <c r="I148" s="1053"/>
      <c r="J148" s="1050">
        <v>0.55000000000000004</v>
      </c>
      <c r="K148" s="1051">
        <f t="shared" si="11"/>
        <v>33.231082075818918</v>
      </c>
      <c r="L148" s="1051">
        <f t="shared" si="11"/>
        <v>25.73225984541774</v>
      </c>
      <c r="M148" s="1051">
        <f t="shared" si="11"/>
        <v>19.948921604711078</v>
      </c>
      <c r="N148" s="1051">
        <f t="shared" si="11"/>
        <v>15.952973868237025</v>
      </c>
    </row>
    <row r="149" spans="1:14" ht="15.75" thickBot="1" x14ac:dyDescent="0.25">
      <c r="A149" s="1054"/>
      <c r="B149" s="1050">
        <v>0.5</v>
      </c>
      <c r="C149" s="1051">
        <v>35.590000000000003</v>
      </c>
      <c r="D149" s="1051">
        <v>27.55</v>
      </c>
      <c r="E149" s="1051">
        <v>21.37</v>
      </c>
      <c r="F149" s="1052">
        <v>17.079999999999998</v>
      </c>
      <c r="I149" s="1054"/>
      <c r="J149" s="1050">
        <v>0.5</v>
      </c>
      <c r="K149" s="1051">
        <f t="shared" si="11"/>
        <v>36.559326463010677</v>
      </c>
      <c r="L149" s="1051">
        <f t="shared" si="11"/>
        <v>28.300349650349649</v>
      </c>
      <c r="M149" s="1051">
        <f t="shared" si="11"/>
        <v>21.952031652557967</v>
      </c>
      <c r="N149" s="1051">
        <f t="shared" si="11"/>
        <v>17.545189547294807</v>
      </c>
    </row>
    <row r="150" spans="1:14" ht="16.5" thickBot="1" x14ac:dyDescent="0.25">
      <c r="A150" s="1038"/>
      <c r="I150" s="1038"/>
    </row>
    <row r="151" spans="1:14" ht="15.75" thickBot="1" x14ac:dyDescent="0.25">
      <c r="A151" s="1055" t="s">
        <v>360</v>
      </c>
      <c r="B151" s="1056" t="s">
        <v>545</v>
      </c>
      <c r="C151" s="1101" t="s">
        <v>546</v>
      </c>
      <c r="D151" s="1102"/>
      <c r="E151" s="1102"/>
      <c r="F151" s="1103"/>
      <c r="I151" s="1055" t="s">
        <v>360</v>
      </c>
      <c r="J151" s="1056" t="s">
        <v>545</v>
      </c>
      <c r="K151" s="1101" t="s">
        <v>546</v>
      </c>
      <c r="L151" s="1102"/>
      <c r="M151" s="1102"/>
      <c r="N151" s="1103"/>
    </row>
    <row r="152" spans="1:14" ht="15.75" thickBot="1" x14ac:dyDescent="0.25">
      <c r="A152" s="1047"/>
      <c r="B152" s="1049"/>
      <c r="C152" s="1041" t="s">
        <v>339</v>
      </c>
      <c r="D152" s="1034" t="s">
        <v>340</v>
      </c>
      <c r="E152" s="1034" t="s">
        <v>263</v>
      </c>
      <c r="F152" s="1034" t="s">
        <v>264</v>
      </c>
      <c r="I152" s="1047"/>
      <c r="J152" s="1049"/>
      <c r="K152" s="1041" t="s">
        <v>339</v>
      </c>
      <c r="L152" s="1034" t="s">
        <v>340</v>
      </c>
      <c r="M152" s="1034" t="s">
        <v>263</v>
      </c>
      <c r="N152" s="1034" t="s">
        <v>264</v>
      </c>
    </row>
    <row r="153" spans="1:14" ht="15.75" thickBot="1" x14ac:dyDescent="0.25">
      <c r="A153" s="1047" t="s">
        <v>554</v>
      </c>
      <c r="B153" s="1050">
        <v>0.9</v>
      </c>
      <c r="C153" s="1051">
        <v>11.42</v>
      </c>
      <c r="D153" s="1051">
        <v>8.84</v>
      </c>
      <c r="E153" s="1051">
        <v>6.85</v>
      </c>
      <c r="F153" s="1052">
        <v>5.49</v>
      </c>
      <c r="I153" s="1047" t="s">
        <v>554</v>
      </c>
      <c r="J153" s="1050">
        <v>0.9</v>
      </c>
      <c r="K153" s="1051">
        <f>C153*($T$2+1)</f>
        <v>11.731034228928966</v>
      </c>
      <c r="L153" s="1051">
        <f>D153*($T$2+1)</f>
        <v>9.0807655502392333</v>
      </c>
      <c r="M153" s="1051">
        <f>E153*($T$2+1)</f>
        <v>7.0365660655134334</v>
      </c>
      <c r="N153" s="1051">
        <f>F153*($T$2+1)</f>
        <v>5.6395252116304748</v>
      </c>
    </row>
    <row r="154" spans="1:14" ht="15.75" thickBot="1" x14ac:dyDescent="0.25">
      <c r="A154" s="1053"/>
      <c r="B154" s="1057">
        <v>0.85</v>
      </c>
      <c r="C154" s="1058">
        <v>12.09</v>
      </c>
      <c r="D154" s="1058">
        <v>9.36</v>
      </c>
      <c r="E154" s="1058">
        <v>7.25</v>
      </c>
      <c r="F154" s="1059">
        <v>5.81</v>
      </c>
      <c r="I154" s="1053"/>
      <c r="J154" s="1057">
        <v>0.85</v>
      </c>
      <c r="K154" s="1051">
        <f t="shared" ref="K154:N161" si="12">C154*($T$2+1)</f>
        <v>12.419282296650717</v>
      </c>
      <c r="L154" s="1051">
        <f t="shared" si="12"/>
        <v>9.61492822966507</v>
      </c>
      <c r="M154" s="1051">
        <f t="shared" si="12"/>
        <v>7.4474604343025392</v>
      </c>
      <c r="N154" s="1051">
        <f t="shared" si="12"/>
        <v>5.9682407066617582</v>
      </c>
    </row>
    <row r="155" spans="1:14" ht="15.75" thickBot="1" x14ac:dyDescent="0.25">
      <c r="A155" s="1053"/>
      <c r="B155" s="1050">
        <v>0.8</v>
      </c>
      <c r="C155" s="1051">
        <v>12.84</v>
      </c>
      <c r="D155" s="1051">
        <v>9.9499999999999993</v>
      </c>
      <c r="E155" s="1051">
        <v>7.7</v>
      </c>
      <c r="F155" s="1052">
        <v>6.17</v>
      </c>
      <c r="I155" s="1053"/>
      <c r="J155" s="1050">
        <v>0.8</v>
      </c>
      <c r="K155" s="1051">
        <f t="shared" si="12"/>
        <v>13.189709238130289</v>
      </c>
      <c r="L155" s="1051">
        <f t="shared" si="12"/>
        <v>10.220997423629001</v>
      </c>
      <c r="M155" s="1051">
        <f t="shared" si="12"/>
        <v>7.9097165991902836</v>
      </c>
      <c r="N155" s="1051">
        <f t="shared" si="12"/>
        <v>6.3380456385719537</v>
      </c>
    </row>
    <row r="156" spans="1:14" ht="15.75" thickBot="1" x14ac:dyDescent="0.25">
      <c r="A156" s="1053"/>
      <c r="B156" s="1050">
        <v>0.75</v>
      </c>
      <c r="C156" s="1051">
        <v>13.7</v>
      </c>
      <c r="D156" s="1051">
        <v>10.61</v>
      </c>
      <c r="E156" s="1051">
        <v>8.2200000000000006</v>
      </c>
      <c r="F156" s="1052">
        <v>6.58</v>
      </c>
      <c r="I156" s="1053"/>
      <c r="J156" s="1050">
        <v>0.75</v>
      </c>
      <c r="K156" s="1051">
        <f t="shared" si="12"/>
        <v>14.073132131026867</v>
      </c>
      <c r="L156" s="1051">
        <f t="shared" si="12"/>
        <v>10.898973132131026</v>
      </c>
      <c r="M156" s="1051">
        <f t="shared" si="12"/>
        <v>8.4438792786161212</v>
      </c>
      <c r="N156" s="1051">
        <f t="shared" si="12"/>
        <v>6.7592123665807877</v>
      </c>
    </row>
    <row r="157" spans="1:14" ht="15.75" thickBot="1" x14ac:dyDescent="0.25">
      <c r="A157" s="1053"/>
      <c r="B157" s="1050">
        <v>0.7</v>
      </c>
      <c r="C157" s="1051">
        <v>14.68</v>
      </c>
      <c r="D157" s="1051">
        <v>11.37</v>
      </c>
      <c r="E157" s="1051">
        <v>8.8000000000000007</v>
      </c>
      <c r="F157" s="1052">
        <v>7.06</v>
      </c>
      <c r="I157" s="1053"/>
      <c r="J157" s="1050">
        <v>0.7</v>
      </c>
      <c r="K157" s="1051">
        <f t="shared" si="12"/>
        <v>15.079823334560176</v>
      </c>
      <c r="L157" s="1051">
        <f t="shared" si="12"/>
        <v>11.679672432830326</v>
      </c>
      <c r="M157" s="1051">
        <f t="shared" si="12"/>
        <v>9.0396761133603238</v>
      </c>
      <c r="N157" s="1051">
        <f t="shared" si="12"/>
        <v>7.2522856091277133</v>
      </c>
    </row>
    <row r="158" spans="1:14" ht="15.75" thickBot="1" x14ac:dyDescent="0.25">
      <c r="A158" s="1053"/>
      <c r="B158" s="1050">
        <v>0.65</v>
      </c>
      <c r="C158" s="1051">
        <v>15.81</v>
      </c>
      <c r="D158" s="1051">
        <v>12.24</v>
      </c>
      <c r="E158" s="1051">
        <v>9.48</v>
      </c>
      <c r="F158" s="1052">
        <v>7.6</v>
      </c>
      <c r="I158" s="1053"/>
      <c r="J158" s="1050">
        <v>0.65</v>
      </c>
      <c r="K158" s="1051">
        <f t="shared" si="12"/>
        <v>16.2405999263894</v>
      </c>
      <c r="L158" s="1051">
        <f t="shared" si="12"/>
        <v>12.573367684946632</v>
      </c>
      <c r="M158" s="1051">
        <f t="shared" si="12"/>
        <v>9.7381965403018036</v>
      </c>
      <c r="N158" s="1051">
        <f t="shared" si="12"/>
        <v>7.8069930069930065</v>
      </c>
    </row>
    <row r="159" spans="1:14" ht="15.75" thickBot="1" x14ac:dyDescent="0.25">
      <c r="A159" s="1053"/>
      <c r="B159" s="1050">
        <v>0.6</v>
      </c>
      <c r="C159" s="1051">
        <v>17.12</v>
      </c>
      <c r="D159" s="1051">
        <v>13.26</v>
      </c>
      <c r="E159" s="1051">
        <v>10.27</v>
      </c>
      <c r="F159" s="1052">
        <v>8.23</v>
      </c>
      <c r="I159" s="1053"/>
      <c r="J159" s="1050">
        <v>0.6</v>
      </c>
      <c r="K159" s="1051">
        <f t="shared" si="12"/>
        <v>17.58627898417372</v>
      </c>
      <c r="L159" s="1051">
        <f t="shared" si="12"/>
        <v>13.621148325358851</v>
      </c>
      <c r="M159" s="1051">
        <f t="shared" si="12"/>
        <v>10.549712918660287</v>
      </c>
      <c r="N159" s="1051">
        <f t="shared" si="12"/>
        <v>8.4541516378358477</v>
      </c>
    </row>
    <row r="160" spans="1:14" ht="15.75" thickBot="1" x14ac:dyDescent="0.25">
      <c r="A160" s="1053"/>
      <c r="B160" s="1050">
        <v>0.55000000000000004</v>
      </c>
      <c r="C160" s="1051">
        <v>18.68</v>
      </c>
      <c r="D160" s="1051">
        <v>14.47</v>
      </c>
      <c r="E160" s="1051">
        <v>11.21</v>
      </c>
      <c r="F160" s="1052">
        <v>8.98</v>
      </c>
      <c r="I160" s="1053"/>
      <c r="J160" s="1050">
        <v>0.55000000000000004</v>
      </c>
      <c r="K160" s="1051">
        <f t="shared" si="12"/>
        <v>19.188767022451231</v>
      </c>
      <c r="L160" s="1051">
        <f t="shared" si="12"/>
        <v>14.864103790945896</v>
      </c>
      <c r="M160" s="1051">
        <f t="shared" si="12"/>
        <v>11.515314685314685</v>
      </c>
      <c r="N160" s="1051">
        <f t="shared" si="12"/>
        <v>9.2245785793154216</v>
      </c>
    </row>
    <row r="161" spans="1:14" ht="15.75" thickBot="1" x14ac:dyDescent="0.25">
      <c r="A161" s="1060"/>
      <c r="B161" s="1050">
        <v>0.5</v>
      </c>
      <c r="C161" s="1051">
        <v>20.55</v>
      </c>
      <c r="D161" s="1051">
        <v>15.92</v>
      </c>
      <c r="E161" s="1051">
        <v>12.33</v>
      </c>
      <c r="F161" s="1052">
        <v>9.8800000000000008</v>
      </c>
      <c r="I161" s="1060"/>
      <c r="J161" s="1050">
        <v>0.5</v>
      </c>
      <c r="K161" s="1051">
        <f t="shared" si="12"/>
        <v>21.1096981965403</v>
      </c>
      <c r="L161" s="1051">
        <f t="shared" si="12"/>
        <v>16.353595877806402</v>
      </c>
      <c r="M161" s="1051">
        <f t="shared" si="12"/>
        <v>12.665818917924181</v>
      </c>
      <c r="N161" s="1051">
        <f t="shared" si="12"/>
        <v>10.14909090909091</v>
      </c>
    </row>
    <row r="162" spans="1:14" ht="16.5" thickBot="1" x14ac:dyDescent="0.25">
      <c r="A162" s="1038"/>
      <c r="I162" s="1038"/>
    </row>
    <row r="163" spans="1:14" ht="15.75" thickBot="1" x14ac:dyDescent="0.25">
      <c r="A163" s="1055" t="s">
        <v>360</v>
      </c>
      <c r="B163" s="1056" t="s">
        <v>545</v>
      </c>
      <c r="C163" s="1101" t="s">
        <v>546</v>
      </c>
      <c r="D163" s="1102"/>
      <c r="E163" s="1102"/>
      <c r="F163" s="1103"/>
      <c r="I163" s="1055" t="s">
        <v>360</v>
      </c>
      <c r="J163" s="1056" t="s">
        <v>545</v>
      </c>
      <c r="K163" s="1101" t="s">
        <v>546</v>
      </c>
      <c r="L163" s="1102"/>
      <c r="M163" s="1102"/>
      <c r="N163" s="1103"/>
    </row>
    <row r="164" spans="1:14" ht="15.75" thickBot="1" x14ac:dyDescent="0.25">
      <c r="A164" s="1047"/>
      <c r="B164" s="1049"/>
      <c r="C164" s="1041" t="s">
        <v>339</v>
      </c>
      <c r="D164" s="1034" t="s">
        <v>340</v>
      </c>
      <c r="E164" s="1034" t="s">
        <v>263</v>
      </c>
      <c r="F164" s="1034" t="s">
        <v>264</v>
      </c>
      <c r="I164" s="1047"/>
      <c r="J164" s="1049"/>
      <c r="K164" s="1041" t="s">
        <v>339</v>
      </c>
      <c r="L164" s="1034" t="s">
        <v>340</v>
      </c>
      <c r="M164" s="1034" t="s">
        <v>263</v>
      </c>
      <c r="N164" s="1034" t="s">
        <v>264</v>
      </c>
    </row>
    <row r="165" spans="1:14" ht="15.75" thickBot="1" x14ac:dyDescent="0.25">
      <c r="A165" s="1047" t="s">
        <v>555</v>
      </c>
      <c r="B165" s="1050">
        <v>0.9</v>
      </c>
      <c r="C165" s="1051">
        <v>22.84</v>
      </c>
      <c r="D165" s="1051">
        <v>17.690000000000001</v>
      </c>
      <c r="E165" s="1051">
        <v>13.71</v>
      </c>
      <c r="F165" s="1052">
        <v>10.96</v>
      </c>
      <c r="I165" s="1047" t="s">
        <v>555</v>
      </c>
      <c r="J165" s="1050">
        <v>0.9</v>
      </c>
      <c r="K165" s="1051">
        <f>C165*($T$2+1)</f>
        <v>23.462068457857931</v>
      </c>
      <c r="L165" s="1051">
        <f>D165*($T$2+1)</f>
        <v>18.171803459698197</v>
      </c>
      <c r="M165" s="1051">
        <f>E165*($T$2+1)</f>
        <v>14.083404490246595</v>
      </c>
      <c r="N165" s="1051">
        <f>F165*($T$2+1)</f>
        <v>11.258505704821495</v>
      </c>
    </row>
    <row r="166" spans="1:14" ht="15.75" thickBot="1" x14ac:dyDescent="0.25">
      <c r="A166" s="1053"/>
      <c r="B166" s="1050">
        <v>0.85</v>
      </c>
      <c r="C166" s="1051">
        <v>24.19</v>
      </c>
      <c r="D166" s="1051">
        <v>18.73</v>
      </c>
      <c r="E166" s="1051">
        <v>14.51</v>
      </c>
      <c r="F166" s="1052">
        <v>11.61</v>
      </c>
      <c r="I166" s="1053"/>
      <c r="J166" s="1050">
        <v>0.85</v>
      </c>
      <c r="K166" s="1051">
        <f t="shared" ref="K166:N173" si="13">C166*($T$2+1)</f>
        <v>24.848836952521165</v>
      </c>
      <c r="L166" s="1051">
        <f t="shared" si="13"/>
        <v>19.24012881854987</v>
      </c>
      <c r="M166" s="1051">
        <f t="shared" si="13"/>
        <v>14.905193227824807</v>
      </c>
      <c r="N166" s="1051">
        <f t="shared" si="13"/>
        <v>11.92620905410379</v>
      </c>
    </row>
    <row r="167" spans="1:14" ht="15.75" thickBot="1" x14ac:dyDescent="0.25">
      <c r="A167" s="1053"/>
      <c r="B167" s="1050">
        <v>0.8</v>
      </c>
      <c r="C167" s="1051">
        <v>25.7</v>
      </c>
      <c r="D167" s="1051">
        <v>19.899999999999999</v>
      </c>
      <c r="E167" s="1051">
        <v>15.42</v>
      </c>
      <c r="F167" s="1052">
        <v>12.33</v>
      </c>
      <c r="I167" s="1053"/>
      <c r="J167" s="1050">
        <v>0.8</v>
      </c>
      <c r="K167" s="1051">
        <f t="shared" si="13"/>
        <v>26.399963194700035</v>
      </c>
      <c r="L167" s="1051">
        <f t="shared" si="13"/>
        <v>20.441994847258002</v>
      </c>
      <c r="M167" s="1051">
        <f t="shared" si="13"/>
        <v>15.839977916820022</v>
      </c>
      <c r="N167" s="1051">
        <f t="shared" si="13"/>
        <v>12.665818917924181</v>
      </c>
    </row>
    <row r="168" spans="1:14" ht="15.75" thickBot="1" x14ac:dyDescent="0.25">
      <c r="A168" s="1053"/>
      <c r="B168" s="1050">
        <v>0.75</v>
      </c>
      <c r="C168" s="1051">
        <v>27.41</v>
      </c>
      <c r="D168" s="1051">
        <v>21.22</v>
      </c>
      <c r="E168" s="1051">
        <v>16.45</v>
      </c>
      <c r="F168" s="1052">
        <v>13.16</v>
      </c>
      <c r="I168" s="1053"/>
      <c r="J168" s="1050">
        <v>0.75</v>
      </c>
      <c r="K168" s="1051">
        <f t="shared" si="13"/>
        <v>28.156536621273464</v>
      </c>
      <c r="L168" s="1051">
        <f t="shared" si="13"/>
        <v>21.797946264262052</v>
      </c>
      <c r="M168" s="1051">
        <f t="shared" si="13"/>
        <v>16.898030916451969</v>
      </c>
      <c r="N168" s="1051">
        <f t="shared" si="13"/>
        <v>13.518424733161575</v>
      </c>
    </row>
    <row r="169" spans="1:14" ht="15.75" thickBot="1" x14ac:dyDescent="0.25">
      <c r="A169" s="1053"/>
      <c r="B169" s="1050">
        <v>0.7</v>
      </c>
      <c r="C169" s="1051">
        <v>29.37</v>
      </c>
      <c r="D169" s="1051">
        <v>22.74</v>
      </c>
      <c r="E169" s="1051">
        <v>17.62</v>
      </c>
      <c r="F169" s="1052">
        <v>14.1</v>
      </c>
      <c r="I169" s="1053"/>
      <c r="J169" s="1050">
        <v>0.7</v>
      </c>
      <c r="K169" s="1051">
        <f t="shared" si="13"/>
        <v>30.169919028340079</v>
      </c>
      <c r="L169" s="1051">
        <f t="shared" si="13"/>
        <v>23.359344865660653</v>
      </c>
      <c r="M169" s="1051">
        <f t="shared" si="13"/>
        <v>18.099896945160104</v>
      </c>
      <c r="N169" s="1051">
        <f t="shared" si="13"/>
        <v>14.484026499815972</v>
      </c>
    </row>
    <row r="170" spans="1:14" ht="15.75" thickBot="1" x14ac:dyDescent="0.25">
      <c r="A170" s="1053"/>
      <c r="B170" s="1050">
        <v>0.65</v>
      </c>
      <c r="C170" s="1051">
        <v>31.63</v>
      </c>
      <c r="D170" s="1051">
        <v>24.49</v>
      </c>
      <c r="E170" s="1051">
        <v>18.98</v>
      </c>
      <c r="F170" s="1052">
        <v>15.18</v>
      </c>
      <c r="I170" s="1053"/>
      <c r="J170" s="1050">
        <v>0.65</v>
      </c>
      <c r="K170" s="1051">
        <f t="shared" si="13"/>
        <v>32.491472211998527</v>
      </c>
      <c r="L170" s="1051">
        <f t="shared" si="13"/>
        <v>25.157007729112991</v>
      </c>
      <c r="M170" s="1051">
        <f t="shared" si="13"/>
        <v>19.49693779904306</v>
      </c>
      <c r="N170" s="1051">
        <f t="shared" si="13"/>
        <v>15.593441295546558</v>
      </c>
    </row>
    <row r="171" spans="1:14" ht="15.75" thickBot="1" x14ac:dyDescent="0.25">
      <c r="A171" s="1053"/>
      <c r="B171" s="1050">
        <v>0.6</v>
      </c>
      <c r="C171" s="1051">
        <v>34.270000000000003</v>
      </c>
      <c r="D171" s="1051">
        <v>26.53</v>
      </c>
      <c r="E171" s="1051">
        <v>20.56</v>
      </c>
      <c r="F171" s="1052">
        <v>16.440000000000001</v>
      </c>
      <c r="I171" s="1053"/>
      <c r="J171" s="1050">
        <v>0.6</v>
      </c>
      <c r="K171" s="1051">
        <f t="shared" si="13"/>
        <v>35.203375046006627</v>
      </c>
      <c r="L171" s="1051">
        <f t="shared" si="13"/>
        <v>27.252569009937432</v>
      </c>
      <c r="M171" s="1051">
        <f t="shared" si="13"/>
        <v>21.119970555760027</v>
      </c>
      <c r="N171" s="1051">
        <f t="shared" si="13"/>
        <v>16.887758557232242</v>
      </c>
    </row>
    <row r="172" spans="1:14" ht="15.75" thickBot="1" x14ac:dyDescent="0.25">
      <c r="A172" s="1053"/>
      <c r="B172" s="1050">
        <v>0.55000000000000004</v>
      </c>
      <c r="C172" s="1051">
        <v>37.380000000000003</v>
      </c>
      <c r="D172" s="1051">
        <v>28.94</v>
      </c>
      <c r="E172" s="1051">
        <v>22.43</v>
      </c>
      <c r="F172" s="1052">
        <v>17.940000000000001</v>
      </c>
      <c r="I172" s="1053"/>
      <c r="J172" s="1050">
        <v>0.55000000000000004</v>
      </c>
      <c r="K172" s="1051">
        <f t="shared" si="13"/>
        <v>38.398078763341921</v>
      </c>
      <c r="L172" s="1051">
        <f t="shared" si="13"/>
        <v>29.728207581891791</v>
      </c>
      <c r="M172" s="1051">
        <f t="shared" si="13"/>
        <v>23.040901729849097</v>
      </c>
      <c r="N172" s="1051">
        <f t="shared" si="13"/>
        <v>18.428612440191387</v>
      </c>
    </row>
    <row r="173" spans="1:14" ht="15.75" thickBot="1" x14ac:dyDescent="0.25">
      <c r="A173" s="1054"/>
      <c r="B173" s="1050">
        <v>0.5</v>
      </c>
      <c r="C173" s="1051">
        <v>41.12</v>
      </c>
      <c r="D173" s="1051">
        <v>31.84</v>
      </c>
      <c r="E173" s="1051">
        <v>24.67</v>
      </c>
      <c r="F173" s="1052">
        <v>19.73</v>
      </c>
      <c r="I173" s="1054"/>
      <c r="J173" s="1050">
        <v>0.5</v>
      </c>
      <c r="K173" s="1051">
        <f t="shared" si="13"/>
        <v>42.239941111520054</v>
      </c>
      <c r="L173" s="1051">
        <f t="shared" si="13"/>
        <v>32.707191755612804</v>
      </c>
      <c r="M173" s="1051">
        <f t="shared" si="13"/>
        <v>25.341910195068092</v>
      </c>
      <c r="N173" s="1051">
        <f t="shared" si="13"/>
        <v>20.267364740522634</v>
      </c>
    </row>
    <row r="174" spans="1:14" ht="16.5" thickBot="1" x14ac:dyDescent="0.25">
      <c r="A174" s="1038"/>
      <c r="I174" s="1038"/>
    </row>
    <row r="175" spans="1:14" ht="15.75" thickBot="1" x14ac:dyDescent="0.25">
      <c r="A175" s="1055" t="s">
        <v>316</v>
      </c>
      <c r="B175" s="1061" t="s">
        <v>545</v>
      </c>
      <c r="C175" s="1101" t="s">
        <v>546</v>
      </c>
      <c r="D175" s="1102"/>
      <c r="E175" s="1102"/>
      <c r="F175" s="1103"/>
      <c r="I175" s="1055" t="s">
        <v>316</v>
      </c>
      <c r="J175" s="1061" t="s">
        <v>545</v>
      </c>
      <c r="K175" s="1101" t="s">
        <v>546</v>
      </c>
      <c r="L175" s="1102"/>
      <c r="M175" s="1102"/>
      <c r="N175" s="1103"/>
    </row>
    <row r="176" spans="1:14" ht="15.75" thickBot="1" x14ac:dyDescent="0.25">
      <c r="A176" s="1062"/>
      <c r="B176" s="1049"/>
      <c r="C176" s="1041" t="s">
        <v>339</v>
      </c>
      <c r="D176" s="1034" t="s">
        <v>340</v>
      </c>
      <c r="E176" s="1034" t="s">
        <v>263</v>
      </c>
      <c r="F176" s="1034" t="s">
        <v>264</v>
      </c>
      <c r="I176" s="1062"/>
      <c r="J176" s="1049"/>
      <c r="K176" s="1041" t="s">
        <v>339</v>
      </c>
      <c r="L176" s="1034" t="s">
        <v>340</v>
      </c>
      <c r="M176" s="1034" t="s">
        <v>263</v>
      </c>
      <c r="N176" s="1034" t="s">
        <v>264</v>
      </c>
    </row>
    <row r="177" spans="1:14" ht="15.75" thickBot="1" x14ac:dyDescent="0.25">
      <c r="A177" s="1062" t="s">
        <v>554</v>
      </c>
      <c r="B177" s="1050">
        <v>0.9</v>
      </c>
      <c r="C177" s="1051">
        <v>5.92</v>
      </c>
      <c r="D177" s="1051">
        <v>4.58</v>
      </c>
      <c r="E177" s="1051">
        <v>3.55</v>
      </c>
      <c r="F177" s="1052">
        <v>2.85</v>
      </c>
      <c r="I177" s="1062" t="s">
        <v>554</v>
      </c>
      <c r="J177" s="1050">
        <v>0.9</v>
      </c>
      <c r="K177" s="1051">
        <f>C177*($T$2+1)</f>
        <v>6.0812366580787627</v>
      </c>
      <c r="L177" s="1051">
        <f>D177*($T$2+1)</f>
        <v>4.7047405226352597</v>
      </c>
      <c r="M177" s="1051">
        <f>E177*($T$2+1)</f>
        <v>3.6466875230033122</v>
      </c>
      <c r="N177" s="1051">
        <f>F177*($T$2+1)</f>
        <v>2.9276223776223778</v>
      </c>
    </row>
    <row r="178" spans="1:14" ht="15.75" thickBot="1" x14ac:dyDescent="0.25">
      <c r="A178" s="1053"/>
      <c r="B178" s="1050">
        <v>0.85</v>
      </c>
      <c r="C178" s="1051">
        <v>6.27</v>
      </c>
      <c r="D178" s="1051">
        <v>4.8499999999999996</v>
      </c>
      <c r="E178" s="1051">
        <v>3.76</v>
      </c>
      <c r="F178" s="1052">
        <v>3.01</v>
      </c>
      <c r="I178" s="1053"/>
      <c r="J178" s="1050">
        <v>0.85</v>
      </c>
      <c r="K178" s="1051">
        <f t="shared" ref="K178:N185" si="14">C178*($T$2+1)</f>
        <v>6.4407692307692299</v>
      </c>
      <c r="L178" s="1051">
        <f t="shared" si="14"/>
        <v>4.9820942215679054</v>
      </c>
      <c r="M178" s="1051">
        <f t="shared" si="14"/>
        <v>3.8624070666175925</v>
      </c>
      <c r="N178" s="1051">
        <f t="shared" si="14"/>
        <v>3.0919801251380195</v>
      </c>
    </row>
    <row r="179" spans="1:14" ht="15.75" thickBot="1" x14ac:dyDescent="0.25">
      <c r="A179" s="1053"/>
      <c r="B179" s="1050">
        <v>0.8</v>
      </c>
      <c r="C179" s="1051">
        <v>6.66</v>
      </c>
      <c r="D179" s="1051">
        <v>5.15</v>
      </c>
      <c r="E179" s="1051">
        <v>3.99</v>
      </c>
      <c r="F179" s="1052">
        <v>3.2</v>
      </c>
      <c r="I179" s="1053"/>
      <c r="J179" s="1050">
        <v>0.8</v>
      </c>
      <c r="K179" s="1051">
        <f t="shared" si="14"/>
        <v>6.8413912403386083</v>
      </c>
      <c r="L179" s="1051">
        <f t="shared" si="14"/>
        <v>5.2902649981597349</v>
      </c>
      <c r="M179" s="1051">
        <f t="shared" si="14"/>
        <v>4.0986713286713288</v>
      </c>
      <c r="N179" s="1051">
        <f t="shared" si="14"/>
        <v>3.287154950312845</v>
      </c>
    </row>
    <row r="180" spans="1:14" ht="15.75" thickBot="1" x14ac:dyDescent="0.25">
      <c r="A180" s="1053"/>
      <c r="B180" s="1050">
        <v>0.75</v>
      </c>
      <c r="C180" s="1051">
        <v>7.1</v>
      </c>
      <c r="D180" s="1051">
        <v>5.5</v>
      </c>
      <c r="E180" s="1051">
        <v>4.26</v>
      </c>
      <c r="F180" s="1052">
        <v>3.41</v>
      </c>
      <c r="I180" s="1053"/>
      <c r="J180" s="1050">
        <v>0.75</v>
      </c>
      <c r="K180" s="1051">
        <f t="shared" si="14"/>
        <v>7.2933750460066245</v>
      </c>
      <c r="L180" s="1051">
        <f t="shared" si="14"/>
        <v>5.6497975708502022</v>
      </c>
      <c r="M180" s="1051">
        <f t="shared" si="14"/>
        <v>4.3760250276039745</v>
      </c>
      <c r="N180" s="1051">
        <f t="shared" si="14"/>
        <v>3.5028744939271257</v>
      </c>
    </row>
    <row r="181" spans="1:14" ht="15.75" thickBot="1" x14ac:dyDescent="0.25">
      <c r="A181" s="1053"/>
      <c r="B181" s="1050">
        <v>0.7</v>
      </c>
      <c r="C181" s="1051">
        <v>7.61</v>
      </c>
      <c r="D181" s="1051">
        <v>5.89</v>
      </c>
      <c r="E181" s="1051">
        <v>4.5599999999999996</v>
      </c>
      <c r="F181" s="1052">
        <v>3.66</v>
      </c>
      <c r="I181" s="1053"/>
      <c r="J181" s="1050">
        <v>0.7</v>
      </c>
      <c r="K181" s="1051">
        <f t="shared" si="14"/>
        <v>7.8172653662127347</v>
      </c>
      <c r="L181" s="1051">
        <f t="shared" si="14"/>
        <v>6.0504195804195797</v>
      </c>
      <c r="M181" s="1051">
        <f t="shared" si="14"/>
        <v>4.6841958041958032</v>
      </c>
      <c r="N181" s="1051">
        <f t="shared" si="14"/>
        <v>3.7596834744203167</v>
      </c>
    </row>
    <row r="182" spans="1:14" ht="15.75" thickBot="1" x14ac:dyDescent="0.25">
      <c r="A182" s="1053"/>
      <c r="B182" s="1050">
        <v>0.65</v>
      </c>
      <c r="C182" s="1051">
        <v>8.19</v>
      </c>
      <c r="D182" s="1051">
        <v>6.34</v>
      </c>
      <c r="E182" s="1051">
        <v>4.91</v>
      </c>
      <c r="F182" s="1052">
        <v>3.94</v>
      </c>
      <c r="I182" s="1053"/>
      <c r="J182" s="1050">
        <v>0.65</v>
      </c>
      <c r="K182" s="1051">
        <f t="shared" si="14"/>
        <v>8.4130622009569365</v>
      </c>
      <c r="L182" s="1051">
        <f t="shared" si="14"/>
        <v>6.5126757453073241</v>
      </c>
      <c r="M182" s="1051">
        <f t="shared" si="14"/>
        <v>5.0437283768862713</v>
      </c>
      <c r="N182" s="1051">
        <f t="shared" si="14"/>
        <v>4.0473095325726902</v>
      </c>
    </row>
    <row r="183" spans="1:14" ht="15.75" thickBot="1" x14ac:dyDescent="0.25">
      <c r="A183" s="1053"/>
      <c r="B183" s="1050">
        <v>0.6</v>
      </c>
      <c r="C183" s="1051">
        <v>8.8800000000000008</v>
      </c>
      <c r="D183" s="1051">
        <v>6.87</v>
      </c>
      <c r="E183" s="1051">
        <v>5.32</v>
      </c>
      <c r="F183" s="1052">
        <v>4.2699999999999996</v>
      </c>
      <c r="I183" s="1053"/>
      <c r="J183" s="1050">
        <v>0.6</v>
      </c>
      <c r="K183" s="1051">
        <f t="shared" si="14"/>
        <v>9.1218549871181462</v>
      </c>
      <c r="L183" s="1051">
        <f t="shared" si="14"/>
        <v>7.057110783952889</v>
      </c>
      <c r="M183" s="1051">
        <f t="shared" si="14"/>
        <v>5.4648951048951053</v>
      </c>
      <c r="N183" s="1051">
        <f t="shared" si="14"/>
        <v>4.3862973868237018</v>
      </c>
    </row>
    <row r="184" spans="1:14" ht="15.75" thickBot="1" x14ac:dyDescent="0.25">
      <c r="A184" s="1053"/>
      <c r="B184" s="1050">
        <v>0.55000000000000004</v>
      </c>
      <c r="C184" s="1051">
        <v>9.68</v>
      </c>
      <c r="D184" s="1051">
        <v>7.49</v>
      </c>
      <c r="E184" s="1051">
        <v>5.81</v>
      </c>
      <c r="F184" s="1052">
        <v>4.66</v>
      </c>
      <c r="I184" s="1053"/>
      <c r="J184" s="1050">
        <v>0.55000000000000004</v>
      </c>
      <c r="K184" s="1051">
        <f t="shared" si="14"/>
        <v>9.943643724696356</v>
      </c>
      <c r="L184" s="1051">
        <f t="shared" si="14"/>
        <v>7.6939970555760029</v>
      </c>
      <c r="M184" s="1051">
        <f t="shared" si="14"/>
        <v>5.9682407066617582</v>
      </c>
      <c r="N184" s="1051">
        <f t="shared" si="14"/>
        <v>4.7869193963930803</v>
      </c>
    </row>
    <row r="185" spans="1:14" ht="15.75" thickBot="1" x14ac:dyDescent="0.25">
      <c r="A185" s="1054"/>
      <c r="B185" s="1050">
        <v>0.5</v>
      </c>
      <c r="C185" s="1051">
        <v>10.65</v>
      </c>
      <c r="D185" s="1051">
        <v>8.24</v>
      </c>
      <c r="E185" s="1051">
        <v>6.39</v>
      </c>
      <c r="F185" s="1052">
        <v>5.12</v>
      </c>
      <c r="I185" s="1054"/>
      <c r="J185" s="1050">
        <v>0.5</v>
      </c>
      <c r="K185" s="1051">
        <f t="shared" si="14"/>
        <v>10.940062569009937</v>
      </c>
      <c r="L185" s="1051">
        <f t="shared" si="14"/>
        <v>8.4644239970555759</v>
      </c>
      <c r="M185" s="1051">
        <f t="shared" si="14"/>
        <v>6.5640375414059617</v>
      </c>
      <c r="N185" s="1051">
        <f t="shared" si="14"/>
        <v>5.259447920500552</v>
      </c>
    </row>
    <row r="186" spans="1:14" ht="16.5" thickBot="1" x14ac:dyDescent="0.25">
      <c r="A186" s="1038"/>
      <c r="I186" s="1038"/>
    </row>
    <row r="187" spans="1:14" ht="15.75" thickBot="1" x14ac:dyDescent="0.25">
      <c r="A187" s="1055" t="s">
        <v>316</v>
      </c>
      <c r="B187" s="1056" t="s">
        <v>545</v>
      </c>
      <c r="C187" s="1101" t="s">
        <v>546</v>
      </c>
      <c r="D187" s="1102"/>
      <c r="E187" s="1102"/>
      <c r="F187" s="1103"/>
      <c r="I187" s="1055" t="s">
        <v>316</v>
      </c>
      <c r="J187" s="1056" t="s">
        <v>545</v>
      </c>
      <c r="K187" s="1101" t="s">
        <v>546</v>
      </c>
      <c r="L187" s="1102"/>
      <c r="M187" s="1102"/>
      <c r="N187" s="1103"/>
    </row>
    <row r="188" spans="1:14" ht="15.75" thickBot="1" x14ac:dyDescent="0.25">
      <c r="A188" s="1047"/>
      <c r="B188" s="1049"/>
      <c r="C188" s="1041" t="s">
        <v>339</v>
      </c>
      <c r="D188" s="1034" t="s">
        <v>340</v>
      </c>
      <c r="E188" s="1034" t="s">
        <v>263</v>
      </c>
      <c r="F188" s="1034" t="s">
        <v>264</v>
      </c>
      <c r="I188" s="1047"/>
      <c r="J188" s="1049"/>
      <c r="K188" s="1041" t="s">
        <v>339</v>
      </c>
      <c r="L188" s="1034" t="s">
        <v>340</v>
      </c>
      <c r="M188" s="1034" t="s">
        <v>263</v>
      </c>
      <c r="N188" s="1034" t="s">
        <v>264</v>
      </c>
    </row>
    <row r="189" spans="1:14" ht="15.75" thickBot="1" x14ac:dyDescent="0.25">
      <c r="A189" s="1047" t="s">
        <v>555</v>
      </c>
      <c r="B189" s="1050">
        <v>0.9</v>
      </c>
      <c r="C189" s="1051">
        <v>11.84</v>
      </c>
      <c r="D189" s="1051">
        <v>9.17</v>
      </c>
      <c r="E189" s="1051">
        <v>7.11</v>
      </c>
      <c r="F189" s="1052">
        <v>5.68</v>
      </c>
      <c r="I189" s="1047" t="s">
        <v>555</v>
      </c>
      <c r="J189" s="1050">
        <v>0.9</v>
      </c>
      <c r="K189" s="1051">
        <f>C189*($T$2+1)</f>
        <v>12.162473316157525</v>
      </c>
      <c r="L189" s="1051">
        <f>D189*($T$2+1)</f>
        <v>9.4197534044902458</v>
      </c>
      <c r="M189" s="1051">
        <f>E189*($T$2+1)</f>
        <v>7.3036474052263527</v>
      </c>
      <c r="N189" s="1051">
        <f>F189*($T$2+1)</f>
        <v>5.834700036805299</v>
      </c>
    </row>
    <row r="190" spans="1:14" ht="15.75" thickBot="1" x14ac:dyDescent="0.25">
      <c r="A190" s="1053"/>
      <c r="B190" s="1050">
        <v>0.85</v>
      </c>
      <c r="C190" s="1051">
        <v>12.53</v>
      </c>
      <c r="D190" s="1051">
        <v>9.7100000000000009</v>
      </c>
      <c r="E190" s="1051">
        <v>7.53</v>
      </c>
      <c r="F190" s="1052">
        <v>6.01</v>
      </c>
      <c r="I190" s="1053"/>
      <c r="J190" s="1050">
        <v>0.85</v>
      </c>
      <c r="K190" s="1051">
        <f t="shared" ref="K190:N197" si="15">C190*($T$2+1)</f>
        <v>12.871266102318733</v>
      </c>
      <c r="L190" s="1051">
        <f t="shared" si="15"/>
        <v>9.974460802355539</v>
      </c>
      <c r="M190" s="1051">
        <f t="shared" si="15"/>
        <v>7.7350864924549132</v>
      </c>
      <c r="N190" s="1051">
        <f t="shared" si="15"/>
        <v>6.1736878910563115</v>
      </c>
    </row>
    <row r="191" spans="1:14" ht="15.75" thickBot="1" x14ac:dyDescent="0.25">
      <c r="A191" s="1053"/>
      <c r="B191" s="1050">
        <v>0.8</v>
      </c>
      <c r="C191" s="1051">
        <v>13.32</v>
      </c>
      <c r="D191" s="1051">
        <v>10.32</v>
      </c>
      <c r="E191" s="1051">
        <v>8</v>
      </c>
      <c r="F191" s="1052">
        <v>6.39</v>
      </c>
      <c r="I191" s="1053"/>
      <c r="J191" s="1050">
        <v>0.8</v>
      </c>
      <c r="K191" s="1051">
        <f t="shared" si="15"/>
        <v>13.682782480677217</v>
      </c>
      <c r="L191" s="1051">
        <f t="shared" si="15"/>
        <v>10.601074714758925</v>
      </c>
      <c r="M191" s="1051">
        <f t="shared" si="15"/>
        <v>8.2178873757821123</v>
      </c>
      <c r="N191" s="1051">
        <f t="shared" si="15"/>
        <v>6.5640375414059617</v>
      </c>
    </row>
    <row r="192" spans="1:14" ht="15.75" thickBot="1" x14ac:dyDescent="0.25">
      <c r="A192" s="1053"/>
      <c r="B192" s="1050">
        <v>0.75</v>
      </c>
      <c r="C192" s="1051">
        <v>14.2</v>
      </c>
      <c r="D192" s="1051">
        <v>11.01</v>
      </c>
      <c r="E192" s="1051">
        <v>8.5299999999999994</v>
      </c>
      <c r="F192" s="1052">
        <v>6.82</v>
      </c>
      <c r="I192" s="1053"/>
      <c r="J192" s="1050">
        <v>0.75</v>
      </c>
      <c r="K192" s="1051">
        <f t="shared" si="15"/>
        <v>14.586750092013249</v>
      </c>
      <c r="L192" s="1051">
        <f t="shared" si="15"/>
        <v>11.309867500920133</v>
      </c>
      <c r="M192" s="1051">
        <f t="shared" si="15"/>
        <v>8.7623224144276772</v>
      </c>
      <c r="N192" s="1051">
        <f t="shared" si="15"/>
        <v>7.0057489878542514</v>
      </c>
    </row>
    <row r="193" spans="1:14" ht="15.75" thickBot="1" x14ac:dyDescent="0.25">
      <c r="A193" s="1053"/>
      <c r="B193" s="1050">
        <v>0.7</v>
      </c>
      <c r="C193" s="1051">
        <v>15.22</v>
      </c>
      <c r="D193" s="1051">
        <v>11.79</v>
      </c>
      <c r="E193" s="1051">
        <v>9.14</v>
      </c>
      <c r="F193" s="1052">
        <v>7.3</v>
      </c>
      <c r="I193" s="1053"/>
      <c r="J193" s="1050">
        <v>0.7</v>
      </c>
      <c r="K193" s="1051">
        <f t="shared" si="15"/>
        <v>15.634530732425469</v>
      </c>
      <c r="L193" s="1051">
        <f t="shared" si="15"/>
        <v>12.111111520058888</v>
      </c>
      <c r="M193" s="1051">
        <f t="shared" si="15"/>
        <v>9.3889363268310646</v>
      </c>
      <c r="N193" s="1051">
        <f t="shared" si="15"/>
        <v>7.4988222304011769</v>
      </c>
    </row>
    <row r="194" spans="1:14" ht="15.75" thickBot="1" x14ac:dyDescent="0.25">
      <c r="A194" s="1053"/>
      <c r="B194" s="1050">
        <v>0.65</v>
      </c>
      <c r="C194" s="1051">
        <v>16.39</v>
      </c>
      <c r="D194" s="1051">
        <v>12.7</v>
      </c>
      <c r="E194" s="1051">
        <v>9.84</v>
      </c>
      <c r="F194" s="1052">
        <v>7.86</v>
      </c>
      <c r="I194" s="1053"/>
      <c r="J194" s="1050">
        <v>0.65</v>
      </c>
      <c r="K194" s="1051">
        <f t="shared" si="15"/>
        <v>16.836396761133603</v>
      </c>
      <c r="L194" s="1051">
        <f t="shared" si="15"/>
        <v>13.045896209054103</v>
      </c>
      <c r="M194" s="1051">
        <f t="shared" si="15"/>
        <v>10.108001472211997</v>
      </c>
      <c r="N194" s="1051">
        <f t="shared" si="15"/>
        <v>8.0740743467059257</v>
      </c>
    </row>
    <row r="195" spans="1:14" ht="15.75" thickBot="1" x14ac:dyDescent="0.25">
      <c r="A195" s="1053"/>
      <c r="B195" s="1050">
        <v>0.6</v>
      </c>
      <c r="C195" s="1051">
        <v>17.75</v>
      </c>
      <c r="D195" s="1051">
        <v>13.76</v>
      </c>
      <c r="E195" s="1051">
        <v>10.66</v>
      </c>
      <c r="F195" s="1052">
        <v>8.52</v>
      </c>
      <c r="I195" s="1053"/>
      <c r="J195" s="1050">
        <v>0.6</v>
      </c>
      <c r="K195" s="1051">
        <f t="shared" si="15"/>
        <v>18.233437615016562</v>
      </c>
      <c r="L195" s="1051">
        <f t="shared" si="15"/>
        <v>14.134766286345233</v>
      </c>
      <c r="M195" s="1051">
        <f t="shared" si="15"/>
        <v>10.950334928229665</v>
      </c>
      <c r="N195" s="1051">
        <f t="shared" si="15"/>
        <v>8.752050055207949</v>
      </c>
    </row>
    <row r="196" spans="1:14" ht="15.75" thickBot="1" x14ac:dyDescent="0.25">
      <c r="A196" s="1053"/>
      <c r="B196" s="1050">
        <v>0.55000000000000004</v>
      </c>
      <c r="C196" s="1051">
        <v>19.37</v>
      </c>
      <c r="D196" s="1051">
        <v>15.01</v>
      </c>
      <c r="E196" s="1051">
        <v>11.63</v>
      </c>
      <c r="F196" s="1052">
        <v>9.2899999999999991</v>
      </c>
      <c r="I196" s="1053"/>
      <c r="J196" s="1050">
        <v>0.55000000000000004</v>
      </c>
      <c r="K196" s="1051">
        <f t="shared" si="15"/>
        <v>19.897559808612439</v>
      </c>
      <c r="L196" s="1051">
        <f t="shared" si="15"/>
        <v>15.418811188811189</v>
      </c>
      <c r="M196" s="1051">
        <f t="shared" si="15"/>
        <v>11.946753772543246</v>
      </c>
      <c r="N196" s="1051">
        <f t="shared" si="15"/>
        <v>9.5430217151269776</v>
      </c>
    </row>
    <row r="197" spans="1:14" ht="15.75" thickBot="1" x14ac:dyDescent="0.25">
      <c r="A197" s="1054"/>
      <c r="B197" s="1050">
        <v>0.5</v>
      </c>
      <c r="C197" s="1051">
        <v>21.31</v>
      </c>
      <c r="D197" s="1051">
        <v>16.510000000000002</v>
      </c>
      <c r="E197" s="1051">
        <v>12.8</v>
      </c>
      <c r="F197" s="1052">
        <v>10.220000000000001</v>
      </c>
      <c r="I197" s="1054"/>
      <c r="J197" s="1050">
        <v>0.5</v>
      </c>
      <c r="K197" s="1051">
        <f t="shared" si="15"/>
        <v>21.890397497239601</v>
      </c>
      <c r="L197" s="1051">
        <f t="shared" si="15"/>
        <v>16.959665071770335</v>
      </c>
      <c r="M197" s="1051">
        <f t="shared" si="15"/>
        <v>13.14861980125138</v>
      </c>
      <c r="N197" s="1051">
        <f t="shared" si="15"/>
        <v>10.498351122561649</v>
      </c>
    </row>
  </sheetData>
  <mergeCells count="60">
    <mergeCell ref="A2:F2"/>
    <mergeCell ref="I2:N2"/>
    <mergeCell ref="A3:A13"/>
    <mergeCell ref="C3:F3"/>
    <mergeCell ref="I3:I13"/>
    <mergeCell ref="K3:N3"/>
    <mergeCell ref="A15:A25"/>
    <mergeCell ref="C15:F15"/>
    <mergeCell ref="I15:I25"/>
    <mergeCell ref="K15:N15"/>
    <mergeCell ref="A27:A37"/>
    <mergeCell ref="C27:F27"/>
    <mergeCell ref="I27:I37"/>
    <mergeCell ref="K27:N27"/>
    <mergeCell ref="A39:A49"/>
    <mergeCell ref="C39:F39"/>
    <mergeCell ref="I39:I49"/>
    <mergeCell ref="K39:N39"/>
    <mergeCell ref="A51:A61"/>
    <mergeCell ref="C51:G51"/>
    <mergeCell ref="I51:I61"/>
    <mergeCell ref="K51:O51"/>
    <mergeCell ref="A63:A73"/>
    <mergeCell ref="C63:G63"/>
    <mergeCell ref="I63:I73"/>
    <mergeCell ref="K63:O63"/>
    <mergeCell ref="A74:F74"/>
    <mergeCell ref="I74:N74"/>
    <mergeCell ref="A75:F75"/>
    <mergeCell ref="I75:N75"/>
    <mergeCell ref="A76:A86"/>
    <mergeCell ref="C76:F76"/>
    <mergeCell ref="I76:I86"/>
    <mergeCell ref="K76:N76"/>
    <mergeCell ref="A88:A98"/>
    <mergeCell ref="C88:F88"/>
    <mergeCell ref="I88:I98"/>
    <mergeCell ref="K88:N88"/>
    <mergeCell ref="A100:A110"/>
    <mergeCell ref="C100:F100"/>
    <mergeCell ref="I100:I110"/>
    <mergeCell ref="K100:N100"/>
    <mergeCell ref="A112:A122"/>
    <mergeCell ref="C112:F112"/>
    <mergeCell ref="I112:I122"/>
    <mergeCell ref="K112:N112"/>
    <mergeCell ref="A126:F126"/>
    <mergeCell ref="I126:N126"/>
    <mergeCell ref="C127:F127"/>
    <mergeCell ref="K127:N127"/>
    <mergeCell ref="C139:F139"/>
    <mergeCell ref="K139:N139"/>
    <mergeCell ref="C151:F151"/>
    <mergeCell ref="K151:N151"/>
    <mergeCell ref="C163:F163"/>
    <mergeCell ref="K163:N163"/>
    <mergeCell ref="C175:F175"/>
    <mergeCell ref="K175:N175"/>
    <mergeCell ref="C187:F187"/>
    <mergeCell ref="K187:N187"/>
  </mergeCells>
  <pageMargins left="0.7" right="0.7" top="0.75" bottom="0.75" header="0.3" footer="0.3"/>
  <pageSetup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6"/>
  <sheetViews>
    <sheetView topLeftCell="BH1" workbookViewId="0">
      <selection activeCell="BV31" sqref="BV31"/>
    </sheetView>
  </sheetViews>
  <sheetFormatPr defaultColWidth="8.75" defaultRowHeight="12.75" x14ac:dyDescent="0.2"/>
  <cols>
    <col min="1" max="1" width="34.625" style="1068" customWidth="1"/>
    <col min="2" max="2" width="11.625" style="1073" customWidth="1"/>
    <col min="3" max="61" width="6.875" style="1068" customWidth="1"/>
    <col min="62" max="73" width="8.125" style="1068" customWidth="1"/>
    <col min="74" max="82" width="6.875" style="1068" customWidth="1"/>
    <col min="83" max="16384" width="8.75" style="1068"/>
  </cols>
  <sheetData>
    <row r="1" spans="1:83" ht="18" x14ac:dyDescent="0.25">
      <c r="A1" s="1066" t="s">
        <v>444</v>
      </c>
      <c r="B1" s="1067"/>
    </row>
    <row r="2" spans="1:83" ht="15.75" x14ac:dyDescent="0.25">
      <c r="A2" s="1069" t="s">
        <v>558</v>
      </c>
      <c r="B2" s="1070"/>
    </row>
    <row r="3" spans="1:83" ht="15.75" thickBot="1" x14ac:dyDescent="0.3">
      <c r="A3" s="1071" t="s">
        <v>445</v>
      </c>
      <c r="B3" s="1072"/>
    </row>
    <row r="6" spans="1:83" x14ac:dyDescent="0.2">
      <c r="BA6" s="1074" t="s">
        <v>559</v>
      </c>
      <c r="BB6" s="1074" t="s">
        <v>559</v>
      </c>
      <c r="BC6" s="1074" t="s">
        <v>559</v>
      </c>
      <c r="BD6" s="1074" t="s">
        <v>559</v>
      </c>
      <c r="BE6" s="1074" t="s">
        <v>560</v>
      </c>
      <c r="BF6" s="1074" t="s">
        <v>560</v>
      </c>
      <c r="BG6" s="1074" t="s">
        <v>560</v>
      </c>
      <c r="BH6" s="1074" t="s">
        <v>560</v>
      </c>
      <c r="BI6" s="945" t="s">
        <v>446</v>
      </c>
      <c r="BJ6" s="945" t="s">
        <v>446</v>
      </c>
      <c r="BK6" s="945" t="s">
        <v>446</v>
      </c>
      <c r="BL6" s="945" t="s">
        <v>446</v>
      </c>
      <c r="BM6" s="946" t="s">
        <v>447</v>
      </c>
      <c r="BN6" s="946" t="s">
        <v>447</v>
      </c>
      <c r="BO6" s="946" t="s">
        <v>447</v>
      </c>
      <c r="BP6" s="946" t="s">
        <v>447</v>
      </c>
      <c r="BQ6" s="947" t="s">
        <v>448</v>
      </c>
      <c r="BR6" s="947" t="s">
        <v>448</v>
      </c>
      <c r="BS6" s="947" t="s">
        <v>448</v>
      </c>
      <c r="BT6" s="947" t="s">
        <v>448</v>
      </c>
      <c r="BU6" s="1075" t="s">
        <v>449</v>
      </c>
      <c r="BV6" s="1075" t="s">
        <v>449</v>
      </c>
      <c r="BW6" s="1075" t="s">
        <v>449</v>
      </c>
      <c r="BX6" s="1075" t="s">
        <v>449</v>
      </c>
      <c r="BY6" s="1076" t="s">
        <v>450</v>
      </c>
      <c r="BZ6" s="1076" t="s">
        <v>450</v>
      </c>
      <c r="CA6" s="1076" t="s">
        <v>450</v>
      </c>
      <c r="CB6" s="1076" t="s">
        <v>450</v>
      </c>
    </row>
    <row r="7" spans="1:83" s="1073" customFormat="1" x14ac:dyDescent="0.2">
      <c r="B7" s="1073" t="s">
        <v>451</v>
      </c>
      <c r="C7" s="1077" t="s">
        <v>452</v>
      </c>
      <c r="D7" s="1077" t="s">
        <v>453</v>
      </c>
      <c r="E7" s="1077" t="s">
        <v>454</v>
      </c>
      <c r="F7" s="1077" t="s">
        <v>455</v>
      </c>
      <c r="G7" s="1077" t="s">
        <v>456</v>
      </c>
      <c r="H7" s="1077" t="s">
        <v>457</v>
      </c>
      <c r="I7" s="1077" t="s">
        <v>458</v>
      </c>
      <c r="J7" s="1077" t="s">
        <v>459</v>
      </c>
      <c r="K7" s="1077" t="s">
        <v>460</v>
      </c>
      <c r="L7" s="1077" t="s">
        <v>461</v>
      </c>
      <c r="M7" s="1077" t="s">
        <v>462</v>
      </c>
      <c r="N7" s="1077" t="s">
        <v>463</v>
      </c>
      <c r="O7" s="1077" t="s">
        <v>464</v>
      </c>
      <c r="P7" s="1077" t="s">
        <v>465</v>
      </c>
      <c r="Q7" s="1077" t="s">
        <v>466</v>
      </c>
      <c r="R7" s="1077" t="s">
        <v>467</v>
      </c>
      <c r="S7" s="1077" t="s">
        <v>468</v>
      </c>
      <c r="T7" s="1077" t="s">
        <v>469</v>
      </c>
      <c r="U7" s="1077" t="s">
        <v>470</v>
      </c>
      <c r="V7" s="1077" t="s">
        <v>471</v>
      </c>
      <c r="W7" s="1077" t="s">
        <v>472</v>
      </c>
      <c r="X7" s="1077" t="s">
        <v>473</v>
      </c>
      <c r="Y7" s="1077" t="s">
        <v>474</v>
      </c>
      <c r="Z7" s="1077" t="s">
        <v>475</v>
      </c>
      <c r="AA7" s="1077" t="s">
        <v>476</v>
      </c>
      <c r="AB7" s="1077" t="s">
        <v>477</v>
      </c>
      <c r="AC7" s="1077" t="s">
        <v>478</v>
      </c>
      <c r="AD7" s="1077" t="s">
        <v>479</v>
      </c>
      <c r="AE7" s="1077" t="s">
        <v>480</v>
      </c>
      <c r="AF7" s="1077" t="s">
        <v>481</v>
      </c>
      <c r="AG7" s="1077" t="s">
        <v>482</v>
      </c>
      <c r="AH7" s="1077" t="s">
        <v>483</v>
      </c>
      <c r="AI7" s="1077" t="s">
        <v>484</v>
      </c>
      <c r="AJ7" s="1077" t="s">
        <v>485</v>
      </c>
      <c r="AK7" s="1077" t="s">
        <v>486</v>
      </c>
      <c r="AL7" s="1077" t="s">
        <v>487</v>
      </c>
      <c r="AM7" s="1077" t="s">
        <v>488</v>
      </c>
      <c r="AN7" s="1077" t="s">
        <v>489</v>
      </c>
      <c r="AO7" s="1077" t="s">
        <v>490</v>
      </c>
      <c r="AP7" s="1077" t="s">
        <v>491</v>
      </c>
      <c r="AQ7" s="1077" t="s">
        <v>492</v>
      </c>
      <c r="AR7" s="1077" t="s">
        <v>493</v>
      </c>
      <c r="AS7" s="1077" t="s">
        <v>494</v>
      </c>
      <c r="AT7" s="1077" t="s">
        <v>495</v>
      </c>
      <c r="AU7" s="1073" t="s">
        <v>496</v>
      </c>
      <c r="AV7" s="1073" t="s">
        <v>497</v>
      </c>
      <c r="AW7" s="1073" t="s">
        <v>498</v>
      </c>
      <c r="AX7" s="1073" t="s">
        <v>499</v>
      </c>
      <c r="AY7" s="1073" t="s">
        <v>500</v>
      </c>
      <c r="AZ7" s="1073" t="s">
        <v>501</v>
      </c>
      <c r="BA7" s="1073" t="s">
        <v>502</v>
      </c>
      <c r="BB7" s="1073" t="s">
        <v>503</v>
      </c>
      <c r="BC7" s="1073" t="s">
        <v>504</v>
      </c>
      <c r="BD7" s="1073" t="s">
        <v>505</v>
      </c>
      <c r="BE7" s="1073" t="s">
        <v>506</v>
      </c>
      <c r="BF7" s="1073" t="s">
        <v>507</v>
      </c>
      <c r="BG7" s="1073" t="s">
        <v>508</v>
      </c>
      <c r="BH7" s="1073" t="s">
        <v>509</v>
      </c>
      <c r="BI7" s="1073" t="s">
        <v>510</v>
      </c>
      <c r="BJ7" s="1073" t="s">
        <v>511</v>
      </c>
      <c r="BK7" s="1073" t="s">
        <v>512</v>
      </c>
      <c r="BL7" s="1073" t="s">
        <v>513</v>
      </c>
      <c r="BM7" s="1073" t="s">
        <v>514</v>
      </c>
      <c r="BN7" s="1073" t="s">
        <v>515</v>
      </c>
      <c r="BO7" s="1073" t="s">
        <v>516</v>
      </c>
      <c r="BP7" s="1073" t="s">
        <v>517</v>
      </c>
      <c r="BQ7" s="1073" t="s">
        <v>518</v>
      </c>
      <c r="BR7" s="1073" t="s">
        <v>519</v>
      </c>
      <c r="BS7" s="1073" t="s">
        <v>561</v>
      </c>
      <c r="BT7" s="1073" t="s">
        <v>562</v>
      </c>
      <c r="BU7" s="1073" t="s">
        <v>563</v>
      </c>
      <c r="BV7" s="1073" t="s">
        <v>564</v>
      </c>
      <c r="BW7" s="1073" t="s">
        <v>565</v>
      </c>
      <c r="BX7" s="1073" t="s">
        <v>566</v>
      </c>
      <c r="BY7" s="1073" t="s">
        <v>520</v>
      </c>
      <c r="BZ7" s="1073" t="s">
        <v>521</v>
      </c>
      <c r="CA7" s="1073" t="s">
        <v>522</v>
      </c>
      <c r="CB7" s="1073" t="s">
        <v>523</v>
      </c>
      <c r="CC7" s="1073" t="s">
        <v>524</v>
      </c>
      <c r="CD7" s="1073" t="s">
        <v>525</v>
      </c>
      <c r="CE7" s="1073" t="s">
        <v>526</v>
      </c>
    </row>
    <row r="8" spans="1:83" x14ac:dyDescent="0.2">
      <c r="A8" s="1073" t="s">
        <v>527</v>
      </c>
      <c r="B8" s="1073" t="s">
        <v>528</v>
      </c>
      <c r="C8" s="1078">
        <v>2.0350000000000001</v>
      </c>
      <c r="D8" s="1078">
        <v>2.06</v>
      </c>
      <c r="E8" s="1078">
        <v>2.0649999999999999</v>
      </c>
      <c r="F8" s="1078">
        <v>2.0870000000000002</v>
      </c>
      <c r="G8" s="1078">
        <v>2.1040000000000001</v>
      </c>
      <c r="H8" s="1078">
        <v>2.1150000000000002</v>
      </c>
      <c r="I8" s="1078">
        <v>2.1509999999999998</v>
      </c>
      <c r="J8" s="1078">
        <v>2.17</v>
      </c>
      <c r="K8" s="1078">
        <v>2.1869999999999998</v>
      </c>
      <c r="L8" s="1078">
        <v>2.2120000000000002</v>
      </c>
      <c r="M8" s="1078">
        <v>2.2349999999999999</v>
      </c>
      <c r="N8" s="1078">
        <v>2.2210000000000001</v>
      </c>
      <c r="O8" s="1078">
        <v>2.2320000000000002</v>
      </c>
      <c r="P8" s="1078">
        <v>2.258</v>
      </c>
      <c r="Q8" s="1078">
        <v>2.2759999999999998</v>
      </c>
      <c r="R8" s="1078">
        <v>2.302</v>
      </c>
      <c r="S8" s="1078">
        <v>2.3199999999999998</v>
      </c>
      <c r="T8" s="1078">
        <v>2.3639999999999999</v>
      </c>
      <c r="U8" s="1078">
        <v>2.4049999999999998</v>
      </c>
      <c r="V8" s="1078">
        <v>2.351</v>
      </c>
      <c r="W8" s="1078">
        <v>2.34</v>
      </c>
      <c r="X8" s="1078">
        <v>2.347</v>
      </c>
      <c r="Y8" s="1078">
        <v>2.367</v>
      </c>
      <c r="Z8" s="1078">
        <v>2.3809999999999998</v>
      </c>
      <c r="AA8" s="1078">
        <v>2.379</v>
      </c>
      <c r="AB8" s="1078">
        <v>2.383</v>
      </c>
      <c r="AC8" s="1078">
        <v>2.3980000000000001</v>
      </c>
      <c r="AD8" s="1078">
        <v>2.4220000000000002</v>
      </c>
      <c r="AE8" s="1078">
        <v>2.4319999999999999</v>
      </c>
      <c r="AF8" s="1078">
        <v>2.4769999999999999</v>
      </c>
      <c r="AG8" s="1078">
        <v>2.4889999999999999</v>
      </c>
      <c r="AH8" s="1078">
        <v>2.4969999999999999</v>
      </c>
      <c r="AI8" s="1078">
        <v>2.5129999999999999</v>
      </c>
      <c r="AJ8" s="1078">
        <v>2.5190000000000001</v>
      </c>
      <c r="AK8" s="1078">
        <v>2.5299999999999998</v>
      </c>
      <c r="AL8" s="1078">
        <v>2.5499999999999998</v>
      </c>
      <c r="AM8" s="1078">
        <v>2.5569999999999999</v>
      </c>
      <c r="AN8" s="1078">
        <v>2.5550000000000002</v>
      </c>
      <c r="AO8" s="1078">
        <v>2.5739999999999998</v>
      </c>
      <c r="AP8" s="1078">
        <v>2.589</v>
      </c>
      <c r="AQ8" s="1078">
        <v>2.597</v>
      </c>
      <c r="AR8" s="1078">
        <v>2.6080000000000001</v>
      </c>
      <c r="AS8" s="1078">
        <v>2.6139999999999999</v>
      </c>
      <c r="AT8" s="1078">
        <v>2.617</v>
      </c>
      <c r="AU8" s="1068">
        <v>2.6120000000000001</v>
      </c>
      <c r="AV8" s="1068">
        <v>2.6230000000000002</v>
      </c>
      <c r="AW8" s="1068">
        <v>2.6190000000000002</v>
      </c>
      <c r="AX8" s="1068">
        <v>2.6269999999999998</v>
      </c>
      <c r="AY8" s="1068">
        <v>2.621</v>
      </c>
      <c r="AZ8" s="1068">
        <v>2.6419999999999999</v>
      </c>
      <c r="BA8" s="1068">
        <v>2.6629999999999998</v>
      </c>
      <c r="BB8" s="1068">
        <v>2.6779999999999999</v>
      </c>
      <c r="BC8" s="1068">
        <v>2.694</v>
      </c>
      <c r="BD8" s="1068">
        <v>2.6960000000000002</v>
      </c>
      <c r="BE8" s="1068">
        <v>2.7080000000000002</v>
      </c>
      <c r="BF8" s="1068">
        <v>2.72</v>
      </c>
      <c r="BG8" s="1068">
        <v>2.7589999999999999</v>
      </c>
      <c r="BH8" s="1068">
        <v>2.7719999999999998</v>
      </c>
      <c r="BI8" s="1068">
        <v>2.7810000000000001</v>
      </c>
      <c r="BJ8" s="1068">
        <v>2.7879999999999998</v>
      </c>
      <c r="BK8" s="1068">
        <v>2.794</v>
      </c>
      <c r="BL8" s="1068">
        <v>2.8210000000000002</v>
      </c>
      <c r="BM8" s="1068">
        <v>2.843</v>
      </c>
      <c r="BN8" s="1068">
        <v>2.8580000000000001</v>
      </c>
      <c r="BO8" s="1068">
        <v>2.87</v>
      </c>
      <c r="BP8" s="1068">
        <v>2.879</v>
      </c>
      <c r="BQ8" s="1068">
        <v>2.8940000000000001</v>
      </c>
      <c r="BR8" s="1068">
        <v>2.9039999999999999</v>
      </c>
      <c r="BS8" s="1068">
        <v>2.927</v>
      </c>
      <c r="BT8" s="1068">
        <v>2.9470000000000001</v>
      </c>
      <c r="BU8" s="1068">
        <v>2.9670000000000001</v>
      </c>
      <c r="BV8" s="1068">
        <v>2.9849999999999999</v>
      </c>
      <c r="BW8" s="1068">
        <v>3.004</v>
      </c>
      <c r="BX8" s="1068">
        <v>3.0209999999999999</v>
      </c>
      <c r="BY8" s="1068">
        <v>3.0390000000000001</v>
      </c>
      <c r="BZ8" s="1068">
        <v>3.0590000000000002</v>
      </c>
      <c r="CA8" s="1068">
        <v>3.0779999999999998</v>
      </c>
      <c r="CB8" s="1068">
        <v>3.0939999999999999</v>
      </c>
      <c r="CC8" s="1068">
        <v>3.1139999999999999</v>
      </c>
      <c r="CD8" s="1068">
        <v>3.1339999999999999</v>
      </c>
    </row>
    <row r="9" spans="1:83" x14ac:dyDescent="0.2">
      <c r="A9" s="1073" t="s">
        <v>529</v>
      </c>
      <c r="B9" s="1073" t="s">
        <v>530</v>
      </c>
      <c r="C9" s="1078">
        <v>2.0350000000000001</v>
      </c>
      <c r="D9" s="1078">
        <v>2.06</v>
      </c>
      <c r="E9" s="1078">
        <v>2.0649999999999999</v>
      </c>
      <c r="F9" s="1078">
        <v>2.0870000000000002</v>
      </c>
      <c r="G9" s="1078">
        <v>2.1040000000000001</v>
      </c>
      <c r="H9" s="1078">
        <v>2.1150000000000002</v>
      </c>
      <c r="I9" s="1078">
        <v>2.1509999999999998</v>
      </c>
      <c r="J9" s="1078">
        <v>2.17</v>
      </c>
      <c r="K9" s="1078">
        <v>2.1869999999999998</v>
      </c>
      <c r="L9" s="1078">
        <v>2.2120000000000002</v>
      </c>
      <c r="M9" s="1078">
        <v>2.2349999999999999</v>
      </c>
      <c r="N9" s="1078">
        <v>2.2210000000000001</v>
      </c>
      <c r="O9" s="1078">
        <v>2.2320000000000002</v>
      </c>
      <c r="P9" s="1078">
        <v>2.258</v>
      </c>
      <c r="Q9" s="1078">
        <v>2.2759999999999998</v>
      </c>
      <c r="R9" s="1078">
        <v>2.302</v>
      </c>
      <c r="S9" s="1078">
        <v>2.3199999999999998</v>
      </c>
      <c r="T9" s="1078">
        <v>2.3639999999999999</v>
      </c>
      <c r="U9" s="1078">
        <v>2.4049999999999998</v>
      </c>
      <c r="V9" s="1078">
        <v>2.351</v>
      </c>
      <c r="W9" s="1078">
        <v>2.34</v>
      </c>
      <c r="X9" s="1078">
        <v>2.347</v>
      </c>
      <c r="Y9" s="1078">
        <v>2.367</v>
      </c>
      <c r="Z9" s="1078">
        <v>2.3809999999999998</v>
      </c>
      <c r="AA9" s="1078">
        <v>2.379</v>
      </c>
      <c r="AB9" s="1078">
        <v>2.383</v>
      </c>
      <c r="AC9" s="1078">
        <v>2.3980000000000001</v>
      </c>
      <c r="AD9" s="1078">
        <v>2.4220000000000002</v>
      </c>
      <c r="AE9" s="1078">
        <v>2.4319999999999999</v>
      </c>
      <c r="AF9" s="1078">
        <v>2.4769999999999999</v>
      </c>
      <c r="AG9" s="1078">
        <v>2.4889999999999999</v>
      </c>
      <c r="AH9" s="1078">
        <v>2.4969999999999999</v>
      </c>
      <c r="AI9" s="1078">
        <v>2.5129999999999999</v>
      </c>
      <c r="AJ9" s="1078">
        <v>2.5190000000000001</v>
      </c>
      <c r="AK9" s="1078">
        <v>2.5299999999999998</v>
      </c>
      <c r="AL9" s="1078">
        <v>2.5499999999999998</v>
      </c>
      <c r="AM9" s="1078">
        <v>2.5569999999999999</v>
      </c>
      <c r="AN9" s="1078">
        <v>2.5550000000000002</v>
      </c>
      <c r="AO9" s="1078">
        <v>2.5739999999999998</v>
      </c>
      <c r="AP9" s="1078">
        <v>2.589</v>
      </c>
      <c r="AQ9" s="1078">
        <v>2.597</v>
      </c>
      <c r="AR9" s="1078">
        <v>2.6080000000000001</v>
      </c>
      <c r="AS9" s="1078">
        <v>2.6139999999999999</v>
      </c>
      <c r="AT9" s="1078">
        <v>2.617</v>
      </c>
      <c r="AU9" s="1068">
        <v>2.6120000000000001</v>
      </c>
      <c r="AV9" s="1068">
        <v>2.6230000000000002</v>
      </c>
      <c r="AW9" s="1068">
        <v>2.6190000000000002</v>
      </c>
      <c r="AX9" s="1068">
        <v>2.6269999999999998</v>
      </c>
      <c r="AY9" s="1068">
        <v>2.621</v>
      </c>
      <c r="AZ9" s="1068">
        <v>2.6419999999999999</v>
      </c>
      <c r="BA9" s="1068">
        <v>2.6629999999999998</v>
      </c>
      <c r="BB9" s="1068">
        <v>2.6779999999999999</v>
      </c>
      <c r="BC9" s="1068">
        <v>2.694</v>
      </c>
      <c r="BD9" s="1068">
        <v>2.6960000000000002</v>
      </c>
      <c r="BE9" s="1068">
        <v>2.7080000000000002</v>
      </c>
      <c r="BF9" s="1068">
        <v>2.72</v>
      </c>
      <c r="BG9" s="1068">
        <v>2.7589999999999999</v>
      </c>
      <c r="BH9" s="1068">
        <v>2.7719999999999998</v>
      </c>
      <c r="BI9" s="1068">
        <v>2.7810000000000001</v>
      </c>
      <c r="BJ9" s="1068">
        <v>2.7879999999999998</v>
      </c>
      <c r="BK9" s="1068">
        <v>2.794</v>
      </c>
      <c r="BL9" s="1068">
        <v>2.8180000000000001</v>
      </c>
      <c r="BM9" s="1068">
        <v>2.8359999999999999</v>
      </c>
      <c r="BN9" s="1068">
        <v>2.8490000000000002</v>
      </c>
      <c r="BO9" s="1068">
        <v>2.86</v>
      </c>
      <c r="BP9" s="1068">
        <v>2.8660000000000001</v>
      </c>
      <c r="BQ9" s="1068">
        <v>2.8780000000000001</v>
      </c>
      <c r="BR9" s="1068">
        <v>2.8860000000000001</v>
      </c>
      <c r="BS9" s="1068">
        <v>2.9049999999999998</v>
      </c>
      <c r="BT9" s="1068">
        <v>2.9220000000000002</v>
      </c>
      <c r="BU9" s="1068">
        <v>2.9369999999999998</v>
      </c>
      <c r="BV9" s="1068">
        <v>2.9510000000000001</v>
      </c>
      <c r="BW9" s="1068">
        <v>2.964</v>
      </c>
      <c r="BX9" s="1068">
        <v>2.976</v>
      </c>
      <c r="BY9" s="1068">
        <v>2.99</v>
      </c>
      <c r="BZ9" s="1068">
        <v>3.0030000000000001</v>
      </c>
      <c r="CA9" s="1068">
        <v>3.0179999999999998</v>
      </c>
      <c r="CB9" s="1068">
        <v>3.0289999999999999</v>
      </c>
      <c r="CC9" s="1068">
        <v>3.0449999999999999</v>
      </c>
      <c r="CD9" s="1068">
        <v>3.0609999999999999</v>
      </c>
    </row>
    <row r="10" spans="1:83" x14ac:dyDescent="0.2">
      <c r="A10" s="1073" t="s">
        <v>531</v>
      </c>
      <c r="B10" s="1073" t="s">
        <v>532</v>
      </c>
      <c r="C10" s="1078">
        <v>2.0350000000000001</v>
      </c>
      <c r="D10" s="1078">
        <v>2.06</v>
      </c>
      <c r="E10" s="1078">
        <v>2.0649999999999999</v>
      </c>
      <c r="F10" s="1078">
        <v>2.0870000000000002</v>
      </c>
      <c r="G10" s="1078">
        <v>2.1040000000000001</v>
      </c>
      <c r="H10" s="1078">
        <v>2.1150000000000002</v>
      </c>
      <c r="I10" s="1078">
        <v>2.1509999999999998</v>
      </c>
      <c r="J10" s="1078">
        <v>2.17</v>
      </c>
      <c r="K10" s="1078">
        <v>2.1869999999999998</v>
      </c>
      <c r="L10" s="1078">
        <v>2.2120000000000002</v>
      </c>
      <c r="M10" s="1078">
        <v>2.2349999999999999</v>
      </c>
      <c r="N10" s="1078">
        <v>2.2210000000000001</v>
      </c>
      <c r="O10" s="1078">
        <v>2.2320000000000002</v>
      </c>
      <c r="P10" s="1078">
        <v>2.258</v>
      </c>
      <c r="Q10" s="1078">
        <v>2.2759999999999998</v>
      </c>
      <c r="R10" s="1078">
        <v>2.302</v>
      </c>
      <c r="S10" s="1078">
        <v>2.3199999999999998</v>
      </c>
      <c r="T10" s="1078">
        <v>2.3639999999999999</v>
      </c>
      <c r="U10" s="1078">
        <v>2.4049999999999998</v>
      </c>
      <c r="V10" s="1078">
        <v>2.351</v>
      </c>
      <c r="W10" s="1078">
        <v>2.34</v>
      </c>
      <c r="X10" s="1078">
        <v>2.347</v>
      </c>
      <c r="Y10" s="1078">
        <v>2.367</v>
      </c>
      <c r="Z10" s="1078">
        <v>2.3809999999999998</v>
      </c>
      <c r="AA10" s="1078">
        <v>2.379</v>
      </c>
      <c r="AB10" s="1078">
        <v>2.383</v>
      </c>
      <c r="AC10" s="1078">
        <v>2.3980000000000001</v>
      </c>
      <c r="AD10" s="1078">
        <v>2.4220000000000002</v>
      </c>
      <c r="AE10" s="1078">
        <v>2.4319999999999999</v>
      </c>
      <c r="AF10" s="1078">
        <v>2.4769999999999999</v>
      </c>
      <c r="AG10" s="1078">
        <v>2.4889999999999999</v>
      </c>
      <c r="AH10" s="1078">
        <v>2.4969999999999999</v>
      </c>
      <c r="AI10" s="1078">
        <v>2.5129999999999999</v>
      </c>
      <c r="AJ10" s="1078">
        <v>2.5190000000000001</v>
      </c>
      <c r="AK10" s="1078">
        <v>2.5299999999999998</v>
      </c>
      <c r="AL10" s="1078">
        <v>2.5499999999999998</v>
      </c>
      <c r="AM10" s="1078">
        <v>2.5569999999999999</v>
      </c>
      <c r="AN10" s="1078">
        <v>2.5550000000000002</v>
      </c>
      <c r="AO10" s="1078">
        <v>2.5739999999999998</v>
      </c>
      <c r="AP10" s="1078">
        <v>2.589</v>
      </c>
      <c r="AQ10" s="1078">
        <v>2.597</v>
      </c>
      <c r="AR10" s="1078">
        <v>2.6080000000000001</v>
      </c>
      <c r="AS10" s="1078">
        <v>2.6139999999999999</v>
      </c>
      <c r="AT10" s="1078">
        <v>2.617</v>
      </c>
      <c r="AU10" s="1068">
        <v>2.6120000000000001</v>
      </c>
      <c r="AV10" s="1068">
        <v>2.6230000000000002</v>
      </c>
      <c r="AW10" s="1068">
        <v>2.6190000000000002</v>
      </c>
      <c r="AX10" s="1068">
        <v>2.6269999999999998</v>
      </c>
      <c r="AY10" s="1068">
        <v>2.621</v>
      </c>
      <c r="AZ10" s="1068">
        <v>2.6419999999999999</v>
      </c>
      <c r="BA10" s="1068">
        <v>2.6629999999999998</v>
      </c>
      <c r="BB10" s="1068">
        <v>2.6779999999999999</v>
      </c>
      <c r="BC10" s="1068">
        <v>2.694</v>
      </c>
      <c r="BD10" s="1068">
        <v>2.6960000000000002</v>
      </c>
      <c r="BE10" s="1068">
        <v>2.7080000000000002</v>
      </c>
      <c r="BF10" s="1068">
        <v>2.72</v>
      </c>
      <c r="BG10" s="1068">
        <v>2.7589999999999999</v>
      </c>
      <c r="BH10" s="1068">
        <v>2.7719999999999998</v>
      </c>
      <c r="BI10" s="1068">
        <v>2.7810000000000001</v>
      </c>
      <c r="BJ10" s="1068">
        <v>2.7879999999999998</v>
      </c>
      <c r="BK10" s="1068">
        <v>2.794</v>
      </c>
      <c r="BL10" s="1068">
        <v>2.8239999999999998</v>
      </c>
      <c r="BM10" s="1068">
        <v>2.8479999999999999</v>
      </c>
      <c r="BN10" s="1068">
        <v>2.867</v>
      </c>
      <c r="BO10" s="1068">
        <v>2.8839999999999999</v>
      </c>
      <c r="BP10" s="1068">
        <v>2.8959999999999999</v>
      </c>
      <c r="BQ10" s="1068">
        <v>2.9169999999999998</v>
      </c>
      <c r="BR10" s="1068">
        <v>2.9319999999999999</v>
      </c>
      <c r="BS10" s="1068">
        <v>2.96</v>
      </c>
      <c r="BT10" s="1068">
        <v>2.9870000000000001</v>
      </c>
      <c r="BU10" s="1068">
        <v>3.0129999999999999</v>
      </c>
      <c r="BV10" s="1068">
        <v>3.0369999999999999</v>
      </c>
      <c r="BW10" s="1068">
        <v>3.0619999999999998</v>
      </c>
      <c r="BX10" s="1068">
        <v>3.0859999999999999</v>
      </c>
      <c r="BY10" s="1068">
        <v>3.1120000000000001</v>
      </c>
      <c r="BZ10" s="1068">
        <v>3.1389999999999998</v>
      </c>
      <c r="CA10" s="1068">
        <v>3.1669999999999998</v>
      </c>
      <c r="CB10" s="1068">
        <v>3.19</v>
      </c>
      <c r="CC10" s="1068">
        <v>3.218</v>
      </c>
      <c r="CD10" s="1068">
        <v>3.246</v>
      </c>
    </row>
    <row r="12" spans="1:83" x14ac:dyDescent="0.2">
      <c r="C12" s="1079"/>
      <c r="D12" s="1079"/>
      <c r="E12" s="1079"/>
      <c r="F12" s="1079"/>
      <c r="G12" s="1079"/>
      <c r="H12" s="1079"/>
      <c r="I12" s="1079"/>
      <c r="J12" s="1079"/>
      <c r="K12" s="1079"/>
      <c r="L12" s="1079"/>
      <c r="M12" s="1079"/>
      <c r="N12" s="1079"/>
      <c r="O12" s="1079"/>
      <c r="P12" s="1079"/>
      <c r="Q12" s="1079"/>
      <c r="R12" s="1079"/>
      <c r="S12" s="1079"/>
      <c r="T12" s="1079"/>
      <c r="U12" s="1079"/>
      <c r="V12" s="1079"/>
      <c r="W12" s="1079"/>
      <c r="X12" s="1079"/>
      <c r="Y12" s="1079"/>
      <c r="Z12" s="1079"/>
      <c r="AA12" s="1079"/>
      <c r="AB12" s="1079"/>
      <c r="AC12" s="1079"/>
      <c r="AD12" s="1079"/>
      <c r="AE12" s="1079"/>
      <c r="AF12" s="1079"/>
      <c r="AG12" s="1079"/>
      <c r="AH12" s="1079"/>
      <c r="AI12" s="1079"/>
      <c r="AJ12" s="1079"/>
      <c r="AK12" s="1079"/>
      <c r="AL12" s="1079"/>
      <c r="AM12" s="1079"/>
      <c r="AN12" s="1079"/>
      <c r="AO12" s="1079"/>
      <c r="AP12" s="1079"/>
      <c r="AQ12" s="1079"/>
      <c r="AR12" s="1079"/>
      <c r="AS12" s="1079"/>
      <c r="AT12" s="1079"/>
    </row>
    <row r="13" spans="1:83" x14ac:dyDescent="0.2">
      <c r="C13" s="1079"/>
      <c r="D13" s="1079"/>
      <c r="E13" s="1079"/>
      <c r="F13" s="1079"/>
      <c r="G13" s="1079"/>
      <c r="H13" s="1079"/>
      <c r="I13" s="1079"/>
      <c r="J13" s="1079"/>
      <c r="K13" s="1079"/>
      <c r="L13" s="1079"/>
      <c r="M13" s="1079"/>
      <c r="N13" s="1079"/>
      <c r="O13" s="1079"/>
      <c r="P13" s="1079"/>
      <c r="Q13" s="1079"/>
      <c r="R13" s="1079"/>
      <c r="S13" s="1079"/>
      <c r="T13" s="1079"/>
      <c r="U13" s="1079"/>
      <c r="V13" s="1079"/>
      <c r="W13" s="1079"/>
      <c r="X13" s="1079"/>
      <c r="Y13" s="1079"/>
      <c r="Z13" s="1079"/>
      <c r="AA13" s="1079"/>
      <c r="AB13" s="1079"/>
      <c r="AC13" s="1079"/>
      <c r="AD13" s="1079"/>
      <c r="AE13" s="1079"/>
      <c r="AF13" s="1079"/>
      <c r="AG13" s="1079"/>
      <c r="AH13" s="1079"/>
      <c r="AI13" s="1079"/>
      <c r="AJ13" s="1079"/>
      <c r="AK13" s="1079"/>
      <c r="AL13" s="1079"/>
      <c r="AM13" s="1079"/>
      <c r="AN13" s="1079"/>
      <c r="AO13" s="1079"/>
      <c r="AP13" s="1079"/>
      <c r="AQ13" s="1079"/>
      <c r="AR13" s="1079"/>
      <c r="AS13" s="1079"/>
      <c r="AT13" s="1079"/>
    </row>
    <row r="14" spans="1:83" x14ac:dyDescent="0.2">
      <c r="C14" s="1078"/>
      <c r="D14" s="1078"/>
      <c r="E14" s="1078"/>
      <c r="F14" s="1078"/>
      <c r="G14" s="1078"/>
      <c r="H14" s="1078"/>
      <c r="I14" s="1078"/>
      <c r="J14" s="1078"/>
      <c r="K14" s="1078"/>
      <c r="L14" s="1078"/>
      <c r="M14" s="1078"/>
      <c r="N14" s="1078"/>
      <c r="O14" s="1078"/>
      <c r="P14" s="1078"/>
      <c r="Q14" s="1078"/>
      <c r="R14" s="1078"/>
      <c r="S14" s="1078"/>
      <c r="T14" s="1078"/>
      <c r="U14" s="1078"/>
      <c r="V14" s="1078"/>
      <c r="W14" s="1078"/>
      <c r="X14" s="1078"/>
      <c r="Y14" s="1078"/>
      <c r="Z14" s="1078"/>
      <c r="AA14" s="1078"/>
      <c r="AB14" s="1078"/>
      <c r="AC14" s="1078"/>
      <c r="AD14" s="1078"/>
      <c r="AE14" s="1078"/>
      <c r="AF14" s="1078"/>
      <c r="AG14" s="1078"/>
      <c r="AH14" s="1078"/>
      <c r="AI14" s="1078"/>
      <c r="AJ14" s="1078"/>
      <c r="AK14" s="1078"/>
      <c r="AL14" s="1078"/>
      <c r="AM14" s="1078"/>
      <c r="AN14" s="1078"/>
      <c r="AO14" s="1078"/>
      <c r="AP14" s="1078"/>
      <c r="AQ14" s="1078"/>
      <c r="AR14" s="1078"/>
      <c r="AS14" s="1078"/>
      <c r="AT14" s="1078"/>
    </row>
    <row r="15" spans="1:83" x14ac:dyDescent="0.2">
      <c r="C15" s="1078"/>
      <c r="D15" s="1078"/>
      <c r="E15" s="1078"/>
      <c r="F15" s="1078"/>
      <c r="G15" s="1078"/>
      <c r="H15" s="1078"/>
      <c r="I15" s="1078"/>
      <c r="J15" s="1078"/>
      <c r="K15" s="1078"/>
      <c r="L15" s="1078"/>
      <c r="M15" s="1078"/>
      <c r="N15" s="1078"/>
      <c r="O15" s="1078"/>
      <c r="P15" s="1078"/>
      <c r="Q15" s="1078"/>
      <c r="R15" s="1078"/>
      <c r="S15" s="1078"/>
      <c r="T15" s="1078"/>
      <c r="U15" s="1078"/>
      <c r="V15" s="1078"/>
      <c r="W15" s="1078"/>
      <c r="X15" s="1078"/>
      <c r="Y15" s="1078"/>
      <c r="Z15" s="1078"/>
      <c r="AA15" s="1078"/>
      <c r="AB15" s="1078"/>
      <c r="AC15" s="1078"/>
      <c r="AD15" s="1078"/>
      <c r="AE15" s="1078"/>
      <c r="AF15" s="1078"/>
      <c r="AG15" s="1078"/>
      <c r="AH15" s="1078"/>
      <c r="AI15" s="1078"/>
      <c r="AJ15" s="1078"/>
      <c r="AK15" s="1078"/>
      <c r="AL15" s="1078"/>
      <c r="AM15" s="1078"/>
      <c r="AN15" s="1078"/>
      <c r="AO15" s="1078"/>
      <c r="AP15" s="1078"/>
      <c r="AQ15" s="1078"/>
      <c r="AR15" s="1078"/>
      <c r="AS15" s="1078"/>
      <c r="AT15" s="1078"/>
      <c r="BJ15" s="948" t="s">
        <v>533</v>
      </c>
      <c r="BK15" s="949"/>
      <c r="BL15" s="949"/>
      <c r="BM15" s="950" t="s">
        <v>567</v>
      </c>
      <c r="BN15" s="951"/>
      <c r="BO15" s="951"/>
      <c r="BP15" s="951"/>
      <c r="BQ15" s="951"/>
      <c r="BR15" s="951"/>
      <c r="BS15" s="949"/>
      <c r="BT15" s="949"/>
      <c r="BU15" s="949"/>
    </row>
    <row r="16" spans="1:83" x14ac:dyDescent="0.2">
      <c r="C16" s="1078"/>
      <c r="D16" s="1078"/>
      <c r="E16" s="1078"/>
      <c r="F16" s="1078"/>
      <c r="G16" s="1078"/>
      <c r="H16" s="1078"/>
      <c r="I16" s="1078"/>
      <c r="J16" s="1078"/>
      <c r="K16" s="1078"/>
      <c r="L16" s="1078"/>
      <c r="M16" s="1078"/>
      <c r="N16" s="1078"/>
      <c r="O16" s="1078"/>
      <c r="P16" s="1078"/>
      <c r="Q16" s="1078"/>
      <c r="R16" s="1078"/>
      <c r="S16" s="1078"/>
      <c r="T16" s="1078"/>
      <c r="U16" s="1078"/>
      <c r="V16" s="1078"/>
      <c r="W16" s="1078"/>
      <c r="X16" s="1078"/>
      <c r="Y16" s="1078"/>
      <c r="Z16" s="1078"/>
      <c r="AA16" s="1078"/>
      <c r="AB16" s="1078"/>
      <c r="AC16" s="1078"/>
      <c r="AD16" s="1078"/>
      <c r="AE16" s="1078"/>
      <c r="AF16" s="1078"/>
      <c r="AG16" s="1078"/>
      <c r="AH16" s="1078"/>
      <c r="AI16" s="1078"/>
      <c r="AJ16" s="1078"/>
      <c r="AK16" s="1078"/>
      <c r="AL16" s="1078"/>
      <c r="AM16" s="1078"/>
      <c r="AN16" s="1078"/>
      <c r="AO16" s="1078"/>
      <c r="AP16" s="1078"/>
      <c r="AQ16" s="1078"/>
      <c r="AR16" s="1078"/>
      <c r="AS16" s="1078"/>
      <c r="AT16" s="1078"/>
      <c r="BJ16" s="952"/>
      <c r="BK16" s="953"/>
      <c r="BL16" s="953"/>
      <c r="BM16" s="953"/>
      <c r="BN16" s="953"/>
      <c r="BO16" s="953"/>
      <c r="BP16" s="953"/>
      <c r="BQ16" s="953"/>
      <c r="BR16" s="953"/>
      <c r="BS16" s="953"/>
      <c r="BT16" s="953"/>
      <c r="BU16" s="954"/>
    </row>
    <row r="17" spans="3:73" x14ac:dyDescent="0.2">
      <c r="C17" s="1080"/>
      <c r="D17" s="1080"/>
      <c r="E17" s="1080"/>
      <c r="F17" s="1080"/>
      <c r="G17" s="1080"/>
      <c r="H17" s="1080"/>
      <c r="I17" s="1080"/>
      <c r="J17" s="1080"/>
      <c r="K17" s="1080"/>
      <c r="L17" s="1080"/>
      <c r="M17" s="1080"/>
      <c r="N17" s="1080"/>
      <c r="O17" s="1080"/>
      <c r="P17" s="1080"/>
      <c r="Q17" s="1080"/>
      <c r="R17" s="1080"/>
      <c r="S17" s="1080"/>
      <c r="T17" s="1080"/>
      <c r="U17" s="1080"/>
      <c r="V17" s="1080"/>
      <c r="W17" s="1080"/>
      <c r="X17" s="1080"/>
      <c r="Y17" s="1080"/>
      <c r="Z17" s="1080"/>
      <c r="AA17" s="1080"/>
      <c r="AB17" s="1080"/>
      <c r="AC17" s="1080"/>
      <c r="AD17" s="1080"/>
      <c r="AE17" s="1080"/>
      <c r="AF17" s="1080"/>
      <c r="AG17" s="1080"/>
      <c r="AH17" s="1080"/>
      <c r="AI17" s="1080"/>
      <c r="AJ17" s="1080"/>
      <c r="AK17" s="1080"/>
      <c r="AL17" s="1080"/>
      <c r="AM17" s="1080"/>
      <c r="AN17" s="1080"/>
      <c r="AO17" s="1080"/>
      <c r="AP17" s="1080"/>
      <c r="BJ17" s="955"/>
      <c r="BK17" s="956" t="s">
        <v>534</v>
      </c>
      <c r="BL17" s="957" t="s">
        <v>535</v>
      </c>
      <c r="BM17" s="957"/>
      <c r="BN17" s="957"/>
      <c r="BO17" s="957"/>
      <c r="BP17" s="957"/>
      <c r="BQ17" s="957"/>
      <c r="BR17" s="957"/>
      <c r="BS17" s="957"/>
      <c r="BT17" s="957"/>
      <c r="BU17" s="958"/>
    </row>
    <row r="18" spans="3:73" x14ac:dyDescent="0.2">
      <c r="BJ18" s="955"/>
      <c r="BK18" s="957"/>
      <c r="BL18" s="1073" t="s">
        <v>515</v>
      </c>
      <c r="BM18" s="957"/>
      <c r="BN18" s="957"/>
      <c r="BO18" s="957"/>
      <c r="BP18" s="957"/>
      <c r="BQ18" s="957"/>
      <c r="BR18" s="957"/>
      <c r="BS18" s="957"/>
      <c r="BT18" s="957"/>
      <c r="BU18" s="959" t="s">
        <v>536</v>
      </c>
    </row>
    <row r="19" spans="3:73" x14ac:dyDescent="0.2">
      <c r="BJ19" s="955"/>
      <c r="BK19" s="957"/>
      <c r="BL19" s="1078">
        <f>BN9</f>
        <v>2.8490000000000002</v>
      </c>
      <c r="BM19" s="957"/>
      <c r="BN19" s="957"/>
      <c r="BO19" s="957"/>
      <c r="BP19" s="957"/>
      <c r="BQ19" s="957"/>
      <c r="BR19" s="957"/>
      <c r="BS19" s="957"/>
      <c r="BT19" s="957"/>
      <c r="BU19" s="960">
        <f>BL19</f>
        <v>2.8490000000000002</v>
      </c>
    </row>
    <row r="20" spans="3:73" x14ac:dyDescent="0.2">
      <c r="BJ20" s="955"/>
      <c r="BK20" s="957"/>
      <c r="BL20" s="957"/>
      <c r="BM20" s="957"/>
      <c r="BN20" s="957"/>
      <c r="BO20" s="957"/>
      <c r="BP20" s="957"/>
      <c r="BQ20" s="957"/>
      <c r="BR20" s="957"/>
      <c r="BS20" s="957"/>
      <c r="BT20" s="957"/>
      <c r="BU20" s="961"/>
    </row>
    <row r="21" spans="3:73" x14ac:dyDescent="0.2">
      <c r="BJ21" s="1156" t="s">
        <v>537</v>
      </c>
      <c r="BK21" s="1157"/>
      <c r="BL21" s="1157"/>
      <c r="BM21" s="957" t="s">
        <v>568</v>
      </c>
      <c r="BN21" s="957"/>
      <c r="BO21" s="957"/>
      <c r="BP21" s="957"/>
      <c r="BQ21" s="957"/>
      <c r="BR21" s="957"/>
      <c r="BS21" s="957"/>
      <c r="BT21" s="957"/>
      <c r="BU21" s="961"/>
    </row>
    <row r="22" spans="3:73" x14ac:dyDescent="0.2">
      <c r="BJ22" s="955"/>
      <c r="BK22" s="957"/>
      <c r="BL22" s="1073" t="str">
        <f>BO7</f>
        <v>2020Q1</v>
      </c>
      <c r="BM22" s="1073" t="str">
        <f t="shared" ref="BM22:BS22" si="0">BP7</f>
        <v>2020Q2</v>
      </c>
      <c r="BN22" s="1073" t="str">
        <f t="shared" si="0"/>
        <v>2020Q3</v>
      </c>
      <c r="BO22" s="1073" t="str">
        <f t="shared" si="0"/>
        <v>2020Q4</v>
      </c>
      <c r="BP22" s="1073" t="str">
        <f t="shared" si="0"/>
        <v>2021Q1</v>
      </c>
      <c r="BQ22" s="1073" t="str">
        <f t="shared" si="0"/>
        <v>2021Q2</v>
      </c>
      <c r="BR22" s="1073" t="str">
        <f t="shared" si="0"/>
        <v>2021Q3</v>
      </c>
      <c r="BS22" s="1073" t="str">
        <f t="shared" si="0"/>
        <v>2021Q4</v>
      </c>
      <c r="BT22" s="957"/>
      <c r="BU22" s="961"/>
    </row>
    <row r="23" spans="3:73" x14ac:dyDescent="0.2">
      <c r="BJ23" s="955"/>
      <c r="BK23" s="957"/>
      <c r="BL23" s="1078">
        <f>BO9</f>
        <v>2.86</v>
      </c>
      <c r="BM23" s="1078">
        <f t="shared" ref="BM23:BS23" si="1">BP9</f>
        <v>2.8660000000000001</v>
      </c>
      <c r="BN23" s="1078">
        <f t="shared" si="1"/>
        <v>2.8780000000000001</v>
      </c>
      <c r="BO23" s="1078">
        <f t="shared" si="1"/>
        <v>2.8860000000000001</v>
      </c>
      <c r="BP23" s="1078">
        <f t="shared" si="1"/>
        <v>2.9049999999999998</v>
      </c>
      <c r="BQ23" s="1078">
        <f t="shared" si="1"/>
        <v>2.9220000000000002</v>
      </c>
      <c r="BR23" s="1078">
        <f t="shared" si="1"/>
        <v>2.9369999999999998</v>
      </c>
      <c r="BS23" s="1078">
        <f t="shared" si="1"/>
        <v>2.9510000000000001</v>
      </c>
      <c r="BT23" s="957"/>
      <c r="BU23" s="960">
        <f>AVERAGE(BL23:BS23)</f>
        <v>2.9006249999999998</v>
      </c>
    </row>
    <row r="24" spans="3:73" x14ac:dyDescent="0.2">
      <c r="BJ24" s="955"/>
      <c r="BK24" s="957"/>
      <c r="BL24" s="957"/>
      <c r="BM24" s="957"/>
      <c r="BN24" s="957"/>
      <c r="BO24" s="957"/>
      <c r="BP24" s="957"/>
      <c r="BQ24" s="957"/>
      <c r="BR24" s="957"/>
      <c r="BS24" s="957"/>
      <c r="BT24" s="957"/>
      <c r="BU24" s="961"/>
    </row>
    <row r="25" spans="3:73" x14ac:dyDescent="0.2">
      <c r="BJ25" s="955"/>
      <c r="BK25" s="957"/>
      <c r="BL25" s="957"/>
      <c r="BM25" s="957"/>
      <c r="BN25" s="957"/>
      <c r="BO25" s="957"/>
      <c r="BP25" s="957"/>
      <c r="BQ25" s="957"/>
      <c r="BR25" s="957"/>
      <c r="BS25" s="957"/>
      <c r="BT25" s="962" t="s">
        <v>538</v>
      </c>
      <c r="BU25" s="963">
        <f>(BU23-BU19)/BU19</f>
        <v>1.8120393120392975E-2</v>
      </c>
    </row>
    <row r="26" spans="3:73" x14ac:dyDescent="0.2">
      <c r="BJ26" s="964"/>
      <c r="BK26" s="965"/>
      <c r="BL26" s="965"/>
      <c r="BM26" s="965"/>
      <c r="BN26" s="965"/>
      <c r="BO26" s="965"/>
      <c r="BP26" s="965"/>
      <c r="BQ26" s="965"/>
      <c r="BR26" s="965"/>
      <c r="BS26" s="965"/>
      <c r="BT26" s="965"/>
      <c r="BU26" s="966"/>
    </row>
  </sheetData>
  <mergeCells count="1">
    <mergeCell ref="BJ21:BL21"/>
  </mergeCells>
  <pageMargins left="0.25" right="0.25" top="1" bottom="1" header="0.5" footer="0.5"/>
  <pageSetup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47"/>
  <sheetViews>
    <sheetView topLeftCell="A131" zoomScale="90" zoomScaleNormal="90" workbookViewId="0">
      <selection activeCell="J150" sqref="J150"/>
    </sheetView>
  </sheetViews>
  <sheetFormatPr defaultRowHeight="14.25" x14ac:dyDescent="0.2"/>
  <cols>
    <col min="3" max="3" width="16.25" style="1027" customWidth="1"/>
    <col min="4" max="4" width="19.625" style="1027" customWidth="1"/>
  </cols>
  <sheetData>
    <row r="1" spans="3:13" x14ac:dyDescent="0.2">
      <c r="C1" s="1086"/>
      <c r="D1" s="1087" t="s">
        <v>557</v>
      </c>
      <c r="E1" s="721"/>
      <c r="F1" s="721"/>
      <c r="G1" s="721"/>
      <c r="H1" s="721"/>
    </row>
    <row r="2" spans="3:13" ht="15" x14ac:dyDescent="0.25">
      <c r="C2" s="1159" t="s">
        <v>544</v>
      </c>
      <c r="D2" s="1159"/>
      <c r="E2" s="1159"/>
      <c r="F2" s="1159"/>
      <c r="G2" s="1159"/>
      <c r="H2" s="1159"/>
      <c r="I2" s="436"/>
      <c r="J2" s="1158"/>
      <c r="K2" s="1158"/>
      <c r="L2" s="1158"/>
      <c r="M2" s="1158"/>
    </row>
    <row r="3" spans="3:13" ht="13.9" customHeight="1" x14ac:dyDescent="0.2">
      <c r="C3" s="1166" t="s">
        <v>253</v>
      </c>
      <c r="D3" s="1089" t="s">
        <v>545</v>
      </c>
      <c r="E3" s="1085" t="s">
        <v>546</v>
      </c>
      <c r="F3" s="1085"/>
      <c r="G3" s="1085"/>
      <c r="H3" s="1085"/>
    </row>
    <row r="4" spans="3:13" ht="15" x14ac:dyDescent="0.2">
      <c r="C4" s="1166"/>
      <c r="D4" s="1090"/>
      <c r="E4" s="1085" t="s">
        <v>339</v>
      </c>
      <c r="F4" s="1085" t="s">
        <v>340</v>
      </c>
      <c r="G4" s="1085" t="s">
        <v>263</v>
      </c>
      <c r="H4" s="1085" t="s">
        <v>264</v>
      </c>
    </row>
    <row r="5" spans="3:13" ht="15" x14ac:dyDescent="0.2">
      <c r="C5" s="1166"/>
      <c r="D5" s="1091">
        <v>0.9</v>
      </c>
      <c r="E5" s="1092">
        <f>'Youth Res Rate Models'!E28</f>
        <v>484.49978026750284</v>
      </c>
      <c r="F5" s="1092">
        <f>'Youth Res Rate Models'!K28</f>
        <v>407.50964027840962</v>
      </c>
      <c r="G5" s="1092">
        <f>'Youth Res Rate Models'!Q28</f>
        <v>332.28191801156697</v>
      </c>
      <c r="H5" s="1092">
        <f>'Youth Res Rate Models'!W28</f>
        <v>305.80683773125554</v>
      </c>
      <c r="J5" s="1064"/>
      <c r="K5" s="1064"/>
      <c r="L5" s="1064"/>
      <c r="M5" s="1064"/>
    </row>
    <row r="6" spans="3:13" ht="15" x14ac:dyDescent="0.2">
      <c r="C6" s="1166"/>
      <c r="D6" s="1091">
        <v>0.85</v>
      </c>
      <c r="E6" s="1092">
        <f>'Youth Res Rate Models'!E29</f>
        <v>512.99976734206189</v>
      </c>
      <c r="F6" s="1092">
        <f>'Youth Res Rate Models'!K29</f>
        <v>431.4807955889043</v>
      </c>
      <c r="G6" s="1092">
        <f>'Youth Res Rate Models'!Q29</f>
        <v>351.82791318871796</v>
      </c>
      <c r="H6" s="1092">
        <f>'Youth Res Rate Models'!W29</f>
        <v>323.79547524485878</v>
      </c>
      <c r="J6" s="1064"/>
      <c r="K6" s="1064"/>
      <c r="L6" s="1064"/>
      <c r="M6" s="1064"/>
    </row>
    <row r="7" spans="3:13" ht="15" x14ac:dyDescent="0.2">
      <c r="C7" s="1166"/>
      <c r="D7" s="1091">
        <v>0.8</v>
      </c>
      <c r="E7" s="1092">
        <f>'Youth Res Rate Models'!E30</f>
        <v>545.06225280094066</v>
      </c>
      <c r="F7" s="1092">
        <f>'Youth Res Rate Models'!K30</f>
        <v>458.44834531321078</v>
      </c>
      <c r="G7" s="1092">
        <f>'Youth Res Rate Models'!Q30</f>
        <v>373.81715776301286</v>
      </c>
      <c r="H7" s="1092">
        <f>'Youth Res Rate Models'!W30</f>
        <v>344.03269244766244</v>
      </c>
      <c r="J7" s="1064"/>
      <c r="K7" s="1064"/>
      <c r="L7" s="1064"/>
      <c r="M7" s="1064"/>
    </row>
    <row r="8" spans="3:13" ht="15" x14ac:dyDescent="0.2">
      <c r="C8" s="1166"/>
      <c r="D8" s="1091">
        <v>0.75</v>
      </c>
      <c r="E8" s="1092">
        <f>'Youth Res Rate Models'!E31</f>
        <v>581.39973632100339</v>
      </c>
      <c r="F8" s="1092">
        <f>'Youth Res Rate Models'!K31</f>
        <v>489.01156833409152</v>
      </c>
      <c r="G8" s="1092">
        <f>'Youth Res Rate Models'!Q31</f>
        <v>398.73830161388037</v>
      </c>
      <c r="H8" s="1092">
        <f>'Youth Res Rate Models'!W31</f>
        <v>366.96820527750663</v>
      </c>
      <c r="J8" s="1064"/>
      <c r="K8" s="1064"/>
      <c r="L8" s="1064"/>
      <c r="M8" s="1064"/>
    </row>
    <row r="9" spans="3:13" ht="15" x14ac:dyDescent="0.2">
      <c r="C9" s="1166"/>
      <c r="D9" s="1091">
        <v>0.7</v>
      </c>
      <c r="E9" s="1092">
        <f>'Youth Res Rate Models'!E32</f>
        <v>622.92828891536078</v>
      </c>
      <c r="F9" s="1092">
        <f>'Youth Res Rate Models'!K32</f>
        <v>523.94096607224094</v>
      </c>
      <c r="G9" s="1092">
        <f>'Youth Res Rate Models'!Q32</f>
        <v>427.2196088720147</v>
      </c>
      <c r="H9" s="1092">
        <f>'Youth Res Rate Models'!W32</f>
        <v>393.18021994018568</v>
      </c>
      <c r="J9" s="1064"/>
      <c r="K9" s="1064"/>
      <c r="L9" s="1064"/>
      <c r="M9" s="1064"/>
    </row>
    <row r="10" spans="3:13" ht="15" x14ac:dyDescent="0.2">
      <c r="C10" s="1166"/>
      <c r="D10" s="1091">
        <v>0.65</v>
      </c>
      <c r="E10" s="1092">
        <f>'Youth Res Rate Models'!E33</f>
        <v>670.84584960115774</v>
      </c>
      <c r="F10" s="1092">
        <f>'Youth Res Rate Models'!K33</f>
        <v>564.24411730856718</v>
      </c>
      <c r="G10" s="1092">
        <f>'Youth Res Rate Models'!Q33</f>
        <v>460.0826557083235</v>
      </c>
      <c r="H10" s="1092">
        <f>'Youth Res Rate Models'!W33</f>
        <v>423.42485224327686</v>
      </c>
      <c r="J10" s="1064"/>
      <c r="K10" s="1064"/>
      <c r="L10" s="1064"/>
      <c r="M10" s="1064"/>
    </row>
    <row r="11" spans="3:13" ht="15" x14ac:dyDescent="0.2">
      <c r="C11" s="1166"/>
      <c r="D11" s="1091">
        <v>0.6</v>
      </c>
      <c r="E11" s="1092">
        <f>'Youth Res Rate Models'!E34</f>
        <v>726.74967040125432</v>
      </c>
      <c r="F11" s="1092">
        <f>'Youth Res Rate Models'!K34</f>
        <v>611.26446041761437</v>
      </c>
      <c r="G11" s="1092">
        <f>'Youth Res Rate Models'!Q34</f>
        <v>498.42287701735046</v>
      </c>
      <c r="H11" s="1092">
        <f>'Youth Res Rate Models'!W34</f>
        <v>458.71025659688326</v>
      </c>
      <c r="J11" s="1064"/>
      <c r="K11" s="1064"/>
      <c r="L11" s="1064"/>
      <c r="M11" s="1064"/>
    </row>
    <row r="12" spans="3:13" ht="15" x14ac:dyDescent="0.2">
      <c r="C12" s="1166"/>
      <c r="D12" s="1091">
        <v>0.55000000000000004</v>
      </c>
      <c r="E12" s="1092">
        <f>'Youth Res Rate Models'!E35</f>
        <v>792.81782225591371</v>
      </c>
      <c r="F12" s="1092">
        <f>'Youth Res Rate Models'!K35</f>
        <v>666.83395681921559</v>
      </c>
      <c r="G12" s="1092">
        <f>'Youth Res Rate Models'!Q35</f>
        <v>543.73404765529131</v>
      </c>
      <c r="H12" s="1092">
        <f>'Youth Res Rate Models'!W35</f>
        <v>500.41118901478177</v>
      </c>
      <c r="J12" s="1064"/>
      <c r="K12" s="1064"/>
      <c r="L12" s="1064"/>
      <c r="M12" s="1064"/>
    </row>
    <row r="13" spans="3:13" ht="15" x14ac:dyDescent="0.2">
      <c r="C13" s="1166"/>
      <c r="D13" s="1091">
        <v>0.5</v>
      </c>
      <c r="E13" s="1092">
        <f>'Youth Res Rate Models'!E36</f>
        <v>872.09960448150514</v>
      </c>
      <c r="F13" s="1092">
        <f>'Youth Res Rate Models'!K36</f>
        <v>733.51735250113722</v>
      </c>
      <c r="G13" s="1092">
        <f>'Youth Res Rate Models'!Q36</f>
        <v>598.10745242082055</v>
      </c>
      <c r="H13" s="1092">
        <f>'Youth Res Rate Models'!W36</f>
        <v>550.45230791625988</v>
      </c>
      <c r="J13" s="1064"/>
      <c r="K13" s="1064"/>
      <c r="L13" s="1064"/>
      <c r="M13" s="1064"/>
    </row>
    <row r="14" spans="3:13" ht="15.75" x14ac:dyDescent="0.2">
      <c r="C14" s="1093"/>
      <c r="D14" s="1094"/>
      <c r="E14" s="1085"/>
      <c r="F14" s="1085"/>
      <c r="G14" s="1085"/>
      <c r="H14" s="1085"/>
    </row>
    <row r="15" spans="3:13" ht="14.45" customHeight="1" x14ac:dyDescent="0.2">
      <c r="C15" s="1166" t="s">
        <v>297</v>
      </c>
      <c r="D15" s="1088" t="s">
        <v>545</v>
      </c>
      <c r="E15" s="1085" t="s">
        <v>546</v>
      </c>
      <c r="F15" s="1085"/>
      <c r="G15" s="1085"/>
      <c r="H15" s="1085"/>
    </row>
    <row r="16" spans="3:13" ht="15" x14ac:dyDescent="0.2">
      <c r="C16" s="1166"/>
      <c r="D16" s="1095"/>
      <c r="E16" s="1085" t="s">
        <v>339</v>
      </c>
      <c r="F16" s="1085" t="s">
        <v>340</v>
      </c>
      <c r="G16" s="1085" t="s">
        <v>263</v>
      </c>
      <c r="H16" s="1085" t="s">
        <v>264</v>
      </c>
    </row>
    <row r="17" spans="3:13" ht="15" x14ac:dyDescent="0.2">
      <c r="C17" s="1166"/>
      <c r="D17" s="1096">
        <v>0.9</v>
      </c>
      <c r="E17" s="1092">
        <f>'Youth Res Rate Models'!E69</f>
        <v>462.94193325096575</v>
      </c>
      <c r="F17" s="1092">
        <f>'Youth Res Rate Models'!K69</f>
        <v>385.95179401170338</v>
      </c>
      <c r="G17" s="1092">
        <f>'Youth Res Rate Models'!Q69</f>
        <v>310.72407099502988</v>
      </c>
      <c r="H17" s="1092">
        <f>'Youth Res Rate Models'!W69</f>
        <v>284.24899102464855</v>
      </c>
      <c r="J17" s="1064"/>
      <c r="K17" s="1064"/>
      <c r="L17" s="1064"/>
      <c r="M17" s="1064"/>
    </row>
    <row r="18" spans="3:13" ht="15" x14ac:dyDescent="0.2">
      <c r="C18" s="1166"/>
      <c r="D18" s="1096">
        <v>0.85</v>
      </c>
      <c r="E18" s="1092">
        <f>'Youth Res Rate Models'!E70</f>
        <v>490.17381167749312</v>
      </c>
      <c r="F18" s="1092">
        <f>'Youth Res Rate Models'!K70</f>
        <v>408.65484071827416</v>
      </c>
      <c r="G18" s="1092">
        <f>'Youth Res Rate Models'!Q70</f>
        <v>329.00195752414925</v>
      </c>
      <c r="H18" s="1092">
        <f>'Youth Res Rate Models'!W70</f>
        <v>300.96951990845145</v>
      </c>
      <c r="J18" s="1064"/>
      <c r="K18" s="1064"/>
      <c r="L18" s="1064"/>
      <c r="M18" s="1064"/>
    </row>
    <row r="19" spans="3:13" ht="15" x14ac:dyDescent="0.2">
      <c r="C19" s="1166"/>
      <c r="D19" s="1096">
        <v>0.8</v>
      </c>
      <c r="E19" s="1092">
        <f>'Youth Res Rate Models'!E71</f>
        <v>520.80967490733644</v>
      </c>
      <c r="F19" s="1092">
        <f>'Youth Res Rate Models'!K71</f>
        <v>434.19576826316631</v>
      </c>
      <c r="G19" s="1092">
        <f>'Youth Res Rate Models'!Q71</f>
        <v>349.56457986940859</v>
      </c>
      <c r="H19" s="1092">
        <f>'Youth Res Rate Models'!W71</f>
        <v>319.78011490272962</v>
      </c>
      <c r="J19" s="1064"/>
      <c r="K19" s="1064"/>
      <c r="L19" s="1064"/>
      <c r="M19" s="1064"/>
    </row>
    <row r="20" spans="3:13" ht="15" x14ac:dyDescent="0.2">
      <c r="C20" s="1166"/>
      <c r="D20" s="1096">
        <v>0.75</v>
      </c>
      <c r="E20" s="1092">
        <f>'Youth Res Rate Models'!E72</f>
        <v>555.53031990115892</v>
      </c>
      <c r="F20" s="1092">
        <f>'Youth Res Rate Models'!K72</f>
        <v>463.14215281404404</v>
      </c>
      <c r="G20" s="1092">
        <f>'Youth Res Rate Models'!Q72</f>
        <v>372.86888519403584</v>
      </c>
      <c r="H20" s="1092">
        <f>'Youth Res Rate Models'!W72</f>
        <v>341.0987892295783</v>
      </c>
      <c r="J20" s="1064"/>
      <c r="K20" s="1064"/>
      <c r="L20" s="1064"/>
      <c r="M20" s="1064"/>
    </row>
    <row r="21" spans="3:13" ht="15" x14ac:dyDescent="0.2">
      <c r="C21" s="1166"/>
      <c r="D21" s="1096">
        <v>0.7</v>
      </c>
      <c r="E21" s="1092">
        <f>'Youth Res Rate Models'!E73</f>
        <v>595.21105703695594</v>
      </c>
      <c r="F21" s="1092">
        <f>'Youth Res Rate Models'!K73</f>
        <v>496.2237351579044</v>
      </c>
      <c r="G21" s="1092">
        <f>'Youth Res Rate Models'!Q73</f>
        <v>399.50237699360986</v>
      </c>
      <c r="H21" s="1092">
        <f>'Youth Res Rate Models'!W73</f>
        <v>365.46298846026247</v>
      </c>
      <c r="J21" s="1064"/>
      <c r="K21" s="1064"/>
      <c r="L21" s="1064"/>
      <c r="M21" s="1064"/>
    </row>
    <row r="22" spans="3:13" ht="15" x14ac:dyDescent="0.2">
      <c r="C22" s="1166"/>
      <c r="D22" s="1096">
        <v>0.65</v>
      </c>
      <c r="E22" s="1092">
        <f>'Youth Res Rate Models'!E74</f>
        <v>640.99652296287559</v>
      </c>
      <c r="F22" s="1092">
        <f>'Youth Res Rate Models'!K74</f>
        <v>534.39479170851234</v>
      </c>
      <c r="G22" s="1092">
        <f>'Youth Res Rate Models'!Q74</f>
        <v>430.23332907004135</v>
      </c>
      <c r="H22" s="1092">
        <f>'Youth Res Rate Models'!W74</f>
        <v>393.57552603412881</v>
      </c>
      <c r="J22" s="1064"/>
      <c r="K22" s="1064"/>
      <c r="L22" s="1064"/>
      <c r="M22" s="1064"/>
    </row>
    <row r="23" spans="3:13" ht="15" x14ac:dyDescent="0.2">
      <c r="C23" s="1166"/>
      <c r="D23" s="1096">
        <v>0.6</v>
      </c>
      <c r="E23" s="1092">
        <f>'Youth Res Rate Models'!E75</f>
        <v>694.41289987644859</v>
      </c>
      <c r="F23" s="1092">
        <f>'Youth Res Rate Models'!K75</f>
        <v>578.92769101755505</v>
      </c>
      <c r="G23" s="1092">
        <f>'Youth Res Rate Models'!Q75</f>
        <v>466.08610649254479</v>
      </c>
      <c r="H23" s="1092">
        <f>'Youth Res Rate Models'!W75</f>
        <v>426.37348653697285</v>
      </c>
      <c r="J23" s="1064"/>
      <c r="K23" s="1064"/>
      <c r="L23" s="1064"/>
      <c r="M23" s="1064"/>
    </row>
    <row r="24" spans="3:13" ht="15" x14ac:dyDescent="0.2">
      <c r="C24" s="1166"/>
      <c r="D24" s="1096">
        <v>0.55000000000000004</v>
      </c>
      <c r="E24" s="1092">
        <f>'Youth Res Rate Models'!E76</f>
        <v>757.54134531976206</v>
      </c>
      <c r="F24" s="1092">
        <f>'Youth Res Rate Models'!K76</f>
        <v>631.55748111005994</v>
      </c>
      <c r="G24" s="1092">
        <f>'Youth Res Rate Models'!Q76</f>
        <v>508.45757071913971</v>
      </c>
      <c r="H24" s="1092">
        <f>'Youth Res Rate Models'!W76</f>
        <v>465.13471258578858</v>
      </c>
      <c r="J24" s="1064"/>
      <c r="K24" s="1064"/>
      <c r="L24" s="1064"/>
      <c r="M24" s="1064"/>
    </row>
    <row r="25" spans="3:13" ht="15" x14ac:dyDescent="0.2">
      <c r="C25" s="1166"/>
      <c r="D25" s="1096">
        <v>0.5</v>
      </c>
      <c r="E25" s="1092">
        <f>'Youth Res Rate Models'!E77</f>
        <v>833.29547985173826</v>
      </c>
      <c r="F25" s="1092">
        <f>'Youth Res Rate Models'!K77</f>
        <v>694.71322922106606</v>
      </c>
      <c r="G25" s="1092">
        <f>'Youth Res Rate Models'!Q77</f>
        <v>559.30332779105379</v>
      </c>
      <c r="H25" s="1092">
        <f>'Youth Res Rate Models'!W77</f>
        <v>511.64818384436745</v>
      </c>
      <c r="J25" s="1064"/>
      <c r="K25" s="1064"/>
      <c r="L25" s="1064"/>
      <c r="M25" s="1064"/>
    </row>
    <row r="26" spans="3:13" ht="15.75" x14ac:dyDescent="0.2">
      <c r="C26" s="1093"/>
      <c r="D26" s="1094"/>
      <c r="E26" s="1085"/>
      <c r="F26" s="1085"/>
      <c r="G26" s="1085"/>
      <c r="H26" s="1085"/>
    </row>
    <row r="27" spans="3:13" ht="14.45" customHeight="1" x14ac:dyDescent="0.2">
      <c r="C27" s="1166" t="s">
        <v>298</v>
      </c>
      <c r="D27" s="1088" t="s">
        <v>545</v>
      </c>
      <c r="E27" s="1085" t="s">
        <v>546</v>
      </c>
      <c r="F27" s="1085"/>
      <c r="G27" s="1085"/>
      <c r="H27" s="1085"/>
    </row>
    <row r="28" spans="3:13" ht="15" x14ac:dyDescent="0.2">
      <c r="C28" s="1166"/>
      <c r="D28" s="1095"/>
      <c r="E28" s="1085" t="s">
        <v>339</v>
      </c>
      <c r="F28" s="1085" t="s">
        <v>340</v>
      </c>
      <c r="G28" s="1085" t="s">
        <v>263</v>
      </c>
      <c r="H28" s="1085" t="s">
        <v>264</v>
      </c>
    </row>
    <row r="29" spans="3:13" ht="15" x14ac:dyDescent="0.2">
      <c r="C29" s="1166"/>
      <c r="D29" s="1096">
        <v>0.9</v>
      </c>
      <c r="E29" s="1092">
        <f>'Youth Res Rate Models'!E110</f>
        <v>445.28292688314087</v>
      </c>
      <c r="F29" s="1092">
        <f>'Youth Res Rate Models'!K110</f>
        <v>368.29278647747492</v>
      </c>
      <c r="G29" s="1092">
        <f>'Youth Res Rate Models'!Q110</f>
        <v>293.06506411065487</v>
      </c>
      <c r="H29" s="1092">
        <f>'Youth Res Rate Models'!W110</f>
        <v>281.97397512705726</v>
      </c>
      <c r="J29" s="1064"/>
      <c r="K29" s="1064"/>
      <c r="L29" s="1064"/>
      <c r="M29" s="1064"/>
    </row>
    <row r="30" spans="3:13" ht="15" x14ac:dyDescent="0.2">
      <c r="C30" s="1166"/>
      <c r="D30" s="1096">
        <v>0.85</v>
      </c>
      <c r="E30" s="1092">
        <f>'Youth Res Rate Models'!E111</f>
        <v>471.47604022920802</v>
      </c>
      <c r="F30" s="1092">
        <f>'Youth Res Rate Models'!K111</f>
        <v>389.95706803497342</v>
      </c>
      <c r="G30" s="1092">
        <f>'Youth Res Rate Models'!Q111</f>
        <v>310.30418552892866</v>
      </c>
      <c r="H30" s="1092">
        <f>'Youth Res Rate Models'!W111</f>
        <v>298.56067954629594</v>
      </c>
      <c r="J30" s="1064"/>
      <c r="K30" s="1064"/>
      <c r="L30" s="1064"/>
      <c r="M30" s="1064"/>
    </row>
    <row r="31" spans="3:13" ht="15" x14ac:dyDescent="0.2">
      <c r="C31" s="1166"/>
      <c r="D31" s="1096">
        <v>0.8</v>
      </c>
      <c r="E31" s="1092">
        <f>'Youth Res Rate Models'!E112</f>
        <v>500.9432927435335</v>
      </c>
      <c r="F31" s="1092">
        <f>'Youth Res Rate Models'!K112</f>
        <v>414.32938478715926</v>
      </c>
      <c r="G31" s="1092">
        <f>'Youth Res Rate Models'!Q112</f>
        <v>329.69819712448674</v>
      </c>
      <c r="H31" s="1092">
        <f>'Youth Res Rate Models'!W112</f>
        <v>317.22072201793941</v>
      </c>
      <c r="J31" s="1064"/>
      <c r="K31" s="1064"/>
      <c r="L31" s="1064"/>
      <c r="M31" s="1064"/>
    </row>
    <row r="32" spans="3:13" ht="15" x14ac:dyDescent="0.2">
      <c r="C32" s="1166"/>
      <c r="D32" s="1096">
        <v>0.75</v>
      </c>
      <c r="E32" s="1092">
        <f>'Youth Res Rate Models'!E113</f>
        <v>534.33951225976909</v>
      </c>
      <c r="F32" s="1092">
        <f>'Youth Res Rate Models'!K113</f>
        <v>441.95134377296989</v>
      </c>
      <c r="G32" s="1092">
        <f>'Youth Res Rate Models'!Q113</f>
        <v>351.67807693278581</v>
      </c>
      <c r="H32" s="1092">
        <f>'Youth Res Rate Models'!W113</f>
        <v>338.36877015246876</v>
      </c>
      <c r="J32" s="1064"/>
      <c r="K32" s="1064"/>
      <c r="L32" s="1064"/>
      <c r="M32" s="1064"/>
    </row>
    <row r="33" spans="3:13" ht="15" x14ac:dyDescent="0.2">
      <c r="C33" s="1166"/>
      <c r="D33" s="1096">
        <v>0.7</v>
      </c>
      <c r="E33" s="1092">
        <f>'Youth Res Rate Models'!E114</f>
        <v>572.50662027832402</v>
      </c>
      <c r="F33" s="1092">
        <f>'Youth Res Rate Models'!K114</f>
        <v>473.51929689961065</v>
      </c>
      <c r="G33" s="1092">
        <f>'Youth Res Rate Models'!Q114</f>
        <v>376.79793957084195</v>
      </c>
      <c r="H33" s="1092">
        <f>'Youth Res Rate Models'!W114</f>
        <v>362.53796802050221</v>
      </c>
      <c r="J33" s="1064"/>
      <c r="K33" s="1064"/>
      <c r="L33" s="1064"/>
      <c r="M33" s="1064"/>
    </row>
    <row r="34" spans="3:13" ht="15" x14ac:dyDescent="0.2">
      <c r="C34" s="1166"/>
      <c r="D34" s="1096">
        <v>0.65</v>
      </c>
      <c r="E34" s="1092">
        <f>'Youth Res Rate Models'!E115</f>
        <v>616.54559106896431</v>
      </c>
      <c r="F34" s="1092">
        <f>'Youth Res Rate Models'!K115</f>
        <v>509.94385819958063</v>
      </c>
      <c r="G34" s="1092">
        <f>'Youth Res Rate Models'!Q115</f>
        <v>405.78239646090674</v>
      </c>
      <c r="H34" s="1092">
        <f>'Youth Res Rate Models'!W115</f>
        <v>390.42550402207928</v>
      </c>
      <c r="J34" s="1064"/>
      <c r="K34" s="1064"/>
      <c r="L34" s="1064"/>
      <c r="M34" s="1064"/>
    </row>
    <row r="35" spans="3:13" ht="15" x14ac:dyDescent="0.2">
      <c r="C35" s="1166"/>
      <c r="D35" s="1096">
        <v>0.6</v>
      </c>
      <c r="E35" s="1092">
        <f>'Youth Res Rate Models'!E116</f>
        <v>667.92439032471134</v>
      </c>
      <c r="F35" s="1092">
        <f>'Youth Res Rate Models'!K116</f>
        <v>552.43917971621238</v>
      </c>
      <c r="G35" s="1092">
        <f>'Youth Res Rate Models'!Q116</f>
        <v>439.59759616598228</v>
      </c>
      <c r="H35" s="1092">
        <f>'Youth Res Rate Models'!W116</f>
        <v>422.96096269058592</v>
      </c>
      <c r="J35" s="1064"/>
      <c r="K35" s="1064"/>
      <c r="L35" s="1064"/>
      <c r="M35" s="1064"/>
    </row>
    <row r="36" spans="3:13" ht="15" x14ac:dyDescent="0.2">
      <c r="C36" s="1166"/>
      <c r="D36" s="1096">
        <v>0.55000000000000004</v>
      </c>
      <c r="E36" s="1092">
        <f>'Youth Res Rate Models'!E117</f>
        <v>728.64478944513962</v>
      </c>
      <c r="F36" s="1092">
        <f>'Youth Res Rate Models'!K117</f>
        <v>602.66092332677704</v>
      </c>
      <c r="G36" s="1092">
        <f>'Youth Res Rate Models'!Q117</f>
        <v>479.56101399925336</v>
      </c>
      <c r="H36" s="1092">
        <f>'Youth Res Rate Models'!W117</f>
        <v>461.41195929882099</v>
      </c>
      <c r="J36" s="1064"/>
      <c r="K36" s="1064"/>
      <c r="L36" s="1064"/>
      <c r="M36" s="1064"/>
    </row>
    <row r="37" spans="3:13" ht="15" x14ac:dyDescent="0.2">
      <c r="C37" s="1166"/>
      <c r="D37" s="1096">
        <v>0.5</v>
      </c>
      <c r="E37" s="1092">
        <f>'Youth Res Rate Models'!E118</f>
        <v>801.50926838965358</v>
      </c>
      <c r="F37" s="1092">
        <f>'Youth Res Rate Models'!K118</f>
        <v>662.92701565945481</v>
      </c>
      <c r="G37" s="1092">
        <f>'Youth Res Rate Models'!Q118</f>
        <v>527.51711539917869</v>
      </c>
      <c r="H37" s="1092">
        <f>'Youth Res Rate Models'!W118</f>
        <v>507.55315522870308</v>
      </c>
      <c r="J37" s="1064"/>
      <c r="K37" s="1064"/>
      <c r="L37" s="1064"/>
      <c r="M37" s="1064"/>
    </row>
    <row r="38" spans="3:13" ht="15.75" x14ac:dyDescent="0.2">
      <c r="C38" s="1093"/>
      <c r="D38" s="1094"/>
      <c r="E38" s="1085"/>
      <c r="F38" s="1085"/>
      <c r="G38" s="1085"/>
      <c r="H38" s="1085"/>
    </row>
    <row r="39" spans="3:13" ht="28.15" customHeight="1" x14ac:dyDescent="0.2">
      <c r="C39" s="1166" t="s">
        <v>547</v>
      </c>
      <c r="D39" s="1088" t="s">
        <v>545</v>
      </c>
      <c r="E39" s="1085" t="s">
        <v>546</v>
      </c>
      <c r="F39" s="1085"/>
      <c r="G39" s="1085"/>
      <c r="H39" s="1085"/>
    </row>
    <row r="40" spans="3:13" ht="15" x14ac:dyDescent="0.2">
      <c r="C40" s="1166"/>
      <c r="D40" s="1095"/>
      <c r="E40" s="1085" t="s">
        <v>339</v>
      </c>
      <c r="F40" s="1085" t="s">
        <v>340</v>
      </c>
      <c r="G40" s="1085" t="s">
        <v>263</v>
      </c>
      <c r="H40" s="1085" t="s">
        <v>264</v>
      </c>
    </row>
    <row r="41" spans="3:13" ht="15" x14ac:dyDescent="0.2">
      <c r="C41" s="1166"/>
      <c r="D41" s="1096">
        <v>0.9</v>
      </c>
      <c r="E41" s="1092">
        <f>'Youth Res Rate Models'!E147</f>
        <v>417.72622514715829</v>
      </c>
      <c r="F41" s="1092">
        <f>'Youth Res Rate Models'!K147</f>
        <v>348.38084902481717</v>
      </c>
      <c r="G41" s="1092">
        <f>'Youth Res Rate Models'!Q147</f>
        <v>278.36815686249764</v>
      </c>
      <c r="H41" s="1092">
        <f>'Youth Res Rate Models'!W147</f>
        <v>257.29700424646313</v>
      </c>
      <c r="J41" s="1064"/>
      <c r="K41" s="1064"/>
      <c r="L41" s="1064"/>
      <c r="M41" s="1064"/>
    </row>
    <row r="42" spans="3:13" ht="15" x14ac:dyDescent="0.2">
      <c r="C42" s="1166"/>
      <c r="D42" s="1096">
        <v>0.85</v>
      </c>
      <c r="E42" s="1092">
        <f>'Youth Res Rate Models'!E148</f>
        <v>442.29835603816758</v>
      </c>
      <c r="F42" s="1092">
        <f>'Youth Res Rate Models'!K148</f>
        <v>368.8738401439241</v>
      </c>
      <c r="G42" s="1092">
        <f>'Youth Res Rate Models'!Q148</f>
        <v>294.74275432499746</v>
      </c>
      <c r="H42" s="1092">
        <f>'Youth Res Rate Models'!W148</f>
        <v>272.4321221433139</v>
      </c>
      <c r="J42" s="1064"/>
      <c r="K42" s="1064"/>
      <c r="L42" s="1064"/>
      <c r="M42" s="1064"/>
    </row>
    <row r="43" spans="3:13" ht="15" x14ac:dyDescent="0.2">
      <c r="C43" s="1166"/>
      <c r="D43" s="1096">
        <v>0.8</v>
      </c>
      <c r="E43" s="1092">
        <f>'Youth Res Rate Models'!E149</f>
        <v>469.94200329055309</v>
      </c>
      <c r="F43" s="1092">
        <f>'Youth Res Rate Models'!K149</f>
        <v>391.92845515291935</v>
      </c>
      <c r="G43" s="1092">
        <f>'Youth Res Rate Models'!Q149</f>
        <v>313.16417647030983</v>
      </c>
      <c r="H43" s="1092">
        <f>'Youth Res Rate Models'!W149</f>
        <v>289.45912977727107</v>
      </c>
      <c r="J43" s="1064"/>
      <c r="K43" s="1064"/>
      <c r="L43" s="1064"/>
      <c r="M43" s="1064"/>
    </row>
    <row r="44" spans="3:13" ht="15" x14ac:dyDescent="0.2">
      <c r="C44" s="1166"/>
      <c r="D44" s="1096">
        <v>0.75</v>
      </c>
      <c r="E44" s="1092">
        <f>'Youth Res Rate Models'!E150</f>
        <v>501.27147017658996</v>
      </c>
      <c r="F44" s="1092">
        <f>'Youth Res Rate Models'!K150</f>
        <v>418.05701882978065</v>
      </c>
      <c r="G44" s="1092">
        <f>'Youth Res Rate Models'!Q150</f>
        <v>334.04178823499717</v>
      </c>
      <c r="H44" s="1092">
        <f>'Youth Res Rate Models'!W150</f>
        <v>308.75640509575578</v>
      </c>
      <c r="J44" s="1064"/>
      <c r="K44" s="1064"/>
      <c r="L44" s="1064"/>
      <c r="M44" s="1064"/>
    </row>
    <row r="45" spans="3:13" ht="15" x14ac:dyDescent="0.2">
      <c r="C45" s="1166"/>
      <c r="D45" s="1096">
        <v>0.7</v>
      </c>
      <c r="E45" s="1092">
        <f>'Youth Res Rate Models'!E151</f>
        <v>537.07657518920348</v>
      </c>
      <c r="F45" s="1092">
        <f>'Youth Res Rate Models'!K151</f>
        <v>447.91823446047931</v>
      </c>
      <c r="G45" s="1092">
        <f>'Youth Res Rate Models'!Q151</f>
        <v>357.90191596606837</v>
      </c>
      <c r="H45" s="1092">
        <f>'Youth Res Rate Models'!W151</f>
        <v>330.81043403116689</v>
      </c>
      <c r="J45" s="1064"/>
      <c r="K45" s="1064"/>
      <c r="L45" s="1064"/>
      <c r="M45" s="1064"/>
    </row>
    <row r="46" spans="3:13" ht="15" x14ac:dyDescent="0.2">
      <c r="C46" s="1166"/>
      <c r="D46" s="1096">
        <v>0.65</v>
      </c>
      <c r="E46" s="1092">
        <f>'Youth Res Rate Models'!E152</f>
        <v>578.39015789606538</v>
      </c>
      <c r="F46" s="1092">
        <f>'Youth Res Rate Models'!K152</f>
        <v>482.37348326513148</v>
      </c>
      <c r="G46" s="1092">
        <f>'Youth Res Rate Models'!Q152</f>
        <v>385.43283257884286</v>
      </c>
      <c r="H46" s="1092">
        <f>'Youth Res Rate Models'!W152</f>
        <v>356.25739049510281</v>
      </c>
      <c r="J46" s="1064"/>
      <c r="K46" s="1064"/>
      <c r="L46" s="1064"/>
      <c r="M46" s="1064"/>
    </row>
    <row r="47" spans="3:13" ht="15" x14ac:dyDescent="0.2">
      <c r="C47" s="1166"/>
      <c r="D47" s="1096">
        <v>0.6</v>
      </c>
      <c r="E47" s="1092">
        <f>'Youth Res Rate Models'!E153</f>
        <v>626.58933772073738</v>
      </c>
      <c r="F47" s="1092">
        <f>'Youth Res Rate Models'!K153</f>
        <v>522.57127353722581</v>
      </c>
      <c r="G47" s="1092">
        <f>'Youth Res Rate Models'!Q153</f>
        <v>417.55223529374643</v>
      </c>
      <c r="H47" s="1092">
        <f>'Youth Res Rate Models'!W153</f>
        <v>385.94550636969473</v>
      </c>
      <c r="J47" s="1064"/>
      <c r="K47" s="1064"/>
      <c r="L47" s="1064"/>
      <c r="M47" s="1064"/>
    </row>
    <row r="48" spans="3:13" ht="15" x14ac:dyDescent="0.2">
      <c r="C48" s="1166"/>
      <c r="D48" s="1096">
        <v>0.55000000000000004</v>
      </c>
      <c r="E48" s="1092">
        <f>'Youth Res Rate Models'!E154</f>
        <v>683.55200478625898</v>
      </c>
      <c r="F48" s="1092">
        <f>'Youth Res Rate Models'!K154</f>
        <v>570.07775294970077</v>
      </c>
      <c r="G48" s="1092">
        <f>'Youth Res Rate Models'!Q154</f>
        <v>455.51152941135967</v>
      </c>
      <c r="H48" s="1092">
        <f>'Youth Res Rate Models'!W154</f>
        <v>421.03146149421241</v>
      </c>
      <c r="J48" s="1064"/>
      <c r="K48" s="1064"/>
      <c r="L48" s="1064"/>
      <c r="M48" s="1064"/>
    </row>
    <row r="49" spans="3:13" ht="15" x14ac:dyDescent="0.2">
      <c r="C49" s="1166"/>
      <c r="D49" s="1096">
        <v>0.5</v>
      </c>
      <c r="E49" s="1092">
        <f>'Youth Res Rate Models'!E155</f>
        <v>751.90720526488496</v>
      </c>
      <c r="F49" s="1092">
        <f>'Youth Res Rate Models'!K155</f>
        <v>627.08552824467097</v>
      </c>
      <c r="G49" s="1092">
        <f>'Youth Res Rate Models'!Q155</f>
        <v>501.0626823524957</v>
      </c>
      <c r="H49" s="1092">
        <f>'Youth Res Rate Models'!W155</f>
        <v>463.13460764363367</v>
      </c>
      <c r="J49" s="1064"/>
      <c r="K49" s="1064"/>
      <c r="L49" s="1064"/>
      <c r="M49" s="1064"/>
    </row>
    <row r="50" spans="3:13" ht="15.75" x14ac:dyDescent="0.2">
      <c r="C50" s="1093"/>
      <c r="D50" s="1094"/>
      <c r="E50" s="1085"/>
      <c r="F50" s="1085"/>
      <c r="G50" s="1085"/>
      <c r="H50" s="1085"/>
    </row>
    <row r="51" spans="3:13" ht="28.15" customHeight="1" x14ac:dyDescent="0.2">
      <c r="C51" s="1166" t="s">
        <v>548</v>
      </c>
      <c r="D51" s="1088" t="s">
        <v>545</v>
      </c>
      <c r="E51" s="1085" t="s">
        <v>546</v>
      </c>
      <c r="F51" s="1085"/>
      <c r="G51" s="1085"/>
      <c r="H51" s="1085"/>
    </row>
    <row r="52" spans="3:13" ht="15" x14ac:dyDescent="0.2">
      <c r="C52" s="1166"/>
      <c r="D52" s="1088"/>
      <c r="E52" s="1085" t="s">
        <v>343</v>
      </c>
      <c r="F52" s="1085" t="s">
        <v>339</v>
      </c>
      <c r="G52" s="1085" t="s">
        <v>340</v>
      </c>
      <c r="H52" s="1085" t="s">
        <v>263</v>
      </c>
    </row>
    <row r="53" spans="3:13" ht="15" x14ac:dyDescent="0.2">
      <c r="C53" s="1166"/>
      <c r="D53" s="1096">
        <v>0.9</v>
      </c>
      <c r="E53" s="1092">
        <f>'TILP Rates (A&amp;B)'!E33</f>
        <v>362.18851234412631</v>
      </c>
      <c r="F53" s="1092">
        <f>'TILP Rates (A&amp;B)'!K33</f>
        <v>328.54069109069792</v>
      </c>
      <c r="G53" s="1092">
        <f>'TILP Rates (A&amp;B)'!Q33</f>
        <v>316.54503374021226</v>
      </c>
      <c r="H53" s="1092">
        <f>'TILP Rates (A&amp;B)'!W33</f>
        <v>307.99109362315653</v>
      </c>
      <c r="J53" s="1064"/>
      <c r="K53" s="1064"/>
      <c r="L53" s="1064"/>
      <c r="M53" s="1064"/>
    </row>
    <row r="54" spans="3:13" ht="15" x14ac:dyDescent="0.2">
      <c r="C54" s="1166"/>
      <c r="D54" s="1096">
        <v>0.85</v>
      </c>
      <c r="E54" s="1092">
        <f>'TILP Rates (A&amp;B)'!E34</f>
        <v>383.4937189526043</v>
      </c>
      <c r="F54" s="1092">
        <f>'TILP Rates (A&amp;B)'!K34</f>
        <v>347.86661409603312</v>
      </c>
      <c r="G54" s="1092">
        <f>'TILP Rates (A&amp;B)'!Q34</f>
        <v>335.16532984257771</v>
      </c>
      <c r="H54" s="1092">
        <f>'TILP Rates (A&amp;B)'!W34</f>
        <v>326.10821677745986</v>
      </c>
      <c r="J54" s="1064"/>
      <c r="K54" s="1064"/>
      <c r="L54" s="1064"/>
      <c r="M54" s="1064"/>
    </row>
    <row r="55" spans="3:13" ht="15" x14ac:dyDescent="0.2">
      <c r="C55" s="1166"/>
      <c r="D55" s="1096">
        <v>0.8</v>
      </c>
      <c r="E55" s="1092">
        <f>'TILP Rates (A&amp;B)'!E35</f>
        <v>407.46207638714208</v>
      </c>
      <c r="F55" s="1092">
        <f>'TILP Rates (A&amp;B)'!K35</f>
        <v>369.60827747703519</v>
      </c>
      <c r="G55" s="1092">
        <f>'TILP Rates (A&amp;B)'!Q35</f>
        <v>356.11316295773878</v>
      </c>
      <c r="H55" s="1092">
        <f>'TILP Rates (A&amp;B)'!W35</f>
        <v>346.48998032605107</v>
      </c>
      <c r="J55" s="1064"/>
      <c r="K55" s="1064"/>
      <c r="L55" s="1064"/>
      <c r="M55" s="1064"/>
    </row>
    <row r="56" spans="3:13" ht="15" x14ac:dyDescent="0.2">
      <c r="C56" s="1166"/>
      <c r="D56" s="1096">
        <v>0.75</v>
      </c>
      <c r="E56" s="1092">
        <f>'TILP Rates (A&amp;B)'!E36</f>
        <v>434.62621481295156</v>
      </c>
      <c r="F56" s="1092">
        <f>'TILP Rates (A&amp;B)'!K36</f>
        <v>394.24882930883751</v>
      </c>
      <c r="G56" s="1092">
        <f>'TILP Rates (A&amp;B)'!Q36</f>
        <v>379.85404048825473</v>
      </c>
      <c r="H56" s="1092">
        <f>'TILP Rates (A&amp;B)'!W36</f>
        <v>369.58931234778782</v>
      </c>
      <c r="J56" s="1064"/>
      <c r="K56" s="1064"/>
      <c r="L56" s="1064"/>
      <c r="M56" s="1064"/>
    </row>
    <row r="57" spans="3:13" ht="15" x14ac:dyDescent="0.2">
      <c r="C57" s="1166"/>
      <c r="D57" s="1096">
        <v>0.7</v>
      </c>
      <c r="E57" s="1092">
        <f>'TILP Rates (A&amp;B)'!E37</f>
        <v>465.67094444244816</v>
      </c>
      <c r="F57" s="1092">
        <f>'TILP Rates (A&amp;B)'!K37</f>
        <v>422.40945997375445</v>
      </c>
      <c r="G57" s="1092">
        <f>'TILP Rates (A&amp;B)'!Q37</f>
        <v>406.9864719517015</v>
      </c>
      <c r="H57" s="1092">
        <f>'TILP Rates (A&amp;B)'!W37</f>
        <v>395.98854894405838</v>
      </c>
      <c r="J57" s="1064"/>
      <c r="K57" s="1064"/>
      <c r="L57" s="1064"/>
      <c r="M57" s="1064"/>
    </row>
    <row r="58" spans="3:13" ht="15" x14ac:dyDescent="0.2">
      <c r="C58" s="1166"/>
      <c r="D58" s="1096">
        <v>0.65</v>
      </c>
      <c r="E58" s="1092">
        <f>'TILP Rates (A&amp;B)'!E38</f>
        <v>501.49178632263641</v>
      </c>
      <c r="F58" s="1092">
        <f>'TILP Rates (A&amp;B)'!K38</f>
        <v>454.90249535635098</v>
      </c>
      <c r="G58" s="1092">
        <f>'TILP Rates (A&amp;B)'!Q38</f>
        <v>438.29312364029391</v>
      </c>
      <c r="H58" s="1092">
        <f>'TILP Rates (A&amp;B)'!W38</f>
        <v>426.44920655513977</v>
      </c>
      <c r="J58" s="1064"/>
      <c r="K58" s="1064"/>
      <c r="L58" s="1064"/>
      <c r="M58" s="1064"/>
    </row>
    <row r="59" spans="3:13" ht="15" x14ac:dyDescent="0.2">
      <c r="C59" s="1166"/>
      <c r="D59" s="1096">
        <v>0.6</v>
      </c>
      <c r="E59" s="1092">
        <f>'TILP Rates (A&amp;B)'!E39</f>
        <v>543.28276851618944</v>
      </c>
      <c r="F59" s="1092">
        <f>'TILP Rates (A&amp;B)'!K39</f>
        <v>492.81103663604688</v>
      </c>
      <c r="G59" s="1092">
        <f>'TILP Rates (A&amp;B)'!Q39</f>
        <v>474.81755061031839</v>
      </c>
      <c r="H59" s="1092">
        <f>'TILP Rates (A&amp;B)'!W39</f>
        <v>461.98664043473474</v>
      </c>
      <c r="J59" s="1064"/>
      <c r="K59" s="1064"/>
      <c r="L59" s="1064"/>
      <c r="M59" s="1064"/>
    </row>
    <row r="60" spans="3:13" ht="15" x14ac:dyDescent="0.2">
      <c r="C60" s="1166"/>
      <c r="D60" s="1096">
        <v>0.55000000000000004</v>
      </c>
      <c r="E60" s="1092">
        <f>'TILP Rates (A&amp;B)'!E40</f>
        <v>592.67211110857022</v>
      </c>
      <c r="F60" s="1092">
        <f>'TILP Rates (A&amp;B)'!K40</f>
        <v>537.61203996659663</v>
      </c>
      <c r="G60" s="1092">
        <f>'TILP Rates (A&amp;B)'!Q40</f>
        <v>517.98278248398367</v>
      </c>
      <c r="H60" s="1092">
        <f>'TILP Rates (A&amp;B)'!W40</f>
        <v>503.98542592880148</v>
      </c>
      <c r="J60" s="1064"/>
      <c r="K60" s="1064"/>
      <c r="L60" s="1064"/>
      <c r="M60" s="1064"/>
    </row>
    <row r="61" spans="3:13" ht="15" x14ac:dyDescent="0.2">
      <c r="C61" s="1166"/>
      <c r="D61" s="1096">
        <v>0.5</v>
      </c>
      <c r="E61" s="1092">
        <f>'TILP Rates (A&amp;B)'!E41</f>
        <v>651.93932221942737</v>
      </c>
      <c r="F61" s="1092">
        <f>'TILP Rates (A&amp;B)'!K41</f>
        <v>591.3732439632563</v>
      </c>
      <c r="G61" s="1092">
        <f>'TILP Rates (A&amp;B)'!Q41</f>
        <v>569.781060732382</v>
      </c>
      <c r="H61" s="1092">
        <f>'TILP Rates (A&amp;B)'!W41</f>
        <v>554.38396852168171</v>
      </c>
      <c r="J61" s="1064"/>
      <c r="K61" s="1064"/>
      <c r="L61" s="1064"/>
      <c r="M61" s="1064"/>
    </row>
    <row r="62" spans="3:13" ht="15.75" x14ac:dyDescent="0.2">
      <c r="C62" s="1093"/>
      <c r="D62" s="1094"/>
      <c r="E62" s="1085"/>
      <c r="F62" s="1085"/>
      <c r="G62" s="1085"/>
      <c r="H62" s="1085"/>
    </row>
    <row r="63" spans="3:13" ht="28.15" customHeight="1" x14ac:dyDescent="0.2">
      <c r="C63" s="1166" t="s">
        <v>549</v>
      </c>
      <c r="D63" s="1097" t="s">
        <v>545</v>
      </c>
      <c r="E63" s="1085" t="s">
        <v>546</v>
      </c>
      <c r="F63" s="1085"/>
      <c r="G63" s="1085"/>
      <c r="H63" s="1085"/>
    </row>
    <row r="64" spans="3:13" ht="15" x14ac:dyDescent="0.2">
      <c r="C64" s="1166"/>
      <c r="D64" s="1097"/>
      <c r="E64" s="1085" t="s">
        <v>343</v>
      </c>
      <c r="F64" s="1085" t="s">
        <v>339</v>
      </c>
      <c r="G64" s="1085" t="s">
        <v>340</v>
      </c>
      <c r="H64" s="1085" t="s">
        <v>263</v>
      </c>
    </row>
    <row r="65" spans="3:13" ht="15" x14ac:dyDescent="0.2">
      <c r="C65" s="1166"/>
      <c r="D65" s="1096">
        <v>0.9</v>
      </c>
      <c r="E65" s="1092">
        <f>'TILP Rates (A&amp;B)'!E77</f>
        <v>103.06655222677398</v>
      </c>
      <c r="F65" s="1092">
        <f>'TILP Rates (A&amp;B)'!K77</f>
        <v>100.23278490703613</v>
      </c>
      <c r="G65" s="1092">
        <f>'TILP Rates (A&amp;B)'!Q77</f>
        <v>98.844372533594935</v>
      </c>
      <c r="H65" s="1092">
        <f>'TILP Rates (A&amp;B)'!W77</f>
        <v>97.843296829415038</v>
      </c>
      <c r="J65" s="1064"/>
      <c r="K65" s="1064"/>
      <c r="L65" s="1064"/>
      <c r="M65" s="1064"/>
    </row>
    <row r="66" spans="3:13" ht="15" x14ac:dyDescent="0.2">
      <c r="C66" s="1166"/>
      <c r="D66" s="1096">
        <v>0.85</v>
      </c>
      <c r="E66" s="1092">
        <f>'TILP Rates (A&amp;B)'!E78</f>
        <v>109.1292905930548</v>
      </c>
      <c r="F66" s="1092">
        <f>'TILP Rates (A&amp;B)'!K78</f>
        <v>106.12883107803826</v>
      </c>
      <c r="G66" s="1092">
        <f>'TILP Rates (A&amp;B)'!Q78</f>
        <v>104.65874738851228</v>
      </c>
      <c r="H66" s="1092">
        <f>'TILP Rates (A&amp;B)'!W78</f>
        <v>103.59878487820416</v>
      </c>
      <c r="J66" s="1064"/>
      <c r="K66" s="1064"/>
      <c r="L66" s="1064"/>
      <c r="M66" s="1064"/>
    </row>
    <row r="67" spans="3:13" ht="15" x14ac:dyDescent="0.2">
      <c r="C67" s="1166"/>
      <c r="D67" s="1096">
        <v>0.8</v>
      </c>
      <c r="E67" s="1092">
        <f>'TILP Rates (A&amp;B)'!E79</f>
        <v>115.94987125512073</v>
      </c>
      <c r="F67" s="1092">
        <f>'TILP Rates (A&amp;B)'!K79</f>
        <v>112.76188302041565</v>
      </c>
      <c r="G67" s="1092">
        <f>'TILP Rates (A&amp;B)'!Q79</f>
        <v>111.1999191002943</v>
      </c>
      <c r="H67" s="1092">
        <f>'TILP Rates (A&amp;B)'!W79</f>
        <v>110.07370893309191</v>
      </c>
      <c r="J67" s="1064"/>
      <c r="K67" s="1064"/>
      <c r="L67" s="1064"/>
      <c r="M67" s="1064"/>
    </row>
    <row r="68" spans="3:13" ht="15" x14ac:dyDescent="0.2">
      <c r="C68" s="1166"/>
      <c r="D68" s="1096">
        <v>0.75</v>
      </c>
      <c r="E68" s="1092">
        <f>'TILP Rates (A&amp;B)'!E80</f>
        <v>123.67986267212878</v>
      </c>
      <c r="F68" s="1092">
        <f>'TILP Rates (A&amp;B)'!K80</f>
        <v>120.27934188844337</v>
      </c>
      <c r="G68" s="1092">
        <f>'TILP Rates (A&amp;B)'!Q80</f>
        <v>118.61324704031392</v>
      </c>
      <c r="H68" s="1092">
        <f>'TILP Rates (A&amp;B)'!W80</f>
        <v>117.41195619529805</v>
      </c>
      <c r="J68" s="1064"/>
      <c r="K68" s="1064"/>
      <c r="L68" s="1064"/>
      <c r="M68" s="1064"/>
    </row>
    <row r="69" spans="3:13" ht="15" x14ac:dyDescent="0.2">
      <c r="C69" s="1166"/>
      <c r="D69" s="1096">
        <v>0.7</v>
      </c>
      <c r="E69" s="1092">
        <f>'TILP Rates (A&amp;B)'!E81</f>
        <v>132.51413857728085</v>
      </c>
      <c r="F69" s="1092">
        <f>'TILP Rates (A&amp;B)'!K81</f>
        <v>128.87072345190361</v>
      </c>
      <c r="G69" s="1092">
        <f>'TILP Rates (A&amp;B)'!Q81</f>
        <v>127.08562182890779</v>
      </c>
      <c r="H69" s="1092">
        <f>'TILP Rates (A&amp;B)'!W81</f>
        <v>125.79852449496219</v>
      </c>
      <c r="J69" s="1064"/>
      <c r="K69" s="1064"/>
      <c r="L69" s="1064"/>
      <c r="M69" s="1064"/>
    </row>
    <row r="70" spans="3:13" ht="15" x14ac:dyDescent="0.2">
      <c r="C70" s="1166"/>
      <c r="D70" s="1096">
        <v>0.65</v>
      </c>
      <c r="E70" s="1092">
        <f>'TILP Rates (A&amp;B)'!E82</f>
        <v>142.70753385245629</v>
      </c>
      <c r="F70" s="1092">
        <f>'TILP Rates (A&amp;B)'!K82</f>
        <v>138.78385602512697</v>
      </c>
      <c r="G70" s="1092">
        <f>'TILP Rates (A&amp;B)'!Q82</f>
        <v>136.8614388926699</v>
      </c>
      <c r="H70" s="1092">
        <f>'TILP Rates (A&amp;B)'!W82</f>
        <v>135.47533407149774</v>
      </c>
      <c r="J70" s="1064"/>
      <c r="K70" s="1064"/>
      <c r="L70" s="1064"/>
      <c r="M70" s="1064"/>
    </row>
    <row r="71" spans="3:13" ht="15" x14ac:dyDescent="0.2">
      <c r="C71" s="1166"/>
      <c r="D71" s="1096">
        <v>0.6</v>
      </c>
      <c r="E71" s="1092">
        <f>'TILP Rates (A&amp;B)'!E83</f>
        <v>154.59982834016097</v>
      </c>
      <c r="F71" s="1092">
        <f>'TILP Rates (A&amp;B)'!K83</f>
        <v>150.34917736055419</v>
      </c>
      <c r="G71" s="1092">
        <f>'TILP Rates (A&amp;B)'!Q83</f>
        <v>148.2665588003924</v>
      </c>
      <c r="H71" s="1092">
        <f>'TILP Rates (A&amp;B)'!W83</f>
        <v>146.76494524412254</v>
      </c>
      <c r="J71" s="1064"/>
      <c r="K71" s="1064"/>
      <c r="L71" s="1064"/>
      <c r="M71" s="1064"/>
    </row>
    <row r="72" spans="3:13" ht="15" x14ac:dyDescent="0.2">
      <c r="C72" s="1166"/>
      <c r="D72" s="1096">
        <v>0.55000000000000004</v>
      </c>
      <c r="E72" s="1092">
        <f>'TILP Rates (A&amp;B)'!E84</f>
        <v>168.6543581892665</v>
      </c>
      <c r="F72" s="1092">
        <f>'TILP Rates (A&amp;B)'!K84</f>
        <v>164.01728439333186</v>
      </c>
      <c r="G72" s="1092">
        <f>'TILP Rates (A&amp;B)'!Q84</f>
        <v>161.74533687315531</v>
      </c>
      <c r="H72" s="1092">
        <f>'TILP Rates (A&amp;B)'!W84</f>
        <v>160.10721299358823</v>
      </c>
      <c r="J72" s="1064"/>
      <c r="K72" s="1064"/>
      <c r="L72" s="1064"/>
      <c r="M72" s="1064"/>
    </row>
    <row r="73" spans="3:13" ht="15" x14ac:dyDescent="0.2">
      <c r="C73" s="1166"/>
      <c r="D73" s="1096">
        <v>0.5</v>
      </c>
      <c r="E73" s="1092">
        <f>'TILP Rates (A&amp;B)'!E85</f>
        <v>185.51979400819317</v>
      </c>
      <c r="F73" s="1092">
        <f>'TILP Rates (A&amp;B)'!K85</f>
        <v>180.41901283266503</v>
      </c>
      <c r="G73" s="1092">
        <f>'TILP Rates (A&amp;B)'!Q85</f>
        <v>177.91987056047088</v>
      </c>
      <c r="H73" s="1092">
        <f>'TILP Rates (A&amp;B)'!W85</f>
        <v>176.11793429294707</v>
      </c>
      <c r="J73" s="1064"/>
      <c r="K73" s="1064"/>
      <c r="L73" s="1064"/>
      <c r="M73" s="1064"/>
    </row>
    <row r="74" spans="3:13" x14ac:dyDescent="0.2">
      <c r="C74" s="1098"/>
      <c r="D74" s="1085"/>
      <c r="E74" s="1085"/>
      <c r="F74" s="1085"/>
      <c r="G74" s="1085"/>
      <c r="H74" s="1085"/>
    </row>
    <row r="75" spans="3:13" ht="13.9" customHeight="1" x14ac:dyDescent="0.2">
      <c r="C75" s="1160" t="s">
        <v>556</v>
      </c>
      <c r="D75" s="1161"/>
      <c r="E75" s="1161"/>
      <c r="F75" s="1161"/>
      <c r="G75" s="1161"/>
      <c r="H75" s="1162"/>
    </row>
    <row r="76" spans="3:13" ht="30" x14ac:dyDescent="0.2">
      <c r="C76" s="1088" t="s">
        <v>359</v>
      </c>
      <c r="D76" s="1089" t="s">
        <v>545</v>
      </c>
      <c r="E76" s="1163" t="s">
        <v>546</v>
      </c>
      <c r="F76" s="1164"/>
      <c r="G76" s="1164"/>
      <c r="H76" s="1165"/>
    </row>
    <row r="77" spans="3:13" ht="15" x14ac:dyDescent="0.2">
      <c r="C77" s="1088"/>
      <c r="D77" s="1090"/>
      <c r="E77" s="1085" t="s">
        <v>339</v>
      </c>
      <c r="F77" s="1085" t="s">
        <v>340</v>
      </c>
      <c r="G77" s="1085" t="s">
        <v>263</v>
      </c>
      <c r="H77" s="1085" t="s">
        <v>264</v>
      </c>
    </row>
    <row r="78" spans="3:13" ht="15" x14ac:dyDescent="0.2">
      <c r="C78" s="1088" t="s">
        <v>552</v>
      </c>
      <c r="D78" s="1091">
        <v>0.9</v>
      </c>
      <c r="E78" s="1092">
        <f>' Add-On Rates(DC &amp; Clinical)'!I37</f>
        <v>10.395900123637777</v>
      </c>
      <c r="F78" s="1092">
        <f>' Add-On Rates(DC &amp; Clinical)'!I47</f>
        <v>8.0484388053969891</v>
      </c>
      <c r="G78" s="1092">
        <f>' Add-On Rates(DC &amp; Clinical)'!I57</f>
        <v>6.2375400741826672</v>
      </c>
      <c r="H78" s="1092">
        <f>' Add-On Rates(DC &amp; Clinical)'!I67</f>
        <v>4.9900320593461336</v>
      </c>
      <c r="J78" s="1064"/>
      <c r="K78" s="1064"/>
      <c r="L78" s="1064"/>
      <c r="M78" s="1064"/>
    </row>
    <row r="79" spans="3:13" ht="15" x14ac:dyDescent="0.2">
      <c r="C79" s="1099"/>
      <c r="D79" s="1091">
        <v>0.85</v>
      </c>
      <c r="E79" s="1092">
        <f>' Add-On Rates(DC &amp; Clinical)'!I38</f>
        <v>11.007423660322351</v>
      </c>
      <c r="F79" s="1092">
        <f>' Add-On Rates(DC &amp; Clinical)'!I48</f>
        <v>8.5218763821850487</v>
      </c>
      <c r="G79" s="1092">
        <f>' Add-On Rates(DC &amp; Clinical)'!I58</f>
        <v>6.6044541961934122</v>
      </c>
      <c r="H79" s="1092">
        <f>' Add-On Rates(DC &amp; Clinical)'!I68</f>
        <v>5.2835633569547298</v>
      </c>
      <c r="J79" s="1064"/>
      <c r="K79" s="1064"/>
      <c r="L79" s="1064"/>
      <c r="M79" s="1064"/>
    </row>
    <row r="80" spans="3:13" ht="15" x14ac:dyDescent="0.2">
      <c r="C80" s="1099"/>
      <c r="D80" s="1091">
        <v>0.8</v>
      </c>
      <c r="E80" s="1092">
        <f>' Add-On Rates(DC &amp; Clinical)'!I39</f>
        <v>11.695387639092498</v>
      </c>
      <c r="F80" s="1092">
        <f>' Add-On Rates(DC &amp; Clinical)'!I49</f>
        <v>9.0544936560716138</v>
      </c>
      <c r="G80" s="1092">
        <f>' Add-On Rates(DC &amp; Clinical)'!I59</f>
        <v>7.0172325834554998</v>
      </c>
      <c r="H80" s="1092">
        <f>' Add-On Rates(DC &amp; Clinical)'!I69</f>
        <v>5.6137860667643995</v>
      </c>
      <c r="J80" s="1064"/>
      <c r="K80" s="1064"/>
      <c r="L80" s="1064"/>
      <c r="M80" s="1064"/>
    </row>
    <row r="81" spans="3:13" ht="15" x14ac:dyDescent="0.2">
      <c r="C81" s="1099"/>
      <c r="D81" s="1091">
        <v>0.75</v>
      </c>
      <c r="E81" s="1092">
        <f>' Add-On Rates(DC &amp; Clinical)'!I40</f>
        <v>12.475080148365331</v>
      </c>
      <c r="F81" s="1092">
        <f>' Add-On Rates(DC &amp; Clinical)'!I50</f>
        <v>9.6581265664763887</v>
      </c>
      <c r="G81" s="1092">
        <f>' Add-On Rates(DC &amp; Clinical)'!I60</f>
        <v>7.4850480890192008</v>
      </c>
      <c r="H81" s="1092">
        <f>' Add-On Rates(DC &amp; Clinical)'!I70</f>
        <v>5.9880384712153605</v>
      </c>
      <c r="J81" s="1064"/>
      <c r="K81" s="1064"/>
      <c r="L81" s="1064"/>
      <c r="M81" s="1064"/>
    </row>
    <row r="82" spans="3:13" ht="15" x14ac:dyDescent="0.2">
      <c r="C82" s="1099"/>
      <c r="D82" s="1091">
        <v>0.7</v>
      </c>
      <c r="E82" s="1092">
        <f>' Add-On Rates(DC &amp; Clinical)'!I41</f>
        <v>13.36615730182</v>
      </c>
      <c r="F82" s="1092">
        <f>' Add-On Rates(DC &amp; Clinical)'!I51</f>
        <v>10.347992749796131</v>
      </c>
      <c r="G82" s="1092">
        <f>' Add-On Rates(DC &amp; Clinical)'!I61</f>
        <v>8.0196943810920018</v>
      </c>
      <c r="H82" s="1092">
        <f>' Add-On Rates(DC &amp; Clinical)'!I71</f>
        <v>6.4157555048736006</v>
      </c>
      <c r="J82" s="1064"/>
      <c r="K82" s="1064"/>
      <c r="L82" s="1064"/>
      <c r="M82" s="1064"/>
    </row>
    <row r="83" spans="3:13" ht="15" x14ac:dyDescent="0.2">
      <c r="C83" s="1099"/>
      <c r="D83" s="1091">
        <v>0.65</v>
      </c>
      <c r="E83" s="1092">
        <f>' Add-On Rates(DC &amp; Clinical)'!I42</f>
        <v>14.394323248113844</v>
      </c>
      <c r="F83" s="1092">
        <f>' Add-On Rates(DC &amp; Clinical)'!I52</f>
        <v>11.14399219208814</v>
      </c>
      <c r="G83" s="1092">
        <f>' Add-On Rates(DC &amp; Clinical)'!I62</f>
        <v>8.6365939488683079</v>
      </c>
      <c r="H83" s="1092">
        <f>' Add-On Rates(DC &amp; Clinical)'!I72</f>
        <v>6.909275159094646</v>
      </c>
      <c r="J83" s="1064"/>
      <c r="K83" s="1064"/>
      <c r="L83" s="1064"/>
      <c r="M83" s="1064"/>
    </row>
    <row r="84" spans="3:13" ht="15" x14ac:dyDescent="0.2">
      <c r="C84" s="1099"/>
      <c r="D84" s="1091">
        <v>0.6</v>
      </c>
      <c r="E84" s="1092">
        <f>' Add-On Rates(DC &amp; Clinical)'!I43</f>
        <v>15.593850185456665</v>
      </c>
      <c r="F84" s="1092">
        <f>' Add-On Rates(DC &amp; Clinical)'!I53</f>
        <v>12.072658208095486</v>
      </c>
      <c r="G84" s="1092">
        <f>' Add-On Rates(DC &amp; Clinical)'!I63</f>
        <v>9.3563101112740004</v>
      </c>
      <c r="H84" s="1092">
        <f>' Add-On Rates(DC &amp; Clinical)'!I73</f>
        <v>7.4850480890192008</v>
      </c>
      <c r="J84" s="1064"/>
      <c r="K84" s="1064"/>
      <c r="L84" s="1064"/>
      <c r="M84" s="1064"/>
    </row>
    <row r="85" spans="3:13" ht="15" x14ac:dyDescent="0.2">
      <c r="C85" s="1099"/>
      <c r="D85" s="1091">
        <v>0.55000000000000004</v>
      </c>
      <c r="E85" s="1092">
        <f>' Add-On Rates(DC &amp; Clinical)'!I44</f>
        <v>17.011472929589086</v>
      </c>
      <c r="F85" s="1092">
        <f>' Add-On Rates(DC &amp; Clinical)'!I54</f>
        <v>13.170172590649619</v>
      </c>
      <c r="G85" s="1092">
        <f>' Add-On Rates(DC &amp; Clinical)'!I64</f>
        <v>10.206883757753454</v>
      </c>
      <c r="H85" s="1092">
        <f>' Add-On Rates(DC &amp; Clinical)'!I74</f>
        <v>8.1655070062027626</v>
      </c>
      <c r="J85" s="1064"/>
      <c r="K85" s="1064"/>
      <c r="L85" s="1064"/>
      <c r="M85" s="1064"/>
    </row>
    <row r="86" spans="3:13" ht="15" x14ac:dyDescent="0.2">
      <c r="C86" s="1099"/>
      <c r="D86" s="1091">
        <v>0.5</v>
      </c>
      <c r="E86" s="1092">
        <f>' Add-On Rates(DC &amp; Clinical)'!I45</f>
        <v>18.712620222547997</v>
      </c>
      <c r="F86" s="1092">
        <f>' Add-On Rates(DC &amp; Clinical)'!I55</f>
        <v>14.487189849714582</v>
      </c>
      <c r="G86" s="1092">
        <f>' Add-On Rates(DC &amp; Clinical)'!I65</f>
        <v>11.227572133528801</v>
      </c>
      <c r="H86" s="1092">
        <f>' Add-On Rates(DC &amp; Clinical)'!I75</f>
        <v>8.9820577068230403</v>
      </c>
      <c r="J86" s="1064"/>
      <c r="K86" s="1064"/>
      <c r="L86" s="1064"/>
      <c r="M86" s="1064"/>
    </row>
    <row r="87" spans="3:13" ht="15.75" x14ac:dyDescent="0.2">
      <c r="C87" s="1093"/>
      <c r="D87" s="1094"/>
      <c r="E87" s="1085"/>
      <c r="F87" s="1085"/>
      <c r="G87" s="1085"/>
      <c r="H87" s="1085"/>
    </row>
    <row r="88" spans="3:13" ht="30" x14ac:dyDescent="0.2">
      <c r="C88" s="1088" t="s">
        <v>359</v>
      </c>
      <c r="D88" s="1090" t="s">
        <v>545</v>
      </c>
      <c r="E88" s="1163" t="s">
        <v>546</v>
      </c>
      <c r="F88" s="1164"/>
      <c r="G88" s="1164"/>
      <c r="H88" s="1165"/>
    </row>
    <row r="89" spans="3:13" ht="15" x14ac:dyDescent="0.2">
      <c r="C89" s="1088"/>
      <c r="D89" s="1090"/>
      <c r="E89" s="1085" t="s">
        <v>339</v>
      </c>
      <c r="F89" s="1085" t="s">
        <v>340</v>
      </c>
      <c r="G89" s="1085" t="s">
        <v>263</v>
      </c>
      <c r="H89" s="1085" t="s">
        <v>264</v>
      </c>
    </row>
    <row r="90" spans="3:13" ht="15" x14ac:dyDescent="0.2">
      <c r="C90" s="1088" t="s">
        <v>553</v>
      </c>
      <c r="D90" s="1091">
        <v>0.9</v>
      </c>
      <c r="E90" s="1092">
        <f>' Add-On Rates(DC &amp; Clinical)'!R37</f>
        <v>20.791800247275553</v>
      </c>
      <c r="F90" s="1092">
        <f>' Add-On Rates(DC &amp; Clinical)'!R47</f>
        <v>16.096877610793978</v>
      </c>
      <c r="G90" s="1092">
        <f>' Add-On Rates(DC &amp; Clinical)'!R57</f>
        <v>12.475080148365334</v>
      </c>
      <c r="H90" s="1092">
        <f>' Add-On Rates(DC &amp; Clinical)'!R67</f>
        <v>9.9800641186922672</v>
      </c>
      <c r="J90" s="1064"/>
      <c r="K90" s="1064"/>
      <c r="L90" s="1064"/>
      <c r="M90" s="1064"/>
    </row>
    <row r="91" spans="3:13" ht="15" x14ac:dyDescent="0.2">
      <c r="C91" s="1099"/>
      <c r="D91" s="1091">
        <v>0.85</v>
      </c>
      <c r="E91" s="1092">
        <f>' Add-On Rates(DC &amp; Clinical)'!R38</f>
        <v>22.014847320644702</v>
      </c>
      <c r="F91" s="1092">
        <f>' Add-On Rates(DC &amp; Clinical)'!R48</f>
        <v>17.043752764370097</v>
      </c>
      <c r="G91" s="1092">
        <f>' Add-On Rates(DC &amp; Clinical)'!R58</f>
        <v>13.208908392386824</v>
      </c>
      <c r="H91" s="1092">
        <f>' Add-On Rates(DC &amp; Clinical)'!R68</f>
        <v>10.56712671390946</v>
      </c>
      <c r="J91" s="1064"/>
      <c r="K91" s="1064"/>
      <c r="L91" s="1064"/>
      <c r="M91" s="1064"/>
    </row>
    <row r="92" spans="3:13" ht="15" x14ac:dyDescent="0.2">
      <c r="C92" s="1099"/>
      <c r="D92" s="1091">
        <v>0.8</v>
      </c>
      <c r="E92" s="1092">
        <f>' Add-On Rates(DC &amp; Clinical)'!R39</f>
        <v>23.390775278184996</v>
      </c>
      <c r="F92" s="1092">
        <f>' Add-On Rates(DC &amp; Clinical)'!R49</f>
        <v>18.108987312143228</v>
      </c>
      <c r="G92" s="1092">
        <f>' Add-On Rates(DC &amp; Clinical)'!R59</f>
        <v>14.034465166911</v>
      </c>
      <c r="H92" s="1092">
        <f>' Add-On Rates(DC &amp; Clinical)'!R69</f>
        <v>11.227572133528799</v>
      </c>
      <c r="J92" s="1064"/>
      <c r="K92" s="1064"/>
      <c r="L92" s="1064"/>
      <c r="M92" s="1064"/>
    </row>
    <row r="93" spans="3:13" ht="15" x14ac:dyDescent="0.2">
      <c r="C93" s="1099"/>
      <c r="D93" s="1091">
        <v>0.75</v>
      </c>
      <c r="E93" s="1092">
        <f>' Add-On Rates(DC &amp; Clinical)'!R40</f>
        <v>24.950160296730662</v>
      </c>
      <c r="F93" s="1092">
        <f>' Add-On Rates(DC &amp; Clinical)'!R50</f>
        <v>19.316253132952777</v>
      </c>
      <c r="G93" s="1092">
        <f>' Add-On Rates(DC &amp; Clinical)'!R60</f>
        <v>14.970096178038402</v>
      </c>
      <c r="H93" s="1092">
        <f>' Add-On Rates(DC &amp; Clinical)'!R70</f>
        <v>11.976076942430721</v>
      </c>
      <c r="J93" s="1064"/>
      <c r="K93" s="1064"/>
      <c r="L93" s="1064"/>
      <c r="M93" s="1064"/>
    </row>
    <row r="94" spans="3:13" ht="15" x14ac:dyDescent="0.2">
      <c r="C94" s="1099"/>
      <c r="D94" s="1091">
        <v>0.7</v>
      </c>
      <c r="E94" s="1092">
        <f>' Add-On Rates(DC &amp; Clinical)'!R41</f>
        <v>26.732314603639999</v>
      </c>
      <c r="F94" s="1092">
        <f>' Add-On Rates(DC &amp; Clinical)'!R51</f>
        <v>20.695985499592261</v>
      </c>
      <c r="G94" s="1092">
        <f>' Add-On Rates(DC &amp; Clinical)'!R61</f>
        <v>16.039388762184004</v>
      </c>
      <c r="H94" s="1092">
        <f>' Add-On Rates(DC &amp; Clinical)'!R71</f>
        <v>12.831511009747201</v>
      </c>
      <c r="J94" s="1064"/>
      <c r="K94" s="1064"/>
      <c r="L94" s="1064"/>
      <c r="M94" s="1064"/>
    </row>
    <row r="95" spans="3:13" ht="15" x14ac:dyDescent="0.2">
      <c r="C95" s="1099"/>
      <c r="D95" s="1091">
        <v>0.65</v>
      </c>
      <c r="E95" s="1092">
        <f>' Add-On Rates(DC &amp; Clinical)'!R42</f>
        <v>28.788646496227688</v>
      </c>
      <c r="F95" s="1092">
        <f>' Add-On Rates(DC &amp; Clinical)'!R52</f>
        <v>22.28798438417628</v>
      </c>
      <c r="G95" s="1092">
        <f>' Add-On Rates(DC &amp; Clinical)'!R62</f>
        <v>17.273187897736616</v>
      </c>
      <c r="H95" s="1092">
        <f>' Add-On Rates(DC &amp; Clinical)'!R72</f>
        <v>13.818550318189292</v>
      </c>
      <c r="J95" s="1064"/>
      <c r="K95" s="1064"/>
      <c r="L95" s="1064"/>
      <c r="M95" s="1064"/>
    </row>
    <row r="96" spans="3:13" ht="15" x14ac:dyDescent="0.2">
      <c r="C96" s="1099"/>
      <c r="D96" s="1091">
        <v>0.6</v>
      </c>
      <c r="E96" s="1092">
        <f>' Add-On Rates(DC &amp; Clinical)'!R43</f>
        <v>31.18770037091333</v>
      </c>
      <c r="F96" s="1092">
        <f>' Add-On Rates(DC &amp; Clinical)'!R53</f>
        <v>24.145316416190973</v>
      </c>
      <c r="G96" s="1092">
        <f>' Add-On Rates(DC &amp; Clinical)'!R63</f>
        <v>18.712620222548001</v>
      </c>
      <c r="H96" s="1092">
        <f>' Add-On Rates(DC &amp; Clinical)'!R73</f>
        <v>14.970096178038402</v>
      </c>
      <c r="J96" s="1064"/>
      <c r="K96" s="1064"/>
      <c r="L96" s="1064"/>
      <c r="M96" s="1064"/>
    </row>
    <row r="97" spans="3:13" ht="15" x14ac:dyDescent="0.2">
      <c r="C97" s="1099"/>
      <c r="D97" s="1091">
        <v>0.55000000000000004</v>
      </c>
      <c r="E97" s="1092">
        <f>' Add-On Rates(DC &amp; Clinical)'!R44</f>
        <v>34.022945859178172</v>
      </c>
      <c r="F97" s="1092">
        <f>' Add-On Rates(DC &amp; Clinical)'!R54</f>
        <v>26.340345181299238</v>
      </c>
      <c r="G97" s="1092">
        <f>' Add-On Rates(DC &amp; Clinical)'!R64</f>
        <v>20.413767515506908</v>
      </c>
      <c r="H97" s="1092">
        <f>' Add-On Rates(DC &amp; Clinical)'!R74</f>
        <v>16.331014012405525</v>
      </c>
      <c r="J97" s="1064"/>
      <c r="K97" s="1064"/>
      <c r="L97" s="1064"/>
      <c r="M97" s="1064"/>
    </row>
    <row r="98" spans="3:13" ht="15" x14ac:dyDescent="0.2">
      <c r="C98" s="1099"/>
      <c r="D98" s="1091">
        <v>0.5</v>
      </c>
      <c r="E98" s="1092">
        <f>' Add-On Rates(DC &amp; Clinical)'!R45</f>
        <v>37.425240445095994</v>
      </c>
      <c r="F98" s="1092">
        <f>' Add-On Rates(DC &amp; Clinical)'!R55</f>
        <v>28.974379699429164</v>
      </c>
      <c r="G98" s="1092">
        <f>' Add-On Rates(DC &amp; Clinical)'!R65</f>
        <v>22.455144267057602</v>
      </c>
      <c r="H98" s="1092">
        <f>' Add-On Rates(DC &amp; Clinical)'!R75</f>
        <v>17.964115413646081</v>
      </c>
      <c r="J98" s="1064"/>
      <c r="K98" s="1064"/>
      <c r="L98" s="1064"/>
      <c r="M98" s="1064"/>
    </row>
    <row r="99" spans="3:13" ht="15.75" x14ac:dyDescent="0.2">
      <c r="C99" s="1093"/>
      <c r="D99" s="1094"/>
      <c r="E99" s="1085"/>
      <c r="F99" s="1085"/>
      <c r="G99" s="1085"/>
      <c r="H99" s="1085"/>
    </row>
    <row r="100" spans="3:13" ht="30" x14ac:dyDescent="0.2">
      <c r="C100" s="1088" t="s">
        <v>360</v>
      </c>
      <c r="D100" s="1090" t="s">
        <v>545</v>
      </c>
      <c r="E100" s="1163" t="s">
        <v>546</v>
      </c>
      <c r="F100" s="1164"/>
      <c r="G100" s="1164"/>
      <c r="H100" s="1165"/>
    </row>
    <row r="101" spans="3:13" ht="15" x14ac:dyDescent="0.2">
      <c r="C101" s="1088"/>
      <c r="D101" s="1090"/>
      <c r="E101" s="1085" t="s">
        <v>339</v>
      </c>
      <c r="F101" s="1085" t="s">
        <v>340</v>
      </c>
      <c r="G101" s="1085" t="s">
        <v>263</v>
      </c>
      <c r="H101" s="1085" t="s">
        <v>264</v>
      </c>
    </row>
    <row r="102" spans="3:13" ht="15" x14ac:dyDescent="0.2">
      <c r="C102" s="1088" t="s">
        <v>554</v>
      </c>
      <c r="D102" s="1091">
        <v>0.9</v>
      </c>
      <c r="E102" s="1092">
        <f>' Add-On Rates(DC &amp; Clinical)'!I102</f>
        <v>12.007276650078282</v>
      </c>
      <c r="F102" s="1092">
        <f>' Add-On Rates(DC &amp; Clinical)'!I112</f>
        <v>9.2959561161896378</v>
      </c>
      <c r="G102" s="1092">
        <f>' Add-On Rates(DC &amp; Clinical)'!I122</f>
        <v>7.2043659900469699</v>
      </c>
      <c r="H102" s="1092">
        <f>' Add-On Rates(DC &amp; Clinical)'!I132</f>
        <v>5.7634927920375754</v>
      </c>
      <c r="J102" s="1064"/>
      <c r="K102" s="1064"/>
      <c r="L102" s="1064"/>
      <c r="M102" s="1064"/>
    </row>
    <row r="103" spans="3:13" ht="15" x14ac:dyDescent="0.2">
      <c r="C103" s="1099"/>
      <c r="D103" s="1091">
        <v>0.85</v>
      </c>
      <c r="E103" s="1092">
        <f>' Add-On Rates(DC &amp; Clinical)'!I103</f>
        <v>12.713587041259359</v>
      </c>
      <c r="F103" s="1092">
        <f>' Add-On Rates(DC &amp; Clinical)'!I113</f>
        <v>9.8427770642007921</v>
      </c>
      <c r="G103" s="1092">
        <f>' Add-On Rates(DC &amp; Clinical)'!I123</f>
        <v>7.6281522247556159</v>
      </c>
      <c r="H103" s="1092">
        <f>' Add-On Rates(DC &amp; Clinical)'!I133</f>
        <v>6.1025217798044915</v>
      </c>
      <c r="J103" s="1064"/>
      <c r="K103" s="1064"/>
      <c r="L103" s="1064"/>
      <c r="M103" s="1064"/>
    </row>
    <row r="104" spans="3:13" ht="15" x14ac:dyDescent="0.2">
      <c r="C104" s="1099"/>
      <c r="D104" s="1091">
        <v>0.8</v>
      </c>
      <c r="E104" s="1092">
        <f>' Add-On Rates(DC &amp; Clinical)'!I104</f>
        <v>13.508186231338067</v>
      </c>
      <c r="F104" s="1092">
        <f>' Add-On Rates(DC &amp; Clinical)'!I114</f>
        <v>10.457950630713341</v>
      </c>
      <c r="G104" s="1092">
        <f>' Add-On Rates(DC &amp; Clinical)'!I124</f>
        <v>8.1049117388028407</v>
      </c>
      <c r="H104" s="1092">
        <f>' Add-On Rates(DC &amp; Clinical)'!I134</f>
        <v>6.4839293910422722</v>
      </c>
      <c r="J104" s="1064"/>
      <c r="K104" s="1064"/>
      <c r="L104" s="1064"/>
      <c r="M104" s="1064"/>
    </row>
    <row r="105" spans="3:13" ht="15" x14ac:dyDescent="0.2">
      <c r="C105" s="1099"/>
      <c r="D105" s="1091">
        <v>0.75</v>
      </c>
      <c r="E105" s="1092">
        <f>' Add-On Rates(DC &amp; Clinical)'!I105</f>
        <v>14.40873198009394</v>
      </c>
      <c r="F105" s="1092">
        <f>' Add-On Rates(DC &amp; Clinical)'!I115</f>
        <v>11.155147339427565</v>
      </c>
      <c r="G105" s="1092">
        <f>' Add-On Rates(DC &amp; Clinical)'!I125</f>
        <v>8.6452391880563635</v>
      </c>
      <c r="H105" s="1092">
        <f>' Add-On Rates(DC &amp; Clinical)'!I135</f>
        <v>6.9161913504450903</v>
      </c>
      <c r="J105" s="1064"/>
      <c r="K105" s="1064"/>
      <c r="L105" s="1064"/>
      <c r="M105" s="1064"/>
    </row>
    <row r="106" spans="3:13" ht="15" x14ac:dyDescent="0.2">
      <c r="C106" s="1099"/>
      <c r="D106" s="1091">
        <v>0.7</v>
      </c>
      <c r="E106" s="1092">
        <f>' Add-On Rates(DC &amp; Clinical)'!I106</f>
        <v>15.437927121529222</v>
      </c>
      <c r="F106" s="1092">
        <f>' Add-On Rates(DC &amp; Clinical)'!I116</f>
        <v>11.951943577958106</v>
      </c>
      <c r="G106" s="1092">
        <f>' Add-On Rates(DC &amp; Clinical)'!I126</f>
        <v>9.2627562729175335</v>
      </c>
      <c r="H106" s="1092">
        <f>' Add-On Rates(DC &amp; Clinical)'!I136</f>
        <v>7.4102050183340262</v>
      </c>
      <c r="J106" s="1064"/>
      <c r="K106" s="1064"/>
      <c r="L106" s="1064"/>
      <c r="M106" s="1064"/>
    </row>
    <row r="107" spans="3:13" ht="15" x14ac:dyDescent="0.2">
      <c r="C107" s="1099"/>
      <c r="D107" s="1091">
        <v>0.65</v>
      </c>
      <c r="E107" s="1092">
        <f>' Add-On Rates(DC &amp; Clinical)'!I107</f>
        <v>16.625459977031468</v>
      </c>
      <c r="F107" s="1092">
        <f>' Add-On Rates(DC &amp; Clinical)'!I117</f>
        <v>12.87132385318565</v>
      </c>
      <c r="G107" s="1092">
        <f>' Add-On Rates(DC &amp; Clinical)'!I127</f>
        <v>9.9752759862188807</v>
      </c>
      <c r="H107" s="1092">
        <f>' Add-On Rates(DC &amp; Clinical)'!I137</f>
        <v>7.980220788975104</v>
      </c>
      <c r="J107" s="1064"/>
      <c r="K107" s="1064"/>
      <c r="L107" s="1064"/>
      <c r="M107" s="1064"/>
    </row>
    <row r="108" spans="3:13" ht="15" x14ac:dyDescent="0.2">
      <c r="C108" s="1099"/>
      <c r="D108" s="1091">
        <v>0.6</v>
      </c>
      <c r="E108" s="1092">
        <f>' Add-On Rates(DC &amp; Clinical)'!I108</f>
        <v>18.010914975117426</v>
      </c>
      <c r="F108" s="1092">
        <f>' Add-On Rates(DC &amp; Clinical)'!I118</f>
        <v>13.943934174284456</v>
      </c>
      <c r="G108" s="1092">
        <f>' Add-On Rates(DC &amp; Clinical)'!I128</f>
        <v>10.806548985070455</v>
      </c>
      <c r="H108" s="1092">
        <f>' Add-On Rates(DC &amp; Clinical)'!I138</f>
        <v>8.6452391880563635</v>
      </c>
      <c r="J108" s="1064"/>
      <c r="K108" s="1064"/>
      <c r="L108" s="1064"/>
      <c r="M108" s="1064"/>
    </row>
    <row r="109" spans="3:13" ht="15" x14ac:dyDescent="0.2">
      <c r="C109" s="1099"/>
      <c r="D109" s="1091">
        <v>0.55000000000000004</v>
      </c>
      <c r="E109" s="1092">
        <f>' Add-On Rates(DC &amp; Clinical)'!I109</f>
        <v>19.648270881946281</v>
      </c>
      <c r="F109" s="1092">
        <f>' Add-On Rates(DC &amp; Clinical)'!I119</f>
        <v>15.211564553764859</v>
      </c>
      <c r="G109" s="1092">
        <f>' Add-On Rates(DC &amp; Clinical)'!I129</f>
        <v>11.788962529167769</v>
      </c>
      <c r="H109" s="1092">
        <f>' Add-On Rates(DC &amp; Clinical)'!I139</f>
        <v>9.4311700233342144</v>
      </c>
      <c r="J109" s="1064"/>
      <c r="K109" s="1064"/>
      <c r="L109" s="1064"/>
      <c r="M109" s="1064"/>
    </row>
    <row r="110" spans="3:13" ht="15" x14ac:dyDescent="0.2">
      <c r="C110" s="1099"/>
      <c r="D110" s="1091">
        <v>0.5</v>
      </c>
      <c r="E110" s="1092">
        <f>' Add-On Rates(DC &amp; Clinical)'!I110</f>
        <v>21.61309797014091</v>
      </c>
      <c r="F110" s="1092">
        <f>' Add-On Rates(DC &amp; Clinical)'!I120</f>
        <v>16.732721009141347</v>
      </c>
      <c r="G110" s="1092">
        <f>' Add-On Rates(DC &amp; Clinical)'!I130</f>
        <v>12.967858782084546</v>
      </c>
      <c r="H110" s="1092">
        <f>' Add-On Rates(DC &amp; Clinical)'!I140</f>
        <v>10.374287025667636</v>
      </c>
      <c r="J110" s="1064"/>
      <c r="K110" s="1064"/>
      <c r="L110" s="1064"/>
      <c r="M110" s="1064"/>
    </row>
    <row r="111" spans="3:13" ht="15.75" x14ac:dyDescent="0.2">
      <c r="C111" s="1093"/>
      <c r="D111" s="1094"/>
      <c r="E111" s="1085"/>
      <c r="F111" s="1085"/>
      <c r="G111" s="1085"/>
      <c r="H111" s="1085"/>
    </row>
    <row r="112" spans="3:13" ht="30" x14ac:dyDescent="0.2">
      <c r="C112" s="1088" t="s">
        <v>360</v>
      </c>
      <c r="D112" s="1090" t="s">
        <v>545</v>
      </c>
      <c r="E112" s="1163" t="s">
        <v>546</v>
      </c>
      <c r="F112" s="1164"/>
      <c r="G112" s="1164"/>
      <c r="H112" s="1165"/>
    </row>
    <row r="113" spans="3:13" ht="15" x14ac:dyDescent="0.2">
      <c r="C113" s="1088"/>
      <c r="D113" s="1090"/>
      <c r="E113" s="1085" t="s">
        <v>339</v>
      </c>
      <c r="F113" s="1085" t="s">
        <v>340</v>
      </c>
      <c r="G113" s="1085" t="s">
        <v>263</v>
      </c>
      <c r="H113" s="1085" t="s">
        <v>264</v>
      </c>
    </row>
    <row r="114" spans="3:13" ht="15" x14ac:dyDescent="0.2">
      <c r="C114" s="1088" t="s">
        <v>555</v>
      </c>
      <c r="D114" s="1091">
        <v>0.9</v>
      </c>
      <c r="E114" s="1092">
        <f>' Add-On Rates(DC &amp; Clinical)'!R102</f>
        <v>24.014553300156564</v>
      </c>
      <c r="F114" s="1092">
        <f>' Add-On Rates(DC &amp; Clinical)'!R112</f>
        <v>18.591912232379276</v>
      </c>
      <c r="G114" s="1092">
        <f>' Add-On Rates(DC &amp; Clinical)'!R122</f>
        <v>14.40873198009394</v>
      </c>
      <c r="H114" s="1092">
        <f>' Add-On Rates(DC &amp; Clinical)'!R132</f>
        <v>11.526985584075151</v>
      </c>
      <c r="J114" s="1064"/>
      <c r="K114" s="1064"/>
      <c r="L114" s="1064"/>
      <c r="M114" s="1064"/>
    </row>
    <row r="115" spans="3:13" ht="15" x14ac:dyDescent="0.2">
      <c r="C115" s="1099"/>
      <c r="D115" s="1091">
        <v>0.85</v>
      </c>
      <c r="E115" s="1092">
        <f>' Add-On Rates(DC &amp; Clinical)'!R103</f>
        <v>25.427174082518718</v>
      </c>
      <c r="F115" s="1092">
        <f>' Add-On Rates(DC &amp; Clinical)'!R113</f>
        <v>19.685554128401584</v>
      </c>
      <c r="G115" s="1092">
        <f>' Add-On Rates(DC &amp; Clinical)'!R123</f>
        <v>15.256304449511232</v>
      </c>
      <c r="H115" s="1092">
        <f>' Add-On Rates(DC &amp; Clinical)'!R133</f>
        <v>12.205043559608983</v>
      </c>
      <c r="J115" s="1064"/>
      <c r="K115" s="1064"/>
      <c r="L115" s="1064"/>
      <c r="M115" s="1064"/>
    </row>
    <row r="116" spans="3:13" ht="15" x14ac:dyDescent="0.2">
      <c r="C116" s="1099"/>
      <c r="D116" s="1091">
        <v>0.8</v>
      </c>
      <c r="E116" s="1092">
        <f>' Add-On Rates(DC &amp; Clinical)'!R104</f>
        <v>27.016372462676134</v>
      </c>
      <c r="F116" s="1092">
        <f>' Add-On Rates(DC &amp; Clinical)'!R114</f>
        <v>20.915901261426683</v>
      </c>
      <c r="G116" s="1092">
        <f>' Add-On Rates(DC &amp; Clinical)'!R124</f>
        <v>16.209823477605681</v>
      </c>
      <c r="H116" s="1092">
        <f>' Add-On Rates(DC &amp; Clinical)'!R134</f>
        <v>12.967858782084544</v>
      </c>
      <c r="J116" s="1064"/>
      <c r="K116" s="1064"/>
      <c r="L116" s="1064"/>
      <c r="M116" s="1064"/>
    </row>
    <row r="117" spans="3:13" ht="15" x14ac:dyDescent="0.2">
      <c r="C117" s="1099"/>
      <c r="D117" s="1091">
        <v>0.75</v>
      </c>
      <c r="E117" s="1092">
        <f>' Add-On Rates(DC &amp; Clinical)'!R105</f>
        <v>28.817463960187879</v>
      </c>
      <c r="F117" s="1092">
        <f>' Add-On Rates(DC &amp; Clinical)'!R115</f>
        <v>22.310294678855129</v>
      </c>
      <c r="G117" s="1092">
        <f>' Add-On Rates(DC &amp; Clinical)'!R125</f>
        <v>17.290478376112727</v>
      </c>
      <c r="H117" s="1092">
        <f>' Add-On Rates(DC &amp; Clinical)'!R135</f>
        <v>13.832382700890181</v>
      </c>
      <c r="J117" s="1064"/>
      <c r="K117" s="1064"/>
      <c r="L117" s="1064"/>
      <c r="M117" s="1064"/>
    </row>
    <row r="118" spans="3:13" ht="15" x14ac:dyDescent="0.2">
      <c r="C118" s="1099"/>
      <c r="D118" s="1091">
        <v>0.7</v>
      </c>
      <c r="E118" s="1092">
        <f>' Add-On Rates(DC &amp; Clinical)'!R106</f>
        <v>30.875854243058445</v>
      </c>
      <c r="F118" s="1092">
        <f>' Add-On Rates(DC &amp; Clinical)'!R116</f>
        <v>23.903887155916212</v>
      </c>
      <c r="G118" s="1092">
        <f>' Add-On Rates(DC &amp; Clinical)'!R126</f>
        <v>18.525512545835067</v>
      </c>
      <c r="H118" s="1092">
        <f>' Add-On Rates(DC &amp; Clinical)'!R136</f>
        <v>14.820410036668052</v>
      </c>
      <c r="J118" s="1064"/>
      <c r="K118" s="1064"/>
      <c r="L118" s="1064"/>
      <c r="M118" s="1064"/>
    </row>
    <row r="119" spans="3:13" ht="15" x14ac:dyDescent="0.2">
      <c r="C119" s="1099"/>
      <c r="D119" s="1091">
        <v>0.65</v>
      </c>
      <c r="E119" s="1092">
        <f>' Add-On Rates(DC &amp; Clinical)'!R107</f>
        <v>33.250919954062937</v>
      </c>
      <c r="F119" s="1092">
        <f>' Add-On Rates(DC &amp; Clinical)'!R117</f>
        <v>25.742647706371301</v>
      </c>
      <c r="G119" s="1092">
        <f>' Add-On Rates(DC &amp; Clinical)'!R127</f>
        <v>19.950551972437761</v>
      </c>
      <c r="H119" s="1092">
        <f>' Add-On Rates(DC &amp; Clinical)'!R137</f>
        <v>15.960441577950208</v>
      </c>
      <c r="J119" s="1064"/>
      <c r="K119" s="1064"/>
      <c r="L119" s="1064"/>
      <c r="M119" s="1064"/>
    </row>
    <row r="120" spans="3:13" ht="15" x14ac:dyDescent="0.2">
      <c r="C120" s="1099"/>
      <c r="D120" s="1091">
        <v>0.6</v>
      </c>
      <c r="E120" s="1092">
        <f>' Add-On Rates(DC &amp; Clinical)'!R108</f>
        <v>36.021829950234853</v>
      </c>
      <c r="F120" s="1092">
        <f>' Add-On Rates(DC &amp; Clinical)'!R118</f>
        <v>27.887868348568912</v>
      </c>
      <c r="G120" s="1092">
        <f>' Add-On Rates(DC &amp; Clinical)'!R128</f>
        <v>21.61309797014091</v>
      </c>
      <c r="H120" s="1092">
        <f>' Add-On Rates(DC &amp; Clinical)'!R138</f>
        <v>17.290478376112727</v>
      </c>
      <c r="J120" s="1064"/>
      <c r="K120" s="1064"/>
      <c r="L120" s="1064"/>
      <c r="M120" s="1064"/>
    </row>
    <row r="121" spans="3:13" ht="15" x14ac:dyDescent="0.2">
      <c r="C121" s="1099"/>
      <c r="D121" s="1091">
        <v>0.55000000000000004</v>
      </c>
      <c r="E121" s="1092">
        <f>' Add-On Rates(DC &amp; Clinical)'!R109</f>
        <v>39.296541763892563</v>
      </c>
      <c r="F121" s="1092">
        <f>' Add-On Rates(DC &amp; Clinical)'!R119</f>
        <v>30.423129107529718</v>
      </c>
      <c r="G121" s="1092">
        <f>' Add-On Rates(DC &amp; Clinical)'!R129</f>
        <v>23.577925058335538</v>
      </c>
      <c r="H121" s="1092">
        <f>' Add-On Rates(DC &amp; Clinical)'!R139</f>
        <v>18.862340046668429</v>
      </c>
      <c r="J121" s="1064"/>
      <c r="K121" s="1064"/>
      <c r="L121" s="1064"/>
      <c r="M121" s="1064"/>
    </row>
    <row r="122" spans="3:13" ht="15" x14ac:dyDescent="0.2">
      <c r="C122" s="1099"/>
      <c r="D122" s="1091">
        <v>0.5</v>
      </c>
      <c r="E122" s="1092">
        <f>' Add-On Rates(DC &amp; Clinical)'!R110</f>
        <v>43.226195940281819</v>
      </c>
      <c r="F122" s="1092">
        <f>' Add-On Rates(DC &amp; Clinical)'!R120</f>
        <v>33.465442018282694</v>
      </c>
      <c r="G122" s="1092">
        <f>' Add-On Rates(DC &amp; Clinical)'!R130</f>
        <v>25.935717564169092</v>
      </c>
      <c r="H122" s="1092">
        <f>' Add-On Rates(DC &amp; Clinical)'!R140</f>
        <v>20.748574051335272</v>
      </c>
      <c r="J122" s="1064"/>
      <c r="K122" s="1064"/>
      <c r="L122" s="1064"/>
      <c r="M122" s="1064"/>
    </row>
    <row r="123" spans="3:13" ht="15.75" x14ac:dyDescent="0.2">
      <c r="C123" s="1093"/>
      <c r="D123" s="1094"/>
      <c r="E123" s="1085"/>
      <c r="F123" s="1085"/>
      <c r="G123" s="1085"/>
      <c r="H123" s="1085"/>
    </row>
    <row r="124" spans="3:13" ht="30" x14ac:dyDescent="0.2">
      <c r="C124" s="1088" t="s">
        <v>316</v>
      </c>
      <c r="D124" s="1100" t="s">
        <v>545</v>
      </c>
      <c r="E124" s="1163" t="s">
        <v>546</v>
      </c>
      <c r="F124" s="1164"/>
      <c r="G124" s="1164"/>
      <c r="H124" s="1165"/>
    </row>
    <row r="125" spans="3:13" ht="15" x14ac:dyDescent="0.2">
      <c r="C125" s="1097"/>
      <c r="D125" s="1090"/>
      <c r="E125" s="1085" t="s">
        <v>339</v>
      </c>
      <c r="F125" s="1085" t="s">
        <v>340</v>
      </c>
      <c r="G125" s="1085" t="s">
        <v>263</v>
      </c>
      <c r="H125" s="1085" t="s">
        <v>264</v>
      </c>
    </row>
    <row r="126" spans="3:13" ht="15" x14ac:dyDescent="0.2">
      <c r="C126" s="1097" t="s">
        <v>554</v>
      </c>
      <c r="D126" s="1091">
        <v>0.9</v>
      </c>
      <c r="E126" s="1092">
        <f>' Add-On Rates(DC &amp; Clinical)'!I167</f>
        <v>6.2243720941230807</v>
      </c>
      <c r="F126" s="1092">
        <f>' Add-On Rates(DC &amp; Clinical)'!I177</f>
        <v>4.8188687180307719</v>
      </c>
      <c r="G126" s="1092">
        <f>' Add-On Rates(DC &amp; Clinical)'!I187</f>
        <v>3.7346232564738484</v>
      </c>
      <c r="H126" s="1092">
        <f>' Add-On Rates(DC &amp; Clinical)'!I197</f>
        <v>2.9876986051790788</v>
      </c>
      <c r="J126" s="1064"/>
      <c r="K126" s="1064"/>
      <c r="L126" s="1064"/>
      <c r="M126" s="1064"/>
    </row>
    <row r="127" spans="3:13" ht="15" x14ac:dyDescent="0.2">
      <c r="C127" s="1099"/>
      <c r="D127" s="1091">
        <v>0.85</v>
      </c>
      <c r="E127" s="1092">
        <f>' Add-On Rates(DC &amp; Clinical)'!I168</f>
        <v>6.5905116290714982</v>
      </c>
      <c r="F127" s="1092">
        <f>' Add-On Rates(DC &amp; Clinical)'!I178</f>
        <v>5.1023315837972882</v>
      </c>
      <c r="G127" s="1092">
        <f>' Add-On Rates(DC &amp; Clinical)'!I188</f>
        <v>3.9543069774428989</v>
      </c>
      <c r="H127" s="1092">
        <f>' Add-On Rates(DC &amp; Clinical)'!I198</f>
        <v>3.1634455819543192</v>
      </c>
      <c r="J127" s="1064"/>
      <c r="K127" s="1064"/>
      <c r="L127" s="1064"/>
      <c r="M127" s="1064"/>
    </row>
    <row r="128" spans="3:13" ht="15" x14ac:dyDescent="0.2">
      <c r="C128" s="1099"/>
      <c r="D128" s="1091">
        <v>0.8</v>
      </c>
      <c r="E128" s="1092">
        <f>' Add-On Rates(DC &amp; Clinical)'!I169</f>
        <v>7.0024186058884661</v>
      </c>
      <c r="F128" s="1092">
        <f>' Add-On Rates(DC &amp; Clinical)'!I179</f>
        <v>5.4212273077846183</v>
      </c>
      <c r="G128" s="1092">
        <f>' Add-On Rates(DC &amp; Clinical)'!I189</f>
        <v>4.2014511635330791</v>
      </c>
      <c r="H128" s="1092">
        <f>' Add-On Rates(DC &amp; Clinical)'!I199</f>
        <v>3.3611609308264638</v>
      </c>
      <c r="J128" s="1064"/>
      <c r="K128" s="1064"/>
      <c r="L128" s="1064"/>
      <c r="M128" s="1064"/>
    </row>
    <row r="129" spans="3:13" ht="15" x14ac:dyDescent="0.2">
      <c r="C129" s="1099"/>
      <c r="D129" s="1091">
        <v>0.75</v>
      </c>
      <c r="E129" s="1092">
        <f>' Add-On Rates(DC &amp; Clinical)'!I170</f>
        <v>7.4692465129476977</v>
      </c>
      <c r="F129" s="1092">
        <f>' Add-On Rates(DC &amp; Clinical)'!I180</f>
        <v>5.7826424616369261</v>
      </c>
      <c r="G129" s="1092">
        <f>' Add-On Rates(DC &amp; Clinical)'!I190</f>
        <v>4.4815479077686184</v>
      </c>
      <c r="H129" s="1092">
        <f>' Add-On Rates(DC &amp; Clinical)'!I200</f>
        <v>3.585238326214895</v>
      </c>
      <c r="J129" s="1064"/>
      <c r="K129" s="1064"/>
      <c r="L129" s="1064"/>
      <c r="M129" s="1064"/>
    </row>
    <row r="130" spans="3:13" ht="15" x14ac:dyDescent="0.2">
      <c r="C130" s="1099"/>
      <c r="D130" s="1091">
        <v>0.7</v>
      </c>
      <c r="E130" s="1092">
        <f>' Add-On Rates(DC &amp; Clinical)'!I171</f>
        <v>8.0027641210153906</v>
      </c>
      <c r="F130" s="1092">
        <f>' Add-On Rates(DC &amp; Clinical)'!I181</f>
        <v>6.1956883517538497</v>
      </c>
      <c r="G130" s="1092">
        <f>' Add-On Rates(DC &amp; Clinical)'!I191</f>
        <v>4.8016584726092342</v>
      </c>
      <c r="H130" s="1092">
        <f>' Add-On Rates(DC &amp; Clinical)'!I201</f>
        <v>3.8413267780873874</v>
      </c>
      <c r="J130" s="1064"/>
      <c r="K130" s="1064"/>
      <c r="L130" s="1064"/>
      <c r="M130" s="1064"/>
    </row>
    <row r="131" spans="3:13" ht="15" x14ac:dyDescent="0.2">
      <c r="C131" s="1099"/>
      <c r="D131" s="1091">
        <v>0.65</v>
      </c>
      <c r="E131" s="1092">
        <f>' Add-On Rates(DC &amp; Clinical)'!I172</f>
        <v>8.6183613610934966</v>
      </c>
      <c r="F131" s="1092">
        <f>' Add-On Rates(DC &amp; Clinical)'!I182</f>
        <v>6.6722797634272224</v>
      </c>
      <c r="G131" s="1092">
        <f>' Add-On Rates(DC &amp; Clinical)'!I192</f>
        <v>5.1710168166560981</v>
      </c>
      <c r="H131" s="1092">
        <f>' Add-On Rates(DC &amp; Clinical)'!I202</f>
        <v>4.1368134533248782</v>
      </c>
      <c r="J131" s="1064"/>
      <c r="K131" s="1064"/>
      <c r="L131" s="1064"/>
      <c r="M131" s="1064"/>
    </row>
    <row r="132" spans="3:13" ht="15" x14ac:dyDescent="0.2">
      <c r="C132" s="1099"/>
      <c r="D132" s="1091">
        <v>0.6</v>
      </c>
      <c r="E132" s="1092">
        <f>' Add-On Rates(DC &amp; Clinical)'!I173</f>
        <v>9.3365581411846215</v>
      </c>
      <c r="F132" s="1092">
        <f>' Add-On Rates(DC &amp; Clinical)'!I183</f>
        <v>7.2283030770461583</v>
      </c>
      <c r="G132" s="1092">
        <f>' Add-On Rates(DC &amp; Clinical)'!I193</f>
        <v>5.6019348847107731</v>
      </c>
      <c r="H132" s="1092">
        <f>' Add-On Rates(DC &amp; Clinical)'!I203</f>
        <v>4.4815479077686184</v>
      </c>
      <c r="J132" s="1064"/>
      <c r="K132" s="1064"/>
      <c r="L132" s="1064"/>
      <c r="M132" s="1064"/>
    </row>
    <row r="133" spans="3:13" ht="15" x14ac:dyDescent="0.2">
      <c r="C133" s="1099"/>
      <c r="D133" s="1091">
        <v>0.55000000000000004</v>
      </c>
      <c r="E133" s="1092">
        <f>' Add-On Rates(DC &amp; Clinical)'!I174</f>
        <v>10.185336154019586</v>
      </c>
      <c r="F133" s="1092">
        <f>' Add-On Rates(DC &amp; Clinical)'!I184</f>
        <v>7.885421538595808</v>
      </c>
      <c r="G133" s="1092">
        <f>' Add-On Rates(DC &amp; Clinical)'!I194</f>
        <v>6.1112016924117523</v>
      </c>
      <c r="H133" s="1092">
        <f>' Add-On Rates(DC &amp; Clinical)'!I204</f>
        <v>4.8889613539294015</v>
      </c>
      <c r="J133" s="1064"/>
      <c r="K133" s="1064"/>
      <c r="L133" s="1064"/>
      <c r="M133" s="1064"/>
    </row>
    <row r="134" spans="3:13" ht="15" x14ac:dyDescent="0.2">
      <c r="C134" s="1099"/>
      <c r="D134" s="1091">
        <v>0.5</v>
      </c>
      <c r="E134" s="1092">
        <f>' Add-On Rates(DC &amp; Clinical)'!I175</f>
        <v>11.203869769421546</v>
      </c>
      <c r="F134" s="1092">
        <f>' Add-On Rates(DC &amp; Clinical)'!I185</f>
        <v>8.6739636924553896</v>
      </c>
      <c r="G134" s="1092">
        <f>' Add-On Rates(DC &amp; Clinical)'!I195</f>
        <v>6.7223218616529277</v>
      </c>
      <c r="H134" s="1092">
        <f>' Add-On Rates(DC &amp; Clinical)'!I205</f>
        <v>5.3778574893223423</v>
      </c>
      <c r="J134" s="1064"/>
      <c r="K134" s="1064"/>
      <c r="L134" s="1064"/>
      <c r="M134" s="1064"/>
    </row>
    <row r="135" spans="3:13" ht="15.75" x14ac:dyDescent="0.2">
      <c r="C135" s="1093"/>
      <c r="D135" s="1094"/>
      <c r="E135" s="1085"/>
      <c r="F135" s="1085"/>
      <c r="G135" s="1085"/>
      <c r="H135" s="1085"/>
    </row>
    <row r="136" spans="3:13" ht="30" x14ac:dyDescent="0.2">
      <c r="C136" s="1088" t="s">
        <v>316</v>
      </c>
      <c r="D136" s="1090" t="s">
        <v>545</v>
      </c>
      <c r="E136" s="1163" t="s">
        <v>546</v>
      </c>
      <c r="F136" s="1164"/>
      <c r="G136" s="1164"/>
      <c r="H136" s="1165"/>
    </row>
    <row r="137" spans="3:13" ht="15" x14ac:dyDescent="0.2">
      <c r="C137" s="1088"/>
      <c r="D137" s="1090"/>
      <c r="E137" s="1085" t="s">
        <v>339</v>
      </c>
      <c r="F137" s="1085" t="s">
        <v>340</v>
      </c>
      <c r="G137" s="1085" t="s">
        <v>263</v>
      </c>
      <c r="H137" s="1085" t="s">
        <v>264</v>
      </c>
    </row>
    <row r="138" spans="3:13" ht="15" x14ac:dyDescent="0.2">
      <c r="C138" s="1088" t="s">
        <v>555</v>
      </c>
      <c r="D138" s="1091">
        <v>0.9</v>
      </c>
      <c r="E138" s="1092">
        <f>' Add-On Rates(DC &amp; Clinical)'!R167</f>
        <v>12.448744188246161</v>
      </c>
      <c r="F138" s="1092">
        <f>' Add-On Rates(DC &amp; Clinical)'!R177</f>
        <v>9.6377374360615438</v>
      </c>
      <c r="G138" s="1092">
        <f>' Add-On Rates(DC &amp; Clinical)'!R187</f>
        <v>7.4692465129476968</v>
      </c>
      <c r="H138" s="1092">
        <f>' Add-On Rates(DC &amp; Clinical)'!R197</f>
        <v>5.9753972103581576</v>
      </c>
      <c r="J138" s="1064"/>
      <c r="K138" s="1064"/>
      <c r="L138" s="1064"/>
      <c r="M138" s="1064"/>
    </row>
    <row r="139" spans="3:13" ht="15" x14ac:dyDescent="0.2">
      <c r="C139" s="1099"/>
      <c r="D139" s="1091">
        <v>0.85</v>
      </c>
      <c r="E139" s="1092">
        <f>' Add-On Rates(DC &amp; Clinical)'!R168</f>
        <v>13.181023258142996</v>
      </c>
      <c r="F139" s="1092">
        <f>' Add-On Rates(DC &amp; Clinical)'!R178</f>
        <v>10.204663167594576</v>
      </c>
      <c r="G139" s="1092">
        <f>' Add-On Rates(DC &amp; Clinical)'!R188</f>
        <v>7.9086139548857979</v>
      </c>
      <c r="H139" s="1092">
        <f>' Add-On Rates(DC &amp; Clinical)'!R198</f>
        <v>6.3268911639086385</v>
      </c>
      <c r="J139" s="1064"/>
      <c r="K139" s="1064"/>
      <c r="L139" s="1064"/>
      <c r="M139" s="1064"/>
    </row>
    <row r="140" spans="3:13" ht="15" x14ac:dyDescent="0.2">
      <c r="C140" s="1099"/>
      <c r="D140" s="1091">
        <v>0.8</v>
      </c>
      <c r="E140" s="1092">
        <f>' Add-On Rates(DC &amp; Clinical)'!R169</f>
        <v>14.004837211776932</v>
      </c>
      <c r="F140" s="1092">
        <f>' Add-On Rates(DC &amp; Clinical)'!R179</f>
        <v>10.842454615569237</v>
      </c>
      <c r="G140" s="1092">
        <f>' Add-On Rates(DC &amp; Clinical)'!R189</f>
        <v>8.4029023270661583</v>
      </c>
      <c r="H140" s="1092">
        <f>' Add-On Rates(DC &amp; Clinical)'!R199</f>
        <v>6.7223218616529277</v>
      </c>
      <c r="J140" s="1064"/>
      <c r="K140" s="1064"/>
      <c r="L140" s="1064"/>
      <c r="M140" s="1064"/>
    </row>
    <row r="141" spans="3:13" ht="15" x14ac:dyDescent="0.2">
      <c r="C141" s="1099"/>
      <c r="D141" s="1091">
        <v>0.75</v>
      </c>
      <c r="E141" s="1092">
        <f>' Add-On Rates(DC &amp; Clinical)'!R170</f>
        <v>14.938493025895395</v>
      </c>
      <c r="F141" s="1092">
        <f>' Add-On Rates(DC &amp; Clinical)'!R180</f>
        <v>11.565284923273852</v>
      </c>
      <c r="G141" s="1092">
        <f>' Add-On Rates(DC &amp; Clinical)'!R190</f>
        <v>8.9630958155372369</v>
      </c>
      <c r="H141" s="1092">
        <f>' Add-On Rates(DC &amp; Clinical)'!R200</f>
        <v>7.17047665242979</v>
      </c>
      <c r="J141" s="1064"/>
      <c r="K141" s="1064"/>
      <c r="L141" s="1064"/>
      <c r="M141" s="1064"/>
    </row>
    <row r="142" spans="3:13" ht="15" x14ac:dyDescent="0.2">
      <c r="C142" s="1099"/>
      <c r="D142" s="1091">
        <v>0.7</v>
      </c>
      <c r="E142" s="1092">
        <f>' Add-On Rates(DC &amp; Clinical)'!R171</f>
        <v>16.005528242030781</v>
      </c>
      <c r="F142" s="1092">
        <f>' Add-On Rates(DC &amp; Clinical)'!R181</f>
        <v>12.391376703507699</v>
      </c>
      <c r="G142" s="1092">
        <f>' Add-On Rates(DC &amp; Clinical)'!R191</f>
        <v>9.6033169452184683</v>
      </c>
      <c r="H142" s="1092">
        <f>' Add-On Rates(DC &amp; Clinical)'!R201</f>
        <v>7.6826535561747749</v>
      </c>
      <c r="J142" s="1064"/>
      <c r="K142" s="1064"/>
      <c r="L142" s="1064"/>
      <c r="M142" s="1064"/>
    </row>
    <row r="143" spans="3:13" ht="15" x14ac:dyDescent="0.2">
      <c r="C143" s="1099"/>
      <c r="D143" s="1091">
        <v>0.65</v>
      </c>
      <c r="E143" s="1092">
        <f>' Add-On Rates(DC &amp; Clinical)'!R172</f>
        <v>17.236722722186993</v>
      </c>
      <c r="F143" s="1092">
        <f>' Add-On Rates(DC &amp; Clinical)'!R182</f>
        <v>13.344559526854445</v>
      </c>
      <c r="G143" s="1092">
        <f>' Add-On Rates(DC &amp; Clinical)'!R192</f>
        <v>10.342033633312196</v>
      </c>
      <c r="H143" s="1092">
        <f>' Add-On Rates(DC &amp; Clinical)'!R202</f>
        <v>8.2736269066497563</v>
      </c>
      <c r="J143" s="1064"/>
      <c r="K143" s="1064"/>
      <c r="L143" s="1064"/>
      <c r="M143" s="1064"/>
    </row>
    <row r="144" spans="3:13" ht="15" x14ac:dyDescent="0.2">
      <c r="C144" s="1099"/>
      <c r="D144" s="1091">
        <v>0.6</v>
      </c>
      <c r="E144" s="1092">
        <f>' Add-On Rates(DC &amp; Clinical)'!R173</f>
        <v>18.673116282369243</v>
      </c>
      <c r="F144" s="1092">
        <f>' Add-On Rates(DC &amp; Clinical)'!R183</f>
        <v>14.456606154092317</v>
      </c>
      <c r="G144" s="1092">
        <f>' Add-On Rates(DC &amp; Clinical)'!R193</f>
        <v>11.203869769421546</v>
      </c>
      <c r="H144" s="1092">
        <f>' Add-On Rates(DC &amp; Clinical)'!R203</f>
        <v>8.9630958155372369</v>
      </c>
      <c r="J144" s="1064"/>
      <c r="K144" s="1064"/>
      <c r="L144" s="1064"/>
      <c r="M144" s="1064"/>
    </row>
    <row r="145" spans="3:13" ht="15" x14ac:dyDescent="0.2">
      <c r="C145" s="1099"/>
      <c r="D145" s="1091">
        <v>0.55000000000000004</v>
      </c>
      <c r="E145" s="1092">
        <f>' Add-On Rates(DC &amp; Clinical)'!R174</f>
        <v>20.370672308039172</v>
      </c>
      <c r="F145" s="1092">
        <f>' Add-On Rates(DC &amp; Clinical)'!R184</f>
        <v>15.770843077191616</v>
      </c>
      <c r="G145" s="1092">
        <f>' Add-On Rates(DC &amp; Clinical)'!R194</f>
        <v>12.222403384823505</v>
      </c>
      <c r="H145" s="1092">
        <f>' Add-On Rates(DC &amp; Clinical)'!R204</f>
        <v>9.7779227078588029</v>
      </c>
      <c r="J145" s="1064"/>
      <c r="K145" s="1064"/>
      <c r="L145" s="1064"/>
      <c r="M145" s="1064"/>
    </row>
    <row r="146" spans="3:13" ht="15" x14ac:dyDescent="0.2">
      <c r="C146" s="1099"/>
      <c r="D146" s="1091">
        <v>0.5</v>
      </c>
      <c r="E146" s="1092">
        <f>' Add-On Rates(DC &amp; Clinical)'!R175</f>
        <v>22.407739538843092</v>
      </c>
      <c r="F146" s="1092">
        <f>' Add-On Rates(DC &amp; Clinical)'!R185</f>
        <v>17.347927384910779</v>
      </c>
      <c r="G146" s="1092">
        <f>' Add-On Rates(DC &amp; Clinical)'!R195</f>
        <v>13.444643723305855</v>
      </c>
      <c r="H146" s="1092">
        <f>' Add-On Rates(DC &amp; Clinical)'!R205</f>
        <v>10.755714978644685</v>
      </c>
      <c r="J146" s="1064"/>
      <c r="K146" s="1064"/>
      <c r="L146" s="1064"/>
      <c r="M146" s="1064"/>
    </row>
    <row r="147" spans="3:13" x14ac:dyDescent="0.2">
      <c r="C147" s="1063"/>
    </row>
  </sheetData>
  <mergeCells count="15">
    <mergeCell ref="C63:C73"/>
    <mergeCell ref="E100:H100"/>
    <mergeCell ref="E112:H112"/>
    <mergeCell ref="E124:H124"/>
    <mergeCell ref="E136:H136"/>
    <mergeCell ref="J2:M2"/>
    <mergeCell ref="C2:H2"/>
    <mergeCell ref="C75:H75"/>
    <mergeCell ref="E76:H76"/>
    <mergeCell ref="E88:H88"/>
    <mergeCell ref="C3:C13"/>
    <mergeCell ref="C15:C25"/>
    <mergeCell ref="C27:C37"/>
    <mergeCell ref="C39:C49"/>
    <mergeCell ref="C51:C6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G67"/>
  <sheetViews>
    <sheetView zoomScale="85" zoomScaleNormal="110" zoomScaleSheetLayoutView="125" workbookViewId="0">
      <pane xSplit="2" ySplit="1" topLeftCell="DJ17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defaultColWidth="10.25" defaultRowHeight="12.75" x14ac:dyDescent="0.2"/>
  <cols>
    <col min="1" max="1" width="10" style="33" customWidth="1"/>
    <col min="2" max="2" width="24.625" style="34" bestFit="1" customWidth="1"/>
    <col min="3" max="3" width="14.375" style="34" customWidth="1"/>
    <col min="4" max="4" width="20.25" style="34" customWidth="1"/>
    <col min="5" max="5" width="19" style="34" customWidth="1"/>
    <col min="6" max="6" width="11.375" style="34" customWidth="1"/>
    <col min="7" max="7" width="15.375" style="34" bestFit="1" customWidth="1"/>
    <col min="8" max="8" width="7" style="35" bestFit="1" customWidth="1"/>
    <col min="9" max="9" width="15.75" style="35" customWidth="1"/>
    <col min="10" max="10" width="17.625" style="36" customWidth="1"/>
    <col min="11" max="11" width="9.125" style="36" customWidth="1"/>
    <col min="12" max="12" width="10" style="37" customWidth="1"/>
    <col min="13" max="13" width="16.5" style="37" customWidth="1"/>
    <col min="14" max="14" width="11.5" style="37" bestFit="1" customWidth="1"/>
    <col min="15" max="16" width="11.5" style="37" customWidth="1"/>
    <col min="17" max="17" width="11.625" style="38" customWidth="1"/>
    <col min="18" max="18" width="14.5" style="37" bestFit="1" customWidth="1"/>
    <col min="19" max="19" width="14.5" style="37" customWidth="1"/>
    <col min="20" max="20" width="13.875" style="37" customWidth="1"/>
    <col min="21" max="21" width="28.625" style="37" customWidth="1"/>
    <col min="22" max="25" width="11.125" style="37" customWidth="1"/>
    <col min="26" max="26" width="14.375" style="37" customWidth="1"/>
    <col min="27" max="30" width="11.125" style="37" customWidth="1"/>
    <col min="31" max="31" width="13.875" style="37" customWidth="1"/>
    <col min="32" max="37" width="11.125" style="37" customWidth="1"/>
    <col min="38" max="38" width="11.125" style="38" customWidth="1"/>
    <col min="39" max="39" width="11.125" style="37" customWidth="1"/>
    <col min="40" max="40" width="11.125" style="38" customWidth="1"/>
    <col min="41" max="43" width="11.125" style="37" customWidth="1"/>
    <col min="44" max="51" width="10.75" style="37" customWidth="1"/>
    <col min="52" max="52" width="10.75" style="42" customWidth="1"/>
    <col min="53" max="56" width="10.75" style="37" customWidth="1"/>
    <col min="57" max="57" width="10.75" style="33" customWidth="1"/>
    <col min="58" max="60" width="10.75" style="39" customWidth="1"/>
    <col min="61" max="61" width="9.875" style="39" customWidth="1"/>
    <col min="62" max="63" width="14.75" style="40" customWidth="1"/>
    <col min="64" max="72" width="10.375" style="40" customWidth="1"/>
    <col min="73" max="89" width="10.375" style="33" customWidth="1"/>
    <col min="90" max="90" width="12.625" style="33" customWidth="1"/>
    <col min="91" max="91" width="13.5" style="33" customWidth="1"/>
    <col min="92" max="92" width="15.25" style="33" customWidth="1"/>
    <col min="93" max="93" width="12.75" style="69" customWidth="1"/>
    <col min="94" max="95" width="12.75" style="313" customWidth="1"/>
    <col min="96" max="96" width="19" style="33" customWidth="1"/>
    <col min="97" max="101" width="11.625" style="33" customWidth="1"/>
    <col min="102" max="103" width="15.375" style="33" customWidth="1"/>
    <col min="104" max="106" width="13.25" style="33" customWidth="1"/>
    <col min="107" max="107" width="20.875" style="33" customWidth="1"/>
    <col min="108" max="108" width="10.5" style="33" bestFit="1" customWidth="1"/>
    <col min="109" max="112" width="16.125" style="33" customWidth="1"/>
    <col min="113" max="114" width="16.125" style="37" customWidth="1"/>
    <col min="115" max="115" width="16.125" style="33" customWidth="1"/>
    <col min="116" max="116" width="12.75" style="33" bestFit="1" customWidth="1"/>
    <col min="117" max="118" width="14.75" style="33" customWidth="1"/>
    <col min="119" max="119" width="18.375" style="33" customWidth="1"/>
    <col min="120" max="120" width="18.125" style="33" customWidth="1"/>
    <col min="121" max="121" width="21" style="33" customWidth="1"/>
    <col min="122" max="132" width="11.875" style="33" customWidth="1"/>
    <col min="133" max="133" width="13.5" style="33" customWidth="1"/>
    <col min="134" max="134" width="14.375" style="33" customWidth="1"/>
    <col min="135" max="135" width="20.5" style="33" customWidth="1"/>
    <col min="136" max="136" width="12.625" style="33" customWidth="1"/>
    <col min="137" max="137" width="19.25" style="33" customWidth="1"/>
    <col min="138" max="138" width="18.375" style="33" customWidth="1"/>
    <col min="139" max="139" width="9.125" style="33" customWidth="1"/>
    <col min="140" max="146" width="11.5" style="33" customWidth="1"/>
    <col min="147" max="147" width="15.875" style="33" customWidth="1"/>
    <col min="148" max="148" width="16" style="33" customWidth="1"/>
    <col min="149" max="149" width="15.375" style="34" bestFit="1" customWidth="1"/>
    <col min="150" max="155" width="14.75" style="33" customWidth="1"/>
    <col min="156" max="156" width="13.875" style="33" customWidth="1"/>
    <col min="157" max="157" width="11.375" style="33" bestFit="1" customWidth="1"/>
    <col min="158" max="158" width="11.375" style="33" customWidth="1"/>
    <col min="159" max="159" width="13.125" style="33" customWidth="1"/>
    <col min="160" max="162" width="12" style="33" customWidth="1"/>
    <col min="163" max="165" width="14.375" style="33" customWidth="1"/>
    <col min="166" max="168" width="13.375" style="33" customWidth="1"/>
    <col min="169" max="169" width="12.25" style="33" customWidth="1"/>
    <col min="170" max="170" width="12.625" style="33" customWidth="1"/>
    <col min="171" max="171" width="10.25" style="33" customWidth="1"/>
    <col min="172" max="172" width="11.25" style="33" bestFit="1" customWidth="1"/>
    <col min="173" max="16384" width="10.25" style="33"/>
  </cols>
  <sheetData>
    <row r="1" spans="1:170" s="1" customFormat="1" ht="90" thickBot="1" x14ac:dyDescent="0.25">
      <c r="A1" s="443" t="s">
        <v>0</v>
      </c>
      <c r="B1" s="444" t="s">
        <v>1</v>
      </c>
      <c r="C1" s="444" t="s">
        <v>2</v>
      </c>
      <c r="D1" s="444" t="s">
        <v>3</v>
      </c>
      <c r="E1" s="444" t="s">
        <v>4</v>
      </c>
      <c r="F1" s="444" t="s">
        <v>5</v>
      </c>
      <c r="G1" s="445" t="s">
        <v>6</v>
      </c>
      <c r="H1" s="444" t="s">
        <v>7</v>
      </c>
      <c r="I1" s="444" t="s">
        <v>8</v>
      </c>
      <c r="J1" s="444" t="s">
        <v>9</v>
      </c>
      <c r="K1" s="444" t="s">
        <v>10</v>
      </c>
      <c r="L1" s="444" t="s">
        <v>11</v>
      </c>
      <c r="M1" s="444" t="s">
        <v>12</v>
      </c>
      <c r="N1" s="444" t="s">
        <v>13</v>
      </c>
      <c r="O1" s="444" t="s">
        <v>14</v>
      </c>
      <c r="P1" s="444" t="s">
        <v>15</v>
      </c>
      <c r="Q1" s="444" t="s">
        <v>16</v>
      </c>
      <c r="R1" s="445" t="s">
        <v>17</v>
      </c>
      <c r="S1" s="445" t="s">
        <v>356</v>
      </c>
      <c r="T1" s="446" t="s">
        <v>18</v>
      </c>
      <c r="U1" s="446" t="s">
        <v>19</v>
      </c>
      <c r="V1" s="444" t="s">
        <v>20</v>
      </c>
      <c r="W1" s="444" t="s">
        <v>21</v>
      </c>
      <c r="X1" s="444" t="s">
        <v>22</v>
      </c>
      <c r="Y1" s="444" t="s">
        <v>23</v>
      </c>
      <c r="Z1" s="444" t="s">
        <v>24</v>
      </c>
      <c r="AA1" s="444" t="s">
        <v>25</v>
      </c>
      <c r="AB1" s="444" t="s">
        <v>26</v>
      </c>
      <c r="AC1" s="444" t="s">
        <v>27</v>
      </c>
      <c r="AD1" s="444" t="s">
        <v>28</v>
      </c>
      <c r="AE1" s="444" t="s">
        <v>29</v>
      </c>
      <c r="AF1" s="444" t="s">
        <v>30</v>
      </c>
      <c r="AG1" s="444" t="s">
        <v>31</v>
      </c>
      <c r="AH1" s="444" t="s">
        <v>32</v>
      </c>
      <c r="AI1" s="444" t="s">
        <v>33</v>
      </c>
      <c r="AJ1" s="444" t="s">
        <v>34</v>
      </c>
      <c r="AK1" s="444" t="s">
        <v>35</v>
      </c>
      <c r="AL1" s="444" t="s">
        <v>36</v>
      </c>
      <c r="AM1" s="446" t="s">
        <v>37</v>
      </c>
      <c r="AN1" s="447" t="s">
        <v>38</v>
      </c>
      <c r="AO1" s="447" t="s">
        <v>39</v>
      </c>
      <c r="AP1" s="447" t="s">
        <v>40</v>
      </c>
      <c r="AQ1" s="447" t="s">
        <v>41</v>
      </c>
      <c r="AR1" s="444" t="s">
        <v>42</v>
      </c>
      <c r="AS1" s="444" t="s">
        <v>43</v>
      </c>
      <c r="AT1" s="444" t="s">
        <v>44</v>
      </c>
      <c r="AU1" s="444" t="s">
        <v>45</v>
      </c>
      <c r="AV1" s="444" t="s">
        <v>46</v>
      </c>
      <c r="AW1" s="444" t="s">
        <v>47</v>
      </c>
      <c r="AX1" s="444" t="s">
        <v>48</v>
      </c>
      <c r="AY1" s="444" t="s">
        <v>49</v>
      </c>
      <c r="AZ1" s="444" t="s">
        <v>50</v>
      </c>
      <c r="BA1" s="444" t="s">
        <v>51</v>
      </c>
      <c r="BB1" s="444" t="s">
        <v>52</v>
      </c>
      <c r="BC1" s="444" t="s">
        <v>53</v>
      </c>
      <c r="BD1" s="444" t="s">
        <v>54</v>
      </c>
      <c r="BE1" s="444" t="s">
        <v>55</v>
      </c>
      <c r="BF1" s="444" t="s">
        <v>56</v>
      </c>
      <c r="BG1" s="444" t="s">
        <v>57</v>
      </c>
      <c r="BH1" s="444" t="s">
        <v>58</v>
      </c>
      <c r="BI1" s="444" t="s">
        <v>344</v>
      </c>
      <c r="BJ1" s="446" t="s">
        <v>345</v>
      </c>
      <c r="BK1" s="446" t="s">
        <v>351</v>
      </c>
      <c r="BL1" s="447" t="s">
        <v>59</v>
      </c>
      <c r="BM1" s="447" t="s">
        <v>60</v>
      </c>
      <c r="BN1" s="447" t="s">
        <v>61</v>
      </c>
      <c r="BO1" s="447" t="s">
        <v>62</v>
      </c>
      <c r="BP1" s="448" t="s">
        <v>63</v>
      </c>
      <c r="BQ1" s="448" t="s">
        <v>64</v>
      </c>
      <c r="BR1" s="448" t="s">
        <v>65</v>
      </c>
      <c r="BS1" s="448" t="s">
        <v>66</v>
      </c>
      <c r="BT1" s="448" t="s">
        <v>67</v>
      </c>
      <c r="BU1" s="448" t="s">
        <v>68</v>
      </c>
      <c r="BV1" s="448" t="s">
        <v>69</v>
      </c>
      <c r="BW1" s="448" t="s">
        <v>70</v>
      </c>
      <c r="BX1" s="448" t="s">
        <v>71</v>
      </c>
      <c r="BY1" s="448" t="s">
        <v>72</v>
      </c>
      <c r="BZ1" s="448" t="s">
        <v>73</v>
      </c>
      <c r="CA1" s="448" t="s">
        <v>74</v>
      </c>
      <c r="CB1" s="448" t="s">
        <v>75</v>
      </c>
      <c r="CC1" s="448" t="s">
        <v>76</v>
      </c>
      <c r="CD1" s="448" t="s">
        <v>77</v>
      </c>
      <c r="CE1" s="448" t="s">
        <v>78</v>
      </c>
      <c r="CF1" s="448" t="s">
        <v>79</v>
      </c>
      <c r="CG1" s="449" t="s">
        <v>80</v>
      </c>
      <c r="CH1" s="447" t="s">
        <v>81</v>
      </c>
      <c r="CI1" s="447" t="s">
        <v>82</v>
      </c>
      <c r="CJ1" s="447" t="s">
        <v>83</v>
      </c>
      <c r="CK1" s="447" t="s">
        <v>84</v>
      </c>
      <c r="CL1" s="444" t="s">
        <v>85</v>
      </c>
      <c r="CM1" s="444" t="s">
        <v>86</v>
      </c>
      <c r="CN1" s="450" t="s">
        <v>87</v>
      </c>
      <c r="CO1" s="451" t="s">
        <v>88</v>
      </c>
      <c r="CP1" s="452" t="s">
        <v>353</v>
      </c>
      <c r="CQ1" s="452" t="s">
        <v>349</v>
      </c>
      <c r="CR1" s="446" t="s">
        <v>352</v>
      </c>
      <c r="CS1" s="444" t="s">
        <v>89</v>
      </c>
      <c r="CT1" s="444" t="s">
        <v>90</v>
      </c>
      <c r="CU1" s="453" t="s">
        <v>91</v>
      </c>
      <c r="CV1" s="444" t="s">
        <v>92</v>
      </c>
      <c r="CW1" s="444" t="s">
        <v>93</v>
      </c>
      <c r="CX1" s="454" t="s">
        <v>94</v>
      </c>
      <c r="CY1" s="455" t="s">
        <v>245</v>
      </c>
      <c r="CZ1" s="444" t="s">
        <v>95</v>
      </c>
      <c r="DA1" s="444" t="s">
        <v>96</v>
      </c>
      <c r="DB1" s="444" t="s">
        <v>97</v>
      </c>
      <c r="DC1" s="444" t="s">
        <v>98</v>
      </c>
      <c r="DD1" s="444" t="s">
        <v>99</v>
      </c>
      <c r="DE1" s="444" t="s">
        <v>100</v>
      </c>
      <c r="DF1" s="444" t="s">
        <v>101</v>
      </c>
      <c r="DG1" s="444" t="s">
        <v>102</v>
      </c>
      <c r="DH1" s="444" t="s">
        <v>103</v>
      </c>
      <c r="DI1" s="444" t="s">
        <v>244</v>
      </c>
      <c r="DJ1" s="444" t="s">
        <v>346</v>
      </c>
      <c r="DK1" s="450" t="s">
        <v>246</v>
      </c>
      <c r="DL1" s="446" t="s">
        <v>350</v>
      </c>
      <c r="DM1" s="453" t="s">
        <v>354</v>
      </c>
      <c r="DN1" s="444" t="s">
        <v>347</v>
      </c>
      <c r="DO1" s="446" t="s">
        <v>104</v>
      </c>
      <c r="DP1" s="444" t="s">
        <v>105</v>
      </c>
      <c r="DQ1" s="444" t="s">
        <v>106</v>
      </c>
      <c r="DR1" s="447" t="s">
        <v>107</v>
      </c>
      <c r="DS1" s="447" t="s">
        <v>108</v>
      </c>
      <c r="DT1" s="447" t="s">
        <v>109</v>
      </c>
      <c r="DU1" s="447" t="s">
        <v>110</v>
      </c>
      <c r="DV1" s="456" t="s">
        <v>111</v>
      </c>
      <c r="DW1" s="456" t="s">
        <v>112</v>
      </c>
      <c r="DX1" s="456" t="s">
        <v>113</v>
      </c>
      <c r="DY1" s="456" t="s">
        <v>114</v>
      </c>
      <c r="DZ1" s="456" t="s">
        <v>115</v>
      </c>
      <c r="EA1" s="456" t="s">
        <v>116</v>
      </c>
      <c r="EB1" s="456" t="s">
        <v>117</v>
      </c>
      <c r="EC1" s="456" t="s">
        <v>374</v>
      </c>
      <c r="ED1" s="456" t="s">
        <v>118</v>
      </c>
      <c r="EE1" s="456" t="s">
        <v>119</v>
      </c>
      <c r="EF1" s="456" t="s">
        <v>120</v>
      </c>
      <c r="EG1" s="456" t="s">
        <v>375</v>
      </c>
      <c r="EH1" s="456" t="s">
        <v>373</v>
      </c>
      <c r="EI1" s="456" t="s">
        <v>121</v>
      </c>
      <c r="EJ1" s="447" t="s">
        <v>122</v>
      </c>
      <c r="EK1" s="447" t="s">
        <v>123</v>
      </c>
      <c r="EL1" s="447" t="s">
        <v>124</v>
      </c>
      <c r="EM1" s="447" t="s">
        <v>125</v>
      </c>
      <c r="EN1" s="456" t="s">
        <v>126</v>
      </c>
      <c r="EO1" s="456" t="s">
        <v>127</v>
      </c>
      <c r="EP1" s="456" t="s">
        <v>128</v>
      </c>
      <c r="EQ1" s="456" t="s">
        <v>129</v>
      </c>
      <c r="ER1" s="457" t="s">
        <v>247</v>
      </c>
      <c r="ES1" s="445" t="s">
        <v>348</v>
      </c>
      <c r="ET1" s="456" t="s">
        <v>130</v>
      </c>
      <c r="EU1" s="456" t="s">
        <v>131</v>
      </c>
      <c r="EV1" s="456" t="s">
        <v>132</v>
      </c>
      <c r="EW1" s="456" t="s">
        <v>133</v>
      </c>
      <c r="EX1" s="456" t="s">
        <v>134</v>
      </c>
      <c r="EY1" s="456" t="s">
        <v>248</v>
      </c>
      <c r="EZ1" s="454" t="s">
        <v>135</v>
      </c>
      <c r="FA1" s="458" t="s">
        <v>136</v>
      </c>
      <c r="FB1" s="447" t="s">
        <v>137</v>
      </c>
      <c r="FC1" s="447" t="s">
        <v>138</v>
      </c>
      <c r="FD1" s="447" t="s">
        <v>139</v>
      </c>
      <c r="FE1" s="447" t="s">
        <v>140</v>
      </c>
      <c r="FF1" s="447" t="s">
        <v>141</v>
      </c>
      <c r="FG1" s="459" t="s">
        <v>142</v>
      </c>
      <c r="FH1" s="449" t="s">
        <v>143</v>
      </c>
      <c r="FI1" s="449" t="s">
        <v>144</v>
      </c>
      <c r="FJ1" s="449" t="s">
        <v>145</v>
      </c>
      <c r="FK1" s="460" t="s">
        <v>146</v>
      </c>
    </row>
    <row r="2" spans="1:170" s="24" customFormat="1" x14ac:dyDescent="0.2">
      <c r="A2" s="2" t="s">
        <v>147</v>
      </c>
      <c r="B2" s="2" t="s">
        <v>148</v>
      </c>
      <c r="C2" s="3">
        <v>2503</v>
      </c>
      <c r="D2" s="2" t="s">
        <v>149</v>
      </c>
      <c r="E2" s="61" t="s">
        <v>150</v>
      </c>
      <c r="F2" s="4" t="s">
        <v>151</v>
      </c>
      <c r="G2" s="2" t="s">
        <v>152</v>
      </c>
      <c r="H2" s="5" t="s">
        <v>153</v>
      </c>
      <c r="I2" s="6">
        <v>40359</v>
      </c>
      <c r="J2" s="6">
        <v>41090</v>
      </c>
      <c r="K2" s="6"/>
      <c r="L2" s="7">
        <v>15</v>
      </c>
      <c r="M2" s="8">
        <f t="shared" ref="M2:M28" si="0">L2*365</f>
        <v>5475</v>
      </c>
      <c r="N2" s="9"/>
      <c r="O2" s="10">
        <v>217.57</v>
      </c>
      <c r="P2" s="10"/>
      <c r="Q2" s="10"/>
      <c r="R2" s="10">
        <v>217.57</v>
      </c>
      <c r="S2" s="10">
        <f>DO2/(M2*T2)</f>
        <v>218.57542770167427</v>
      </c>
      <c r="T2" s="11">
        <v>0.9</v>
      </c>
      <c r="U2" s="12">
        <f t="shared" ref="U2:U23" si="1">M2*T2</f>
        <v>4927.5</v>
      </c>
      <c r="V2" s="13"/>
      <c r="W2" s="13">
        <v>1</v>
      </c>
      <c r="X2" s="13">
        <v>1</v>
      </c>
      <c r="Y2" s="13"/>
      <c r="Z2" s="13"/>
      <c r="AA2" s="13"/>
      <c r="AB2" s="13"/>
      <c r="AC2" s="14">
        <v>2</v>
      </c>
      <c r="AD2" s="13"/>
      <c r="AE2" s="13"/>
      <c r="AF2" s="14">
        <v>3</v>
      </c>
      <c r="AG2" s="13"/>
      <c r="AH2" s="14">
        <v>3</v>
      </c>
      <c r="AI2" s="14">
        <v>6.6</v>
      </c>
      <c r="AJ2" s="14">
        <v>1</v>
      </c>
      <c r="AK2" s="14"/>
      <c r="AL2" s="14"/>
      <c r="AM2" s="13">
        <f t="shared" ref="AM2:AM28" si="2">SUM(V2:AL2)</f>
        <v>17.600000000000001</v>
      </c>
      <c r="AN2" s="13">
        <f t="shared" ref="AN2:AN28" si="3">SUM(V2:X2)</f>
        <v>2</v>
      </c>
      <c r="AO2" s="13">
        <f t="shared" ref="AO2:AO28" si="4">SUM(Y2:AD2)</f>
        <v>2</v>
      </c>
      <c r="AP2" s="13">
        <f t="shared" ref="AP2:AP28" si="5">SUM(AE2:AI2)</f>
        <v>12.6</v>
      </c>
      <c r="AQ2" s="13">
        <f t="shared" ref="AQ2:AQ28" si="6">SUM(AJ2:AK2)</f>
        <v>1</v>
      </c>
      <c r="AR2" s="51">
        <v>15000</v>
      </c>
      <c r="AS2" s="51">
        <v>50000</v>
      </c>
      <c r="AT2" s="51">
        <v>40000</v>
      </c>
      <c r="AU2" s="51"/>
      <c r="AV2" s="51"/>
      <c r="AW2" s="51"/>
      <c r="AX2" s="51"/>
      <c r="AY2" s="51">
        <v>96000</v>
      </c>
      <c r="AZ2" s="51"/>
      <c r="BA2" s="51"/>
      <c r="BB2" s="51">
        <v>90000</v>
      </c>
      <c r="BC2" s="51"/>
      <c r="BD2" s="51">
        <v>84000</v>
      </c>
      <c r="BE2" s="51">
        <v>171600</v>
      </c>
      <c r="BF2" s="51">
        <v>24000</v>
      </c>
      <c r="BG2" s="51"/>
      <c r="BH2" s="51">
        <v>55760</v>
      </c>
      <c r="BI2" s="17">
        <f>BH2/(BJ2-BH2)</f>
        <v>9.7721696459866808E-2</v>
      </c>
      <c r="BJ2" s="50">
        <f>SUM(AR2:BH2)</f>
        <v>626360</v>
      </c>
      <c r="BK2" s="50"/>
      <c r="BL2" s="50">
        <f>SUM(AR2:AT2)</f>
        <v>105000</v>
      </c>
      <c r="BM2" s="50">
        <f>SUM(AU2:AZ2)</f>
        <v>96000</v>
      </c>
      <c r="BN2" s="50">
        <f t="shared" ref="BN2:BN28" si="7">SUM(BA2:BE2)</f>
        <v>345600</v>
      </c>
      <c r="BO2" s="50">
        <f t="shared" ref="BO2:BO28" si="8">SUM(BF2:BG2)</f>
        <v>24000</v>
      </c>
      <c r="BP2" s="50" t="str">
        <f t="shared" ref="BP2:BP28" si="9">IF(ISERROR(AR2/V2),"",(AR2/V2))</f>
        <v/>
      </c>
      <c r="BQ2" s="50">
        <f t="shared" ref="BQ2:BQ28" si="10">IF(ISERROR(AS2/W2),"",(AS2/W2))</f>
        <v>50000</v>
      </c>
      <c r="BR2" s="50">
        <f t="shared" ref="BR2:BR28" si="11">IF(ISERROR(AT2/X2),"",(AT2/X2))</f>
        <v>40000</v>
      </c>
      <c r="BS2" s="50" t="str">
        <f t="shared" ref="BS2:BS28" si="12">IF(ISERROR(AU2/Y2),"",(AU2/Y2))</f>
        <v/>
      </c>
      <c r="BT2" s="50" t="str">
        <f t="shared" ref="BT2:BT28" si="13">IF(ISERROR(AV2/Z2),"",(AV2/Z2))</f>
        <v/>
      </c>
      <c r="BU2" s="50" t="str">
        <f t="shared" ref="BU2:BU28" si="14">IF(ISERROR(AW2/AA2),"",(AW2/AA2))</f>
        <v/>
      </c>
      <c r="BV2" s="50" t="str">
        <f t="shared" ref="BV2:BV28" si="15">IF(ISERROR(AX2/AB2),"",(AX2/AB2))</f>
        <v/>
      </c>
      <c r="BW2" s="50">
        <f t="shared" ref="BW2:BW28" si="16">IF(ISERROR(AY2/AC2),"",(AY2/AC2))</f>
        <v>48000</v>
      </c>
      <c r="BX2" s="50" t="str">
        <f t="shared" ref="BX2:BX28" si="17">IF(ISERROR(AZ2/AD2),"",(AZ2/AD2))</f>
        <v/>
      </c>
      <c r="BY2" s="50" t="str">
        <f t="shared" ref="BY2:BY28" si="18">IF(ISERROR(BA2/AE2),"",(BA2/AE2))</f>
        <v/>
      </c>
      <c r="BZ2" s="50">
        <f t="shared" ref="BZ2:BZ28" si="19">IF(ISERROR(BB2/AF2),"",(BB2/AF2))</f>
        <v>30000</v>
      </c>
      <c r="CA2" s="50" t="str">
        <f t="shared" ref="CA2:CA28" si="20">IF(ISERROR(BC2/AG2),"",(BC2/AG2))</f>
        <v/>
      </c>
      <c r="CB2" s="50">
        <f t="shared" ref="CB2:CB28" si="21">IF(ISERROR(BD2/AH2),"",(BD2/AH2))</f>
        <v>28000</v>
      </c>
      <c r="CC2" s="50">
        <f t="shared" ref="CC2:CC28" si="22">IF(ISERROR(BE2/AI2),"",(BE2/AI2))</f>
        <v>26000</v>
      </c>
      <c r="CD2" s="50">
        <f t="shared" ref="CD2:CD28" si="23">IF(ISERROR(BF2/AJ2),"",(BF2/AJ2))</f>
        <v>24000</v>
      </c>
      <c r="CE2" s="50" t="str">
        <f t="shared" ref="CE2:CE28" si="24">IF(ISERROR(BG2/AK2),"",(BG2/AK2))</f>
        <v/>
      </c>
      <c r="CF2" s="50" t="str">
        <f t="shared" ref="CF2:CF28" si="25">IF(ISERROR(BH2/AL2),"",(BH2/AL2))</f>
        <v/>
      </c>
      <c r="CG2" s="50">
        <f t="shared" ref="CG2:CG28" si="26">IF(ISERROR(BJ2/AM2),"",(BJ2/AM2))</f>
        <v>35588.63636363636</v>
      </c>
      <c r="CH2" s="64">
        <f t="shared" ref="CH2:CH26" si="27">BL2/AN2</f>
        <v>52500</v>
      </c>
      <c r="CI2" s="64">
        <f t="shared" ref="CI2:CI26" si="28">BM2/AO2</f>
        <v>48000</v>
      </c>
      <c r="CJ2" s="64">
        <f t="shared" ref="CJ2:CJ26" si="29">BN2/AP2</f>
        <v>27428.571428571428</v>
      </c>
      <c r="CK2" s="64">
        <f t="shared" ref="CK2:CK26" si="30">BO2/AQ2</f>
        <v>24000</v>
      </c>
      <c r="CL2" s="65">
        <v>63884</v>
      </c>
      <c r="CM2" s="50">
        <v>102214.39999999999</v>
      </c>
      <c r="CN2" s="64">
        <f t="shared" ref="CN2:CN28" si="31">SUM(CL2,CM2)</f>
        <v>166098.4</v>
      </c>
      <c r="CO2" s="19">
        <f>CN2/SUM(BJ2:BK2)</f>
        <v>0.26518040743342486</v>
      </c>
      <c r="CP2" s="64" t="str">
        <f>IF(BK2="","",CO2*BK2)</f>
        <v/>
      </c>
      <c r="CQ2" s="64">
        <f>IF(CP2="",CN2,CN2-CP2)</f>
        <v>166098.4</v>
      </c>
      <c r="CR2" s="50">
        <f>BJ2+CQ2</f>
        <v>792458.4</v>
      </c>
      <c r="CS2" s="65">
        <v>32101</v>
      </c>
      <c r="CT2" s="65">
        <v>34400</v>
      </c>
      <c r="CU2" s="51">
        <f t="shared" ref="CU2:CU28" si="32">SUM(CS2:CT2)</f>
        <v>66501</v>
      </c>
      <c r="CV2" s="65">
        <v>12200</v>
      </c>
      <c r="CW2" s="65"/>
      <c r="CX2" s="64">
        <f>SUM(CV2:CW2)</f>
        <v>12200</v>
      </c>
      <c r="CY2" s="64">
        <f t="shared" ref="CY2:CY28" si="33">BJ2+CX2</f>
        <v>638560</v>
      </c>
      <c r="CZ2" s="65">
        <v>2000</v>
      </c>
      <c r="DA2" s="65">
        <v>2000</v>
      </c>
      <c r="DB2" s="51">
        <v>35000</v>
      </c>
      <c r="DC2" s="51">
        <f>7500+7014</f>
        <v>14514</v>
      </c>
      <c r="DD2" s="65">
        <v>1000</v>
      </c>
      <c r="DE2" s="65"/>
      <c r="DF2" s="65"/>
      <c r="DG2" s="65">
        <v>19000</v>
      </c>
      <c r="DH2" s="51">
        <v>17800</v>
      </c>
      <c r="DI2" s="13"/>
      <c r="DJ2" s="51"/>
      <c r="DK2" s="64">
        <f>SUM(CZ2:DH2,DJ2)</f>
        <v>91314</v>
      </c>
      <c r="DL2" s="51">
        <f>SUM(CR2,CZ2:DH2,CS2:CT2,CV2:CW2,DJ2)</f>
        <v>962473.4</v>
      </c>
      <c r="DM2" s="316">
        <f>DN2/DL2</f>
        <v>0.11902356989813953</v>
      </c>
      <c r="DN2" s="51">
        <v>114557.02</v>
      </c>
      <c r="DO2" s="51">
        <f>DL2+DN2</f>
        <v>1077030.42</v>
      </c>
      <c r="DP2" s="51">
        <v>17497</v>
      </c>
      <c r="DQ2" s="51">
        <f t="shared" ref="DQ2:DQ23" si="34">DO2-DP2</f>
        <v>1059533.42</v>
      </c>
      <c r="DR2" s="64">
        <f t="shared" ref="DR2:DR26" si="35">BL2</f>
        <v>105000</v>
      </c>
      <c r="DS2" s="64">
        <f t="shared" ref="DS2:DS26" si="36">BM2</f>
        <v>96000</v>
      </c>
      <c r="DT2" s="64">
        <f t="shared" ref="DT2:DT26" si="37">BN2</f>
        <v>345600</v>
      </c>
      <c r="DU2" s="64">
        <f t="shared" ref="DU2:DU26" si="38">BO2</f>
        <v>24000</v>
      </c>
      <c r="DV2" s="64">
        <f>BJ2</f>
        <v>626360</v>
      </c>
      <c r="DW2" s="64">
        <f>CQ2</f>
        <v>166098.4</v>
      </c>
      <c r="DX2" s="64">
        <f>CX2</f>
        <v>12200</v>
      </c>
      <c r="DY2" s="64">
        <f t="shared" ref="DY2:DY28" si="39">CU2</f>
        <v>66501</v>
      </c>
      <c r="DZ2" s="64">
        <f t="shared" ref="DZ2:DZ28" si="40">DK2</f>
        <v>91314</v>
      </c>
      <c r="EA2" s="64">
        <f t="shared" ref="EA2:EA28" si="41">DN2</f>
        <v>114557.02</v>
      </c>
      <c r="EB2" s="64">
        <f t="shared" ref="EB2:EB28" si="42">DO2</f>
        <v>1077030.42</v>
      </c>
      <c r="EC2" s="19">
        <f t="shared" ref="EC2:EC28" si="43">DV2/EB2</f>
        <v>0.58156203238902027</v>
      </c>
      <c r="ED2" s="19">
        <f t="shared" ref="ED2:ED28" si="44">DW2/EB2</f>
        <v>0.15421885669673099</v>
      </c>
      <c r="EE2" s="19">
        <f t="shared" ref="EE2:EE28" si="45">DX2/EB2</f>
        <v>1.1327442357663399E-2</v>
      </c>
      <c r="EF2" s="19">
        <f t="shared" ref="EF2:EF28" si="46">DY2/EB2</f>
        <v>6.1744774116965058E-2</v>
      </c>
      <c r="EG2" s="19">
        <f t="shared" ref="EG2:EG28" si="47">DZ2/EB2</f>
        <v>8.478312061046521E-2</v>
      </c>
      <c r="EH2" s="20">
        <f>EA2/EB2</f>
        <v>0.10636377382915518</v>
      </c>
      <c r="EI2" s="21">
        <f t="shared" ref="EI2:EI28" si="48">SUM(EC2:EH2)</f>
        <v>1</v>
      </c>
      <c r="EJ2" s="16">
        <f t="shared" ref="EJ2:EJ28" si="49">DR2/$M2</f>
        <v>19.17808219178082</v>
      </c>
      <c r="EK2" s="16">
        <f t="shared" ref="EK2:EK28" si="50">IF(DS2="","",DS2/$M2)</f>
        <v>17.534246575342465</v>
      </c>
      <c r="EL2" s="16">
        <f t="shared" ref="EL2:EL28" si="51">IF(DT2="","",DT2/$M2)</f>
        <v>63.123287671232873</v>
      </c>
      <c r="EM2" s="16">
        <f t="shared" ref="EM2:EM28" si="52">IF(DU2="","",DU2/$M2)</f>
        <v>4.3835616438356162</v>
      </c>
      <c r="EN2" s="16">
        <f t="shared" ref="EN2:EN28" si="53">IF(DV2="","",DV2/$M2)</f>
        <v>114.40365296803652</v>
      </c>
      <c r="EO2" s="16">
        <f t="shared" ref="EO2:EO28" si="54">IF(DW2="","",DW2/$M2)</f>
        <v>30.337607305936071</v>
      </c>
      <c r="EP2" s="16">
        <f t="shared" ref="EP2:EP28" si="55">IF(DX2="","",DX2/$M2)</f>
        <v>2.2283105022831049</v>
      </c>
      <c r="EQ2" s="16">
        <f t="shared" ref="EQ2:EQ28" si="56">CR2/$M2</f>
        <v>144.74126027397261</v>
      </c>
      <c r="ER2" s="16">
        <f t="shared" ref="ER2:ER28" si="57">CY2/$M2</f>
        <v>116.63196347031963</v>
      </c>
      <c r="ES2" s="2" t="s">
        <v>152</v>
      </c>
      <c r="ET2" s="16">
        <f t="shared" ref="ET2:ET28" si="58">DY2/$M2</f>
        <v>12.146301369863014</v>
      </c>
      <c r="EU2" s="16">
        <f t="shared" ref="EU2:EU28" si="59">DZ2/$M2</f>
        <v>16.678356164383562</v>
      </c>
      <c r="EV2" s="16">
        <f t="shared" ref="EV2:EV28" si="60">EA2/$M2</f>
        <v>20.923656621004568</v>
      </c>
      <c r="EW2" s="16">
        <f t="shared" ref="EW2:EW28" si="61">DW2/$M2</f>
        <v>30.337607305936071</v>
      </c>
      <c r="EX2" s="16">
        <f t="shared" ref="EX2:EX28" si="62">EB2/$M2</f>
        <v>196.71788493150683</v>
      </c>
      <c r="EY2" s="16">
        <f t="shared" ref="EY2:EY28" si="63">EX2/T2</f>
        <v>218.57542770167424</v>
      </c>
      <c r="EZ2" s="16">
        <f t="shared" ref="EZ2:EZ28" si="64">R2</f>
        <v>217.57</v>
      </c>
      <c r="FA2" s="16">
        <f t="shared" ref="FA2:FA28" si="65">EX2-EZ2</f>
        <v>-20.852115068493163</v>
      </c>
      <c r="FB2" s="22">
        <f t="shared" ref="FB2:FB28" si="66">AN2/$L2</f>
        <v>0.13333333333333333</v>
      </c>
      <c r="FC2" s="22">
        <f t="shared" ref="FC2:FC28" si="67">AO2/$L2</f>
        <v>0.13333333333333333</v>
      </c>
      <c r="FD2" s="22">
        <f t="shared" ref="FD2:FD28" si="68">AP2/$L2</f>
        <v>0.84</v>
      </c>
      <c r="FE2" s="22">
        <f t="shared" ref="FE2:FE28" si="69">AQ2/$L2</f>
        <v>6.6666666666666666E-2</v>
      </c>
      <c r="FF2" s="22">
        <f t="shared" ref="FF2:FF28" si="70">AM2/L2</f>
        <v>1.1733333333333333</v>
      </c>
      <c r="FG2" s="23">
        <f t="shared" ref="FG2:FG26" si="71">$L2/AN2</f>
        <v>7.5</v>
      </c>
      <c r="FH2" s="23">
        <f t="shared" ref="FH2:FH26" si="72">$L2/AO2</f>
        <v>7.5</v>
      </c>
      <c r="FI2" s="23">
        <f t="shared" ref="FI2:FI26" si="73">$L2/AP2</f>
        <v>1.1904761904761905</v>
      </c>
      <c r="FJ2" s="23">
        <f t="shared" ref="FJ2:FJ26" si="74">$L2/AQ2</f>
        <v>15</v>
      </c>
      <c r="FK2" s="23">
        <f t="shared" ref="FK2:FK28" si="75">$L2/AM2</f>
        <v>0.85227272727272718</v>
      </c>
    </row>
    <row r="3" spans="1:170" s="24" customFormat="1" x14ac:dyDescent="0.2">
      <c r="A3" s="2" t="s">
        <v>154</v>
      </c>
      <c r="B3" s="2" t="s">
        <v>155</v>
      </c>
      <c r="C3" s="3">
        <v>2503</v>
      </c>
      <c r="D3" s="2" t="s">
        <v>149</v>
      </c>
      <c r="E3" s="61" t="s">
        <v>156</v>
      </c>
      <c r="F3" s="4" t="s">
        <v>157</v>
      </c>
      <c r="G3" s="2" t="s">
        <v>152</v>
      </c>
      <c r="H3" s="5" t="s">
        <v>158</v>
      </c>
      <c r="I3" s="6">
        <v>39629</v>
      </c>
      <c r="J3" s="6">
        <v>40724</v>
      </c>
      <c r="K3" s="6" t="s">
        <v>159</v>
      </c>
      <c r="L3" s="7">
        <v>12</v>
      </c>
      <c r="M3" s="8">
        <f t="shared" si="0"/>
        <v>4380</v>
      </c>
      <c r="N3" s="9"/>
      <c r="O3" s="10">
        <v>241.14</v>
      </c>
      <c r="P3" s="10">
        <v>307.72000000000003</v>
      </c>
      <c r="Q3" s="10"/>
      <c r="R3" s="10">
        <v>241.14</v>
      </c>
      <c r="S3" s="10">
        <f t="shared" ref="S3:S28" si="76">DO3/(M3*T3)</f>
        <v>295.62065956367331</v>
      </c>
      <c r="T3" s="11">
        <v>0.9</v>
      </c>
      <c r="U3" s="12">
        <f t="shared" si="1"/>
        <v>3942</v>
      </c>
      <c r="V3" s="13"/>
      <c r="W3" s="13">
        <v>1</v>
      </c>
      <c r="X3" s="13">
        <v>1</v>
      </c>
      <c r="Y3" s="13">
        <v>1</v>
      </c>
      <c r="Z3" s="13"/>
      <c r="AA3" s="13"/>
      <c r="AB3" s="13"/>
      <c r="AC3" s="14">
        <v>1.33</v>
      </c>
      <c r="AD3" s="13"/>
      <c r="AE3" s="13"/>
      <c r="AF3" s="14">
        <v>2</v>
      </c>
      <c r="AG3" s="14"/>
      <c r="AH3" s="14">
        <v>8</v>
      </c>
      <c r="AI3" s="14">
        <v>5</v>
      </c>
      <c r="AJ3" s="14">
        <v>0.25</v>
      </c>
      <c r="AK3" s="14">
        <v>2</v>
      </c>
      <c r="AL3" s="14">
        <v>1.98</v>
      </c>
      <c r="AM3" s="13">
        <f t="shared" si="2"/>
        <v>23.56</v>
      </c>
      <c r="AN3" s="13">
        <f t="shared" si="3"/>
        <v>2</v>
      </c>
      <c r="AO3" s="13">
        <f t="shared" si="4"/>
        <v>2.33</v>
      </c>
      <c r="AP3" s="13">
        <f t="shared" si="5"/>
        <v>15</v>
      </c>
      <c r="AQ3" s="13">
        <f t="shared" si="6"/>
        <v>2.25</v>
      </c>
      <c r="AR3" s="51"/>
      <c r="AS3" s="51">
        <v>61233</v>
      </c>
      <c r="AT3" s="51">
        <v>19949</v>
      </c>
      <c r="AU3" s="51">
        <v>50000</v>
      </c>
      <c r="AV3" s="51"/>
      <c r="AW3" s="51"/>
      <c r="AX3" s="51"/>
      <c r="AY3" s="51">
        <f>42436+29085.19</f>
        <v>71521.19</v>
      </c>
      <c r="AZ3" s="51"/>
      <c r="BA3" s="51"/>
      <c r="BB3" s="51">
        <v>61429.64</v>
      </c>
      <c r="BC3" s="51"/>
      <c r="BD3" s="51">
        <v>141794</v>
      </c>
      <c r="BE3" s="51">
        <v>127434.51</v>
      </c>
      <c r="BF3" s="51">
        <v>16281.78</v>
      </c>
      <c r="BG3" s="51">
        <f>16480+13000</f>
        <v>29480</v>
      </c>
      <c r="BH3" s="51">
        <v>38514.04</v>
      </c>
      <c r="BI3" s="17">
        <f t="shared" ref="BI3:BI28" si="77">BH3/(BJ3-BH3)</f>
        <v>6.6504062210467438E-2</v>
      </c>
      <c r="BJ3" s="50">
        <f t="shared" ref="BJ3:BJ23" si="78">SUM(AR3:BH3)</f>
        <v>617637.16</v>
      </c>
      <c r="BK3" s="50"/>
      <c r="BL3" s="50">
        <f t="shared" ref="BL3:BL28" si="79">SUM(AR3:AT3)</f>
        <v>81182</v>
      </c>
      <c r="BM3" s="50">
        <f t="shared" ref="BM3:BM28" si="80">SUM(AU3:AZ3)</f>
        <v>121521.19</v>
      </c>
      <c r="BN3" s="50">
        <f t="shared" si="7"/>
        <v>330658.15000000002</v>
      </c>
      <c r="BO3" s="50">
        <f t="shared" si="8"/>
        <v>45761.78</v>
      </c>
      <c r="BP3" s="50" t="str">
        <f t="shared" si="9"/>
        <v/>
      </c>
      <c r="BQ3" s="50">
        <f t="shared" si="10"/>
        <v>61233</v>
      </c>
      <c r="BR3" s="50">
        <f t="shared" si="11"/>
        <v>19949</v>
      </c>
      <c r="BS3" s="50">
        <f t="shared" si="12"/>
        <v>50000</v>
      </c>
      <c r="BT3" s="50" t="str">
        <f t="shared" si="13"/>
        <v/>
      </c>
      <c r="BU3" s="50" t="str">
        <f t="shared" si="14"/>
        <v/>
      </c>
      <c r="BV3" s="50" t="str">
        <f t="shared" si="15"/>
        <v/>
      </c>
      <c r="BW3" s="50">
        <f t="shared" si="16"/>
        <v>53775.330827067672</v>
      </c>
      <c r="BX3" s="50" t="str">
        <f t="shared" si="17"/>
        <v/>
      </c>
      <c r="BY3" s="50" t="str">
        <f t="shared" si="18"/>
        <v/>
      </c>
      <c r="BZ3" s="50">
        <f t="shared" si="19"/>
        <v>30714.82</v>
      </c>
      <c r="CA3" s="50" t="str">
        <f t="shared" si="20"/>
        <v/>
      </c>
      <c r="CB3" s="50">
        <f t="shared" si="21"/>
        <v>17724.25</v>
      </c>
      <c r="CC3" s="50">
        <f t="shared" si="22"/>
        <v>25486.901999999998</v>
      </c>
      <c r="CD3" s="50">
        <f t="shared" si="23"/>
        <v>65127.12</v>
      </c>
      <c r="CE3" s="50">
        <f t="shared" si="24"/>
        <v>14740</v>
      </c>
      <c r="CF3" s="50">
        <f t="shared" si="25"/>
        <v>19451.535353535353</v>
      </c>
      <c r="CG3" s="50">
        <f t="shared" si="26"/>
        <v>26215.49915110357</v>
      </c>
      <c r="CH3" s="64">
        <f t="shared" si="27"/>
        <v>40591</v>
      </c>
      <c r="CI3" s="64">
        <f t="shared" si="28"/>
        <v>52155.017167381971</v>
      </c>
      <c r="CJ3" s="64">
        <f t="shared" si="29"/>
        <v>22043.876666666667</v>
      </c>
      <c r="CK3" s="64">
        <f t="shared" si="30"/>
        <v>20338.568888888887</v>
      </c>
      <c r="CL3" s="65">
        <v>95612</v>
      </c>
      <c r="CM3" s="50">
        <v>127837</v>
      </c>
      <c r="CN3" s="64">
        <f t="shared" si="31"/>
        <v>223449</v>
      </c>
      <c r="CO3" s="19">
        <f t="shared" ref="CO3:CO28" si="81">CN3/SUM(BJ3:BK3)</f>
        <v>0.36178036956196091</v>
      </c>
      <c r="CP3" s="64" t="str">
        <f>IF(BK3="","",CO3*BK3)</f>
        <v/>
      </c>
      <c r="CQ3" s="64">
        <f>CN3</f>
        <v>223449</v>
      </c>
      <c r="CR3" s="50">
        <f t="shared" ref="CR3:CR28" si="82">BJ3+CQ3</f>
        <v>841086.16</v>
      </c>
      <c r="CS3" s="65">
        <v>24754</v>
      </c>
      <c r="CT3" s="65">
        <v>49601</v>
      </c>
      <c r="CU3" s="51">
        <f t="shared" si="32"/>
        <v>74355</v>
      </c>
      <c r="CV3" s="65">
        <v>13903</v>
      </c>
      <c r="CW3" s="65"/>
      <c r="CX3" s="64">
        <f>SUM(CV3:CW3)</f>
        <v>13903</v>
      </c>
      <c r="CY3" s="64">
        <f t="shared" si="33"/>
        <v>631540.16</v>
      </c>
      <c r="CZ3" s="65">
        <v>2385</v>
      </c>
      <c r="DA3" s="65">
        <v>2966</v>
      </c>
      <c r="DB3" s="51">
        <v>32390</v>
      </c>
      <c r="DC3" s="51">
        <v>5035</v>
      </c>
      <c r="DD3" s="65"/>
      <c r="DE3" s="65">
        <v>261</v>
      </c>
      <c r="DF3" s="65"/>
      <c r="DG3" s="65">
        <v>7323</v>
      </c>
      <c r="DH3" s="51">
        <v>22610</v>
      </c>
      <c r="DI3" s="13"/>
      <c r="DJ3" s="51"/>
      <c r="DK3" s="64">
        <f t="shared" ref="DK3:DK28" si="83">SUM(CZ3:DH3,DJ3)</f>
        <v>72970</v>
      </c>
      <c r="DL3" s="51">
        <f t="shared" ref="DL3:DL28" si="84">SUM(CR3,CZ3:DH3,CS3:CT3,CV3:CW3,DJ3)</f>
        <v>1002314.16</v>
      </c>
      <c r="DM3" s="316">
        <f t="shared" ref="DM3:DM28" si="85">DN3/DL3</f>
        <v>0.16264609092223142</v>
      </c>
      <c r="DN3" s="51">
        <v>163022.48000000001</v>
      </c>
      <c r="DO3" s="51">
        <f t="shared" ref="DO3:DO28" si="86">DL3+DN3</f>
        <v>1165336.6400000001</v>
      </c>
      <c r="DP3" s="51">
        <v>15926.25</v>
      </c>
      <c r="DQ3" s="51">
        <f t="shared" si="34"/>
        <v>1149410.3900000001</v>
      </c>
      <c r="DR3" s="64">
        <f t="shared" si="35"/>
        <v>81182</v>
      </c>
      <c r="DS3" s="64">
        <f t="shared" si="36"/>
        <v>121521.19</v>
      </c>
      <c r="DT3" s="64">
        <f t="shared" si="37"/>
        <v>330658.15000000002</v>
      </c>
      <c r="DU3" s="64">
        <f t="shared" si="38"/>
        <v>45761.78</v>
      </c>
      <c r="DV3" s="64">
        <f t="shared" ref="DV3:DV28" si="87">BJ3</f>
        <v>617637.16</v>
      </c>
      <c r="DW3" s="64">
        <f t="shared" ref="DW3:DW28" si="88">CQ3</f>
        <v>223449</v>
      </c>
      <c r="DX3" s="64">
        <f>CX3</f>
        <v>13903</v>
      </c>
      <c r="DY3" s="64">
        <f t="shared" si="39"/>
        <v>74355</v>
      </c>
      <c r="DZ3" s="64">
        <f t="shared" si="40"/>
        <v>72970</v>
      </c>
      <c r="EA3" s="64">
        <f t="shared" si="41"/>
        <v>163022.48000000001</v>
      </c>
      <c r="EB3" s="64">
        <f t="shared" si="42"/>
        <v>1165336.6400000001</v>
      </c>
      <c r="EC3" s="19">
        <f t="shared" si="43"/>
        <v>0.53000750066521551</v>
      </c>
      <c r="ED3" s="19">
        <f t="shared" si="44"/>
        <v>0.19174630946127291</v>
      </c>
      <c r="EE3" s="19">
        <f t="shared" si="45"/>
        <v>1.1930458137830455E-2</v>
      </c>
      <c r="EF3" s="19">
        <f t="shared" si="46"/>
        <v>6.3805596981830068E-2</v>
      </c>
      <c r="EG3" s="19">
        <f t="shared" si="47"/>
        <v>6.2617099210061727E-2</v>
      </c>
      <c r="EH3" s="20">
        <f t="shared" ref="EH3:EH28" si="89">EA3/EB3</f>
        <v>0.13989303554378929</v>
      </c>
      <c r="EI3" s="21">
        <f t="shared" si="48"/>
        <v>1</v>
      </c>
      <c r="EJ3" s="16">
        <f t="shared" si="49"/>
        <v>18.534703196347031</v>
      </c>
      <c r="EK3" s="16">
        <f t="shared" si="50"/>
        <v>27.744563926940639</v>
      </c>
      <c r="EL3" s="16">
        <f t="shared" si="51"/>
        <v>75.492728310502287</v>
      </c>
      <c r="EM3" s="16">
        <f t="shared" si="52"/>
        <v>10.44789497716895</v>
      </c>
      <c r="EN3" s="16">
        <f t="shared" si="53"/>
        <v>141.0130502283105</v>
      </c>
      <c r="EO3" s="16">
        <f t="shared" si="54"/>
        <v>51.015753424657532</v>
      </c>
      <c r="EP3" s="16">
        <f t="shared" si="55"/>
        <v>3.174200913242009</v>
      </c>
      <c r="EQ3" s="16">
        <f t="shared" si="56"/>
        <v>192.02880365296804</v>
      </c>
      <c r="ER3" s="16">
        <f t="shared" si="57"/>
        <v>144.18725114155251</v>
      </c>
      <c r="ES3" s="2" t="s">
        <v>152</v>
      </c>
      <c r="ET3" s="16">
        <f t="shared" si="58"/>
        <v>16.976027397260275</v>
      </c>
      <c r="EU3" s="16">
        <f t="shared" si="59"/>
        <v>16.659817351598175</v>
      </c>
      <c r="EV3" s="16">
        <f t="shared" si="60"/>
        <v>37.219744292237444</v>
      </c>
      <c r="EW3" s="16">
        <f t="shared" si="61"/>
        <v>51.015753424657532</v>
      </c>
      <c r="EX3" s="16">
        <f t="shared" si="62"/>
        <v>266.05859360730597</v>
      </c>
      <c r="EY3" s="16">
        <f t="shared" si="63"/>
        <v>295.62065956367331</v>
      </c>
      <c r="EZ3" s="16">
        <f t="shared" si="64"/>
        <v>241.14</v>
      </c>
      <c r="FA3" s="16">
        <f t="shared" si="65"/>
        <v>24.918593607305979</v>
      </c>
      <c r="FB3" s="22">
        <f t="shared" si="66"/>
        <v>0.16666666666666666</v>
      </c>
      <c r="FC3" s="22">
        <f t="shared" si="67"/>
        <v>0.19416666666666668</v>
      </c>
      <c r="FD3" s="22">
        <f t="shared" si="68"/>
        <v>1.25</v>
      </c>
      <c r="FE3" s="22">
        <f t="shared" si="69"/>
        <v>0.1875</v>
      </c>
      <c r="FF3" s="22">
        <f t="shared" si="70"/>
        <v>1.9633333333333332</v>
      </c>
      <c r="FG3" s="23">
        <f t="shared" si="71"/>
        <v>6</v>
      </c>
      <c r="FH3" s="23">
        <f t="shared" si="72"/>
        <v>5.1502145922746783</v>
      </c>
      <c r="FI3" s="23">
        <f t="shared" si="73"/>
        <v>0.8</v>
      </c>
      <c r="FJ3" s="23">
        <f t="shared" si="74"/>
        <v>5.333333333333333</v>
      </c>
      <c r="FK3" s="23">
        <f t="shared" si="75"/>
        <v>0.50933786078098475</v>
      </c>
    </row>
    <row r="4" spans="1:170" s="24" customFormat="1" x14ac:dyDescent="0.2">
      <c r="A4" s="2" t="s">
        <v>160</v>
      </c>
      <c r="B4" s="2" t="s">
        <v>161</v>
      </c>
      <c r="C4" s="3">
        <v>2512</v>
      </c>
      <c r="D4" s="2" t="s">
        <v>149</v>
      </c>
      <c r="E4" s="61" t="s">
        <v>162</v>
      </c>
      <c r="F4" s="4" t="s">
        <v>157</v>
      </c>
      <c r="G4" s="2" t="s">
        <v>163</v>
      </c>
      <c r="H4" s="5" t="s">
        <v>164</v>
      </c>
      <c r="I4" s="6">
        <v>40359</v>
      </c>
      <c r="J4" s="6">
        <v>41090</v>
      </c>
      <c r="K4" s="6" t="s">
        <v>159</v>
      </c>
      <c r="L4" s="7">
        <v>18</v>
      </c>
      <c r="M4" s="8">
        <f t="shared" si="0"/>
        <v>6570</v>
      </c>
      <c r="N4" s="10">
        <v>110701.12</v>
      </c>
      <c r="O4" s="10">
        <v>248.21</v>
      </c>
      <c r="P4" s="10">
        <v>292</v>
      </c>
      <c r="Q4" s="10">
        <v>261.35000000000002</v>
      </c>
      <c r="R4" s="10">
        <v>261.35000000000002</v>
      </c>
      <c r="S4" s="10">
        <f t="shared" si="76"/>
        <v>249.87702181633685</v>
      </c>
      <c r="T4" s="11">
        <v>0.9</v>
      </c>
      <c r="U4" s="12">
        <f t="shared" si="1"/>
        <v>5913</v>
      </c>
      <c r="V4" s="13">
        <v>0.64</v>
      </c>
      <c r="W4" s="13">
        <v>1</v>
      </c>
      <c r="X4" s="13">
        <v>1</v>
      </c>
      <c r="Y4" s="13"/>
      <c r="Z4" s="13">
        <v>1</v>
      </c>
      <c r="AA4" s="13"/>
      <c r="AB4" s="13"/>
      <c r="AC4" s="14">
        <v>1.5</v>
      </c>
      <c r="AD4" s="13"/>
      <c r="AE4" s="13"/>
      <c r="AF4" s="14">
        <v>4</v>
      </c>
      <c r="AG4" s="13"/>
      <c r="AH4" s="14">
        <v>4</v>
      </c>
      <c r="AI4" s="14">
        <v>14.25</v>
      </c>
      <c r="AJ4" s="14">
        <v>0.6</v>
      </c>
      <c r="AK4" s="14">
        <v>2</v>
      </c>
      <c r="AL4" s="14"/>
      <c r="AM4" s="13">
        <f t="shared" si="2"/>
        <v>29.990000000000002</v>
      </c>
      <c r="AN4" s="13">
        <f t="shared" si="3"/>
        <v>2.64</v>
      </c>
      <c r="AO4" s="13">
        <f t="shared" si="4"/>
        <v>2.5</v>
      </c>
      <c r="AP4" s="13">
        <f t="shared" si="5"/>
        <v>22.25</v>
      </c>
      <c r="AQ4" s="13">
        <f t="shared" si="6"/>
        <v>2.6</v>
      </c>
      <c r="AR4" s="51">
        <v>48300</v>
      </c>
      <c r="AS4" s="51">
        <v>57000</v>
      </c>
      <c r="AT4" s="51">
        <v>40000</v>
      </c>
      <c r="AU4" s="51"/>
      <c r="AV4" s="51">
        <v>50000</v>
      </c>
      <c r="AW4" s="51"/>
      <c r="AX4" s="51"/>
      <c r="AY4" s="51">
        <v>60000</v>
      </c>
      <c r="AZ4" s="51"/>
      <c r="BA4" s="51"/>
      <c r="BB4" s="51">
        <v>115715</v>
      </c>
      <c r="BC4" s="51"/>
      <c r="BD4" s="51">
        <v>110800</v>
      </c>
      <c r="BE4" s="51">
        <v>340700</v>
      </c>
      <c r="BF4" s="51">
        <v>15600</v>
      </c>
      <c r="BG4" s="51">
        <v>25455.7</v>
      </c>
      <c r="BH4" s="51"/>
      <c r="BI4" s="17">
        <f t="shared" si="77"/>
        <v>0</v>
      </c>
      <c r="BJ4" s="50">
        <f t="shared" si="78"/>
        <v>863570.7</v>
      </c>
      <c r="BK4" s="50"/>
      <c r="BL4" s="50">
        <f t="shared" si="79"/>
        <v>145300</v>
      </c>
      <c r="BM4" s="50">
        <f t="shared" si="80"/>
        <v>110000</v>
      </c>
      <c r="BN4" s="50">
        <f t="shared" si="7"/>
        <v>567215</v>
      </c>
      <c r="BO4" s="50">
        <f t="shared" si="8"/>
        <v>41055.699999999997</v>
      </c>
      <c r="BP4" s="50">
        <f t="shared" si="9"/>
        <v>75468.75</v>
      </c>
      <c r="BQ4" s="50">
        <f t="shared" si="10"/>
        <v>57000</v>
      </c>
      <c r="BR4" s="50">
        <f t="shared" si="11"/>
        <v>40000</v>
      </c>
      <c r="BS4" s="50" t="str">
        <f t="shared" si="12"/>
        <v/>
      </c>
      <c r="BT4" s="50">
        <f t="shared" si="13"/>
        <v>50000</v>
      </c>
      <c r="BU4" s="50" t="str">
        <f t="shared" si="14"/>
        <v/>
      </c>
      <c r="BV4" s="50" t="str">
        <f t="shared" si="15"/>
        <v/>
      </c>
      <c r="BW4" s="50">
        <f t="shared" si="16"/>
        <v>40000</v>
      </c>
      <c r="BX4" s="50" t="str">
        <f t="shared" si="17"/>
        <v/>
      </c>
      <c r="BY4" s="50" t="str">
        <f t="shared" si="18"/>
        <v/>
      </c>
      <c r="BZ4" s="50">
        <f t="shared" si="19"/>
        <v>28928.75</v>
      </c>
      <c r="CA4" s="50" t="str">
        <f t="shared" si="20"/>
        <v/>
      </c>
      <c r="CB4" s="50">
        <f t="shared" si="21"/>
        <v>27700</v>
      </c>
      <c r="CC4" s="50">
        <f t="shared" si="22"/>
        <v>23908.771929824561</v>
      </c>
      <c r="CD4" s="50">
        <f t="shared" si="23"/>
        <v>26000</v>
      </c>
      <c r="CE4" s="50">
        <f t="shared" si="24"/>
        <v>12727.85</v>
      </c>
      <c r="CF4" s="50" t="str">
        <f t="shared" si="25"/>
        <v/>
      </c>
      <c r="CG4" s="50">
        <f t="shared" si="26"/>
        <v>28795.288429476488</v>
      </c>
      <c r="CH4" s="64">
        <f t="shared" si="27"/>
        <v>55037.878787878784</v>
      </c>
      <c r="CI4" s="64">
        <f t="shared" si="28"/>
        <v>44000</v>
      </c>
      <c r="CJ4" s="64">
        <f t="shared" si="29"/>
        <v>25492.808988764045</v>
      </c>
      <c r="CK4" s="318">
        <f t="shared" si="30"/>
        <v>15790.653846153844</v>
      </c>
      <c r="CL4" s="65">
        <v>97428.160000000003</v>
      </c>
      <c r="CM4" s="50">
        <v>181908.55</v>
      </c>
      <c r="CN4" s="64">
        <f t="shared" si="31"/>
        <v>279336.70999999996</v>
      </c>
      <c r="CO4" s="19">
        <f t="shared" si="81"/>
        <v>0.32346710003014228</v>
      </c>
      <c r="CP4" s="64" t="str">
        <f t="shared" ref="CP4:CP28" si="90">IF(BK4="","",CO4*BK4)</f>
        <v/>
      </c>
      <c r="CQ4" s="64">
        <f t="shared" ref="CQ4:CQ28" si="91">IF(CP4="",CN4,CN4-CP4)</f>
        <v>279336.70999999996</v>
      </c>
      <c r="CR4" s="50">
        <f t="shared" si="82"/>
        <v>1142907.4099999999</v>
      </c>
      <c r="CS4" s="65"/>
      <c r="CT4" s="65">
        <v>37000</v>
      </c>
      <c r="CU4" s="51">
        <f t="shared" si="32"/>
        <v>37000</v>
      </c>
      <c r="CV4" s="65">
        <v>53600</v>
      </c>
      <c r="CW4" s="65"/>
      <c r="CX4" s="64">
        <f>SUM(CV4:CW4)</f>
        <v>53600</v>
      </c>
      <c r="CY4" s="64">
        <f t="shared" si="33"/>
        <v>917170.7</v>
      </c>
      <c r="CZ4" s="65">
        <v>9000</v>
      </c>
      <c r="DA4" s="65">
        <v>9400</v>
      </c>
      <c r="DB4" s="51"/>
      <c r="DC4" s="51">
        <v>13200</v>
      </c>
      <c r="DD4" s="65"/>
      <c r="DE4" s="65">
        <v>4100</v>
      </c>
      <c r="DF4" s="65">
        <v>4000</v>
      </c>
      <c r="DG4" s="65">
        <v>10000</v>
      </c>
      <c r="DH4" s="51">
        <f>35900+5000</f>
        <v>40900</v>
      </c>
      <c r="DI4" s="13"/>
      <c r="DJ4" s="51"/>
      <c r="DK4" s="64">
        <f t="shared" si="83"/>
        <v>90600</v>
      </c>
      <c r="DL4" s="51">
        <f t="shared" si="84"/>
        <v>1324107.4099999999</v>
      </c>
      <c r="DM4" s="316">
        <f t="shared" si="85"/>
        <v>0.11586327426413241</v>
      </c>
      <c r="DN4" s="51">
        <v>153415.42000000001</v>
      </c>
      <c r="DO4" s="51">
        <f t="shared" si="86"/>
        <v>1477522.8299999998</v>
      </c>
      <c r="DP4" s="51"/>
      <c r="DQ4" s="51">
        <f t="shared" si="34"/>
        <v>1477522.8299999998</v>
      </c>
      <c r="DR4" s="64">
        <f t="shared" si="35"/>
        <v>145300</v>
      </c>
      <c r="DS4" s="64">
        <f t="shared" si="36"/>
        <v>110000</v>
      </c>
      <c r="DT4" s="64">
        <f t="shared" si="37"/>
        <v>567215</v>
      </c>
      <c r="DU4" s="64">
        <f t="shared" si="38"/>
        <v>41055.699999999997</v>
      </c>
      <c r="DV4" s="64">
        <f t="shared" si="87"/>
        <v>863570.7</v>
      </c>
      <c r="DW4" s="64">
        <f t="shared" si="88"/>
        <v>279336.70999999996</v>
      </c>
      <c r="DX4" s="64">
        <f>CX4</f>
        <v>53600</v>
      </c>
      <c r="DY4" s="64">
        <f t="shared" si="39"/>
        <v>37000</v>
      </c>
      <c r="DZ4" s="64">
        <f t="shared" si="40"/>
        <v>90600</v>
      </c>
      <c r="EA4" s="64">
        <f t="shared" si="41"/>
        <v>153415.42000000001</v>
      </c>
      <c r="EB4" s="64">
        <f t="shared" si="42"/>
        <v>1477522.8299999998</v>
      </c>
      <c r="EC4" s="19">
        <f t="shared" si="43"/>
        <v>0.58447198409787016</v>
      </c>
      <c r="ED4" s="19">
        <f t="shared" si="44"/>
        <v>0.18905745774500146</v>
      </c>
      <c r="EE4" s="19">
        <f t="shared" si="45"/>
        <v>3.6276935226780896E-2</v>
      </c>
      <c r="EF4" s="19">
        <f t="shared" si="46"/>
        <v>2.5041914242367413E-2</v>
      </c>
      <c r="EG4" s="19">
        <f t="shared" si="47"/>
        <v>6.1318849469148312E-2</v>
      </c>
      <c r="EH4" s="20">
        <f t="shared" si="89"/>
        <v>0.10383285921883185</v>
      </c>
      <c r="EI4" s="21">
        <f t="shared" si="48"/>
        <v>1.0000000000000002</v>
      </c>
      <c r="EJ4" s="16">
        <f t="shared" si="49"/>
        <v>22.115677321156774</v>
      </c>
      <c r="EK4" s="16">
        <f t="shared" si="50"/>
        <v>16.7427701674277</v>
      </c>
      <c r="EL4" s="16">
        <f t="shared" si="51"/>
        <v>86.334094368340942</v>
      </c>
      <c r="EM4" s="16">
        <f t="shared" si="52"/>
        <v>6.2489649923896495</v>
      </c>
      <c r="EN4" s="16">
        <f t="shared" si="53"/>
        <v>131.44150684931506</v>
      </c>
      <c r="EO4" s="16">
        <f t="shared" si="54"/>
        <v>42.517003044140026</v>
      </c>
      <c r="EP4" s="16">
        <f t="shared" si="55"/>
        <v>8.1582952815829533</v>
      </c>
      <c r="EQ4" s="16">
        <f t="shared" si="56"/>
        <v>173.95850989345507</v>
      </c>
      <c r="ER4" s="16">
        <f t="shared" si="57"/>
        <v>139.59980213089801</v>
      </c>
      <c r="ES4" s="2" t="s">
        <v>163</v>
      </c>
      <c r="ET4" s="16">
        <f t="shared" si="58"/>
        <v>5.6316590563165905</v>
      </c>
      <c r="EU4" s="16">
        <f t="shared" si="59"/>
        <v>13.789954337899543</v>
      </c>
      <c r="EV4" s="16">
        <f t="shared" si="60"/>
        <v>23.350901065449012</v>
      </c>
      <c r="EW4" s="16">
        <f t="shared" si="61"/>
        <v>42.517003044140026</v>
      </c>
      <c r="EX4" s="16">
        <f t="shared" si="62"/>
        <v>224.88931963470318</v>
      </c>
      <c r="EY4" s="16">
        <f t="shared" si="63"/>
        <v>249.87702181633688</v>
      </c>
      <c r="EZ4" s="16">
        <f t="shared" si="64"/>
        <v>261.35000000000002</v>
      </c>
      <c r="FA4" s="16">
        <f t="shared" si="65"/>
        <v>-36.460680365296838</v>
      </c>
      <c r="FB4" s="22">
        <f t="shared" si="66"/>
        <v>0.14666666666666667</v>
      </c>
      <c r="FC4" s="22">
        <f t="shared" si="67"/>
        <v>0.1388888888888889</v>
      </c>
      <c r="FD4" s="22">
        <f t="shared" si="68"/>
        <v>1.2361111111111112</v>
      </c>
      <c r="FE4" s="22">
        <f t="shared" si="69"/>
        <v>0.14444444444444446</v>
      </c>
      <c r="FF4" s="22">
        <f t="shared" si="70"/>
        <v>1.6661111111111113</v>
      </c>
      <c r="FG4" s="23">
        <f t="shared" si="71"/>
        <v>6.8181818181818175</v>
      </c>
      <c r="FH4" s="23">
        <f t="shared" si="72"/>
        <v>7.2</v>
      </c>
      <c r="FI4" s="23">
        <f t="shared" si="73"/>
        <v>0.8089887640449438</v>
      </c>
      <c r="FJ4" s="23">
        <f t="shared" si="74"/>
        <v>6.9230769230769225</v>
      </c>
      <c r="FK4" s="23">
        <f t="shared" si="75"/>
        <v>0.60020006668889625</v>
      </c>
    </row>
    <row r="5" spans="1:170" s="24" customFormat="1" x14ac:dyDescent="0.2">
      <c r="A5" s="2" t="s">
        <v>160</v>
      </c>
      <c r="B5" s="2" t="s">
        <v>165</v>
      </c>
      <c r="C5" s="3">
        <v>2505</v>
      </c>
      <c r="D5" s="2" t="s">
        <v>166</v>
      </c>
      <c r="E5" s="61" t="s">
        <v>167</v>
      </c>
      <c r="F5" s="4" t="s">
        <v>157</v>
      </c>
      <c r="G5" s="2" t="s">
        <v>152</v>
      </c>
      <c r="H5" s="5" t="s">
        <v>168</v>
      </c>
      <c r="I5" s="6">
        <v>40724</v>
      </c>
      <c r="J5" s="6">
        <v>41455</v>
      </c>
      <c r="K5" s="6" t="s">
        <v>159</v>
      </c>
      <c r="L5" s="25">
        <v>25</v>
      </c>
      <c r="M5" s="8">
        <f t="shared" si="0"/>
        <v>9125</v>
      </c>
      <c r="N5" s="9"/>
      <c r="O5" s="10">
        <v>239.86</v>
      </c>
      <c r="P5" s="10"/>
      <c r="Q5" s="10">
        <v>244.99</v>
      </c>
      <c r="R5" s="10">
        <v>244.99</v>
      </c>
      <c r="S5" s="10" t="e">
        <f t="shared" si="76"/>
        <v>#REF!</v>
      </c>
      <c r="T5" s="11">
        <v>0.9</v>
      </c>
      <c r="U5" s="12">
        <f t="shared" si="1"/>
        <v>8212.5</v>
      </c>
      <c r="V5" s="13"/>
      <c r="W5" s="13">
        <v>1.1499999999999999</v>
      </c>
      <c r="X5" s="13">
        <v>1</v>
      </c>
      <c r="Y5" s="13"/>
      <c r="Z5" s="13">
        <v>1</v>
      </c>
      <c r="AA5" s="13">
        <v>2</v>
      </c>
      <c r="AB5" s="13"/>
      <c r="AC5" s="14"/>
      <c r="AD5" s="14"/>
      <c r="AE5" s="14"/>
      <c r="AF5" s="14">
        <v>5</v>
      </c>
      <c r="AG5" s="14"/>
      <c r="AH5" s="14"/>
      <c r="AI5" s="14">
        <v>16</v>
      </c>
      <c r="AJ5" s="14">
        <v>1</v>
      </c>
      <c r="AK5" s="14">
        <v>1.25</v>
      </c>
      <c r="AL5" s="14">
        <v>1.5</v>
      </c>
      <c r="AM5" s="13">
        <f t="shared" si="2"/>
        <v>29.9</v>
      </c>
      <c r="AN5" s="13">
        <f t="shared" si="3"/>
        <v>2.15</v>
      </c>
      <c r="AO5" s="13">
        <f t="shared" si="4"/>
        <v>3</v>
      </c>
      <c r="AP5" s="13">
        <f t="shared" si="5"/>
        <v>21</v>
      </c>
      <c r="AQ5" s="13">
        <f t="shared" si="6"/>
        <v>2.25</v>
      </c>
      <c r="AR5" s="51"/>
      <c r="AS5" s="51">
        <f>12000+60000</f>
        <v>72000</v>
      </c>
      <c r="AT5" s="51">
        <v>45000</v>
      </c>
      <c r="AU5" s="51"/>
      <c r="AV5" s="51">
        <v>55000</v>
      </c>
      <c r="AW5" s="51">
        <v>90000</v>
      </c>
      <c r="AX5" s="51"/>
      <c r="AY5" s="51"/>
      <c r="AZ5" s="51"/>
      <c r="BA5" s="51"/>
      <c r="BB5" s="51">
        <v>168000</v>
      </c>
      <c r="BC5" s="51"/>
      <c r="BD5" s="51"/>
      <c r="BE5" s="51">
        <v>400000</v>
      </c>
      <c r="BF5" s="51">
        <v>26000</v>
      </c>
      <c r="BG5" s="51">
        <v>17300</v>
      </c>
      <c r="BH5" s="51">
        <v>85200</v>
      </c>
      <c r="BI5" s="17">
        <f t="shared" si="77"/>
        <v>9.7560975609756101E-2</v>
      </c>
      <c r="BJ5" s="50">
        <f t="shared" si="78"/>
        <v>958500</v>
      </c>
      <c r="BK5" s="50" t="e">
        <f>#REF!</f>
        <v>#REF!</v>
      </c>
      <c r="BL5" s="50">
        <f>SUM(AR5:AT5)</f>
        <v>117000</v>
      </c>
      <c r="BM5" s="50">
        <f>SUM(AU5:AZ5)</f>
        <v>145000</v>
      </c>
      <c r="BN5" s="50">
        <f t="shared" si="7"/>
        <v>568000</v>
      </c>
      <c r="BO5" s="50">
        <f t="shared" si="8"/>
        <v>43300</v>
      </c>
      <c r="BP5" s="50" t="str">
        <f t="shared" si="9"/>
        <v/>
      </c>
      <c r="BQ5" s="50">
        <f t="shared" si="10"/>
        <v>62608.695652173919</v>
      </c>
      <c r="BR5" s="50">
        <f t="shared" si="11"/>
        <v>45000</v>
      </c>
      <c r="BS5" s="50" t="str">
        <f t="shared" si="12"/>
        <v/>
      </c>
      <c r="BT5" s="50">
        <f t="shared" si="13"/>
        <v>55000</v>
      </c>
      <c r="BU5" s="50">
        <f t="shared" si="14"/>
        <v>45000</v>
      </c>
      <c r="BV5" s="50" t="str">
        <f t="shared" si="15"/>
        <v/>
      </c>
      <c r="BW5" s="50" t="str">
        <f t="shared" si="16"/>
        <v/>
      </c>
      <c r="BX5" s="50" t="str">
        <f t="shared" si="17"/>
        <v/>
      </c>
      <c r="BY5" s="50" t="str">
        <f t="shared" si="18"/>
        <v/>
      </c>
      <c r="BZ5" s="50">
        <f t="shared" si="19"/>
        <v>33600</v>
      </c>
      <c r="CA5" s="50" t="str">
        <f t="shared" si="20"/>
        <v/>
      </c>
      <c r="CB5" s="50" t="str">
        <f t="shared" si="21"/>
        <v/>
      </c>
      <c r="CC5" s="50">
        <f t="shared" si="22"/>
        <v>25000</v>
      </c>
      <c r="CD5" s="50">
        <f t="shared" si="23"/>
        <v>26000</v>
      </c>
      <c r="CE5" s="50">
        <f t="shared" si="24"/>
        <v>13840</v>
      </c>
      <c r="CF5" s="50">
        <f t="shared" si="25"/>
        <v>56800</v>
      </c>
      <c r="CG5" s="50">
        <f t="shared" si="26"/>
        <v>32056.85618729097</v>
      </c>
      <c r="CH5" s="64">
        <f t="shared" si="27"/>
        <v>54418.604651162794</v>
      </c>
      <c r="CI5" s="64">
        <f t="shared" si="28"/>
        <v>48333.333333333336</v>
      </c>
      <c r="CJ5" s="64">
        <f t="shared" si="29"/>
        <v>27047.619047619046</v>
      </c>
      <c r="CK5" s="64">
        <f t="shared" si="30"/>
        <v>19244.444444444445</v>
      </c>
      <c r="CL5" s="65">
        <v>107086.11</v>
      </c>
      <c r="CM5" s="50">
        <v>176640.04</v>
      </c>
      <c r="CN5" s="64">
        <f t="shared" si="31"/>
        <v>283726.15000000002</v>
      </c>
      <c r="CO5" s="19" t="e">
        <f t="shared" si="81"/>
        <v>#REF!</v>
      </c>
      <c r="CP5" s="64" t="e">
        <f t="shared" si="90"/>
        <v>#REF!</v>
      </c>
      <c r="CQ5" s="64" t="e">
        <f t="shared" si="91"/>
        <v>#REF!</v>
      </c>
      <c r="CR5" s="50" t="e">
        <f t="shared" si="82"/>
        <v>#REF!</v>
      </c>
      <c r="CS5" s="47">
        <v>153500</v>
      </c>
      <c r="CT5" s="47">
        <v>19300</v>
      </c>
      <c r="CU5" s="51">
        <f t="shared" si="32"/>
        <v>172800</v>
      </c>
      <c r="CV5" s="65"/>
      <c r="CW5" s="65"/>
      <c r="CX5" s="64"/>
      <c r="CY5" s="64">
        <f t="shared" si="33"/>
        <v>958500</v>
      </c>
      <c r="CZ5" s="47">
        <v>4000</v>
      </c>
      <c r="DA5" s="47">
        <v>8000</v>
      </c>
      <c r="DB5" s="50">
        <v>155000</v>
      </c>
      <c r="DC5" s="50"/>
      <c r="DD5" s="65"/>
      <c r="DE5" s="65">
        <v>1000</v>
      </c>
      <c r="DF5" s="65"/>
      <c r="DG5" s="65">
        <v>45000</v>
      </c>
      <c r="DH5" s="51">
        <v>42200</v>
      </c>
      <c r="DI5" s="13"/>
      <c r="DJ5" s="51"/>
      <c r="DK5" s="64">
        <f t="shared" si="83"/>
        <v>255200</v>
      </c>
      <c r="DL5" s="51" t="e">
        <f t="shared" si="84"/>
        <v>#REF!</v>
      </c>
      <c r="DM5" s="316" t="e">
        <f t="shared" si="85"/>
        <v>#REF!</v>
      </c>
      <c r="DN5" s="51">
        <v>161415.5</v>
      </c>
      <c r="DO5" s="51" t="e">
        <f t="shared" si="86"/>
        <v>#REF!</v>
      </c>
      <c r="DP5" s="51">
        <v>29109.4</v>
      </c>
      <c r="DQ5" s="51" t="e">
        <f t="shared" si="34"/>
        <v>#REF!</v>
      </c>
      <c r="DR5" s="64">
        <f t="shared" si="35"/>
        <v>117000</v>
      </c>
      <c r="DS5" s="64">
        <f t="shared" si="36"/>
        <v>145000</v>
      </c>
      <c r="DT5" s="64">
        <f t="shared" si="37"/>
        <v>568000</v>
      </c>
      <c r="DU5" s="64">
        <f t="shared" si="38"/>
        <v>43300</v>
      </c>
      <c r="DV5" s="64">
        <f t="shared" si="87"/>
        <v>958500</v>
      </c>
      <c r="DW5" s="64" t="e">
        <f t="shared" si="88"/>
        <v>#REF!</v>
      </c>
      <c r="DX5" s="64"/>
      <c r="DY5" s="64">
        <f t="shared" si="39"/>
        <v>172800</v>
      </c>
      <c r="DZ5" s="64">
        <f t="shared" si="40"/>
        <v>255200</v>
      </c>
      <c r="EA5" s="64">
        <f t="shared" si="41"/>
        <v>161415.5</v>
      </c>
      <c r="EB5" s="64" t="e">
        <f t="shared" si="42"/>
        <v>#REF!</v>
      </c>
      <c r="EC5" s="19" t="e">
        <f t="shared" si="43"/>
        <v>#REF!</v>
      </c>
      <c r="ED5" s="19" t="e">
        <f t="shared" si="44"/>
        <v>#REF!</v>
      </c>
      <c r="EE5" s="19" t="e">
        <f t="shared" si="45"/>
        <v>#REF!</v>
      </c>
      <c r="EF5" s="19" t="e">
        <f t="shared" si="46"/>
        <v>#REF!</v>
      </c>
      <c r="EG5" s="19" t="e">
        <f t="shared" si="47"/>
        <v>#REF!</v>
      </c>
      <c r="EH5" s="20" t="e">
        <f t="shared" si="89"/>
        <v>#REF!</v>
      </c>
      <c r="EI5" s="21" t="e">
        <f t="shared" si="48"/>
        <v>#REF!</v>
      </c>
      <c r="EJ5" s="16">
        <f t="shared" si="49"/>
        <v>12.821917808219178</v>
      </c>
      <c r="EK5" s="16">
        <f t="shared" si="50"/>
        <v>15.890410958904109</v>
      </c>
      <c r="EL5" s="16">
        <f t="shared" si="51"/>
        <v>62.246575342465754</v>
      </c>
      <c r="EM5" s="16">
        <f t="shared" si="52"/>
        <v>4.7452054794520544</v>
      </c>
      <c r="EN5" s="16">
        <f t="shared" si="53"/>
        <v>105.04109589041096</v>
      </c>
      <c r="EO5" s="16" t="e">
        <f t="shared" si="54"/>
        <v>#REF!</v>
      </c>
      <c r="EP5" s="16" t="str">
        <f t="shared" si="55"/>
        <v/>
      </c>
      <c r="EQ5" s="16" t="e">
        <f t="shared" si="56"/>
        <v>#REF!</v>
      </c>
      <c r="ER5" s="16">
        <f t="shared" si="57"/>
        <v>105.04109589041096</v>
      </c>
      <c r="ES5" s="2" t="s">
        <v>152</v>
      </c>
      <c r="ET5" s="16">
        <f t="shared" si="58"/>
        <v>18.936986301369863</v>
      </c>
      <c r="EU5" s="16">
        <f t="shared" si="59"/>
        <v>27.967123287671232</v>
      </c>
      <c r="EV5" s="16">
        <f t="shared" si="60"/>
        <v>17.689369863013699</v>
      </c>
      <c r="EW5" s="16" t="e">
        <f t="shared" si="61"/>
        <v>#REF!</v>
      </c>
      <c r="EX5" s="16" t="e">
        <f t="shared" si="62"/>
        <v>#REF!</v>
      </c>
      <c r="EY5" s="16" t="e">
        <f t="shared" si="63"/>
        <v>#REF!</v>
      </c>
      <c r="EZ5" s="16">
        <f t="shared" si="64"/>
        <v>244.99</v>
      </c>
      <c r="FA5" s="16" t="e">
        <f t="shared" si="65"/>
        <v>#REF!</v>
      </c>
      <c r="FB5" s="22">
        <f t="shared" si="66"/>
        <v>8.5999999999999993E-2</v>
      </c>
      <c r="FC5" s="22">
        <f t="shared" si="67"/>
        <v>0.12</v>
      </c>
      <c r="FD5" s="22">
        <f t="shared" si="68"/>
        <v>0.84</v>
      </c>
      <c r="FE5" s="22">
        <f t="shared" si="69"/>
        <v>0.09</v>
      </c>
      <c r="FF5" s="22">
        <f t="shared" si="70"/>
        <v>1.196</v>
      </c>
      <c r="FG5" s="23">
        <f t="shared" si="71"/>
        <v>11.627906976744187</v>
      </c>
      <c r="FH5" s="23">
        <f t="shared" si="72"/>
        <v>8.3333333333333339</v>
      </c>
      <c r="FI5" s="23">
        <f t="shared" si="73"/>
        <v>1.1904761904761905</v>
      </c>
      <c r="FJ5" s="23">
        <f t="shared" si="74"/>
        <v>11.111111111111111</v>
      </c>
      <c r="FK5" s="23">
        <f t="shared" si="75"/>
        <v>0.83612040133779264</v>
      </c>
    </row>
    <row r="6" spans="1:170" s="24" customFormat="1" x14ac:dyDescent="0.2">
      <c r="A6" s="2" t="s">
        <v>169</v>
      </c>
      <c r="B6" s="2" t="s">
        <v>170</v>
      </c>
      <c r="C6" s="3">
        <v>2500</v>
      </c>
      <c r="D6" s="2" t="s">
        <v>171</v>
      </c>
      <c r="E6" s="61" t="s">
        <v>172</v>
      </c>
      <c r="F6" s="4" t="s">
        <v>173</v>
      </c>
      <c r="G6" s="2" t="s">
        <v>163</v>
      </c>
      <c r="H6" s="5" t="s">
        <v>174</v>
      </c>
      <c r="I6" s="6">
        <v>39629</v>
      </c>
      <c r="J6" s="6">
        <v>39629</v>
      </c>
      <c r="K6" s="6"/>
      <c r="L6" s="7">
        <v>17</v>
      </c>
      <c r="M6" s="8">
        <f t="shared" si="0"/>
        <v>6205</v>
      </c>
      <c r="N6" s="10"/>
      <c r="O6" s="10">
        <v>298.49</v>
      </c>
      <c r="P6" s="10"/>
      <c r="Q6" s="10"/>
      <c r="R6" s="10">
        <v>298.49</v>
      </c>
      <c r="S6" s="10" t="e">
        <f t="shared" si="76"/>
        <v>#REF!</v>
      </c>
      <c r="T6" s="11">
        <v>0.9</v>
      </c>
      <c r="U6" s="12">
        <f t="shared" si="1"/>
        <v>5584.5</v>
      </c>
      <c r="V6" s="26">
        <v>1</v>
      </c>
      <c r="W6" s="26">
        <v>2</v>
      </c>
      <c r="X6" s="26"/>
      <c r="Y6" s="26"/>
      <c r="Z6" s="26"/>
      <c r="AA6" s="27">
        <v>2.5</v>
      </c>
      <c r="AB6" s="26"/>
      <c r="AC6" s="26"/>
      <c r="AD6" s="26"/>
      <c r="AE6" s="26"/>
      <c r="AF6" s="27">
        <v>6</v>
      </c>
      <c r="AG6" s="26"/>
      <c r="AH6" s="27">
        <v>4</v>
      </c>
      <c r="AI6" s="27">
        <v>12</v>
      </c>
      <c r="AJ6" s="27">
        <v>1</v>
      </c>
      <c r="AK6" s="26"/>
      <c r="AL6" s="27">
        <v>3.75</v>
      </c>
      <c r="AM6" s="13">
        <f t="shared" si="2"/>
        <v>32.25</v>
      </c>
      <c r="AN6" s="13">
        <f t="shared" si="3"/>
        <v>3</v>
      </c>
      <c r="AO6" s="13">
        <f t="shared" si="4"/>
        <v>2.5</v>
      </c>
      <c r="AP6" s="13">
        <f t="shared" si="5"/>
        <v>22</v>
      </c>
      <c r="AQ6" s="13">
        <f t="shared" si="6"/>
        <v>1</v>
      </c>
      <c r="AR6" s="65">
        <v>42500</v>
      </c>
      <c r="AS6" s="51">
        <f>60000+63300</f>
        <v>123300</v>
      </c>
      <c r="AT6" s="65"/>
      <c r="AU6" s="65"/>
      <c r="AV6" s="65"/>
      <c r="AW6" s="65">
        <v>106845.32</v>
      </c>
      <c r="AX6" s="65"/>
      <c r="AY6" s="65"/>
      <c r="AZ6" s="65"/>
      <c r="BA6" s="65"/>
      <c r="BB6" s="65">
        <v>203556.82</v>
      </c>
      <c r="BC6" s="65"/>
      <c r="BD6" s="65">
        <v>118298.59</v>
      </c>
      <c r="BE6" s="65">
        <v>315364.21000000002</v>
      </c>
      <c r="BF6" s="65">
        <v>33870.51</v>
      </c>
      <c r="BG6" s="65"/>
      <c r="BH6" s="65">
        <v>102172.51</v>
      </c>
      <c r="BI6" s="17">
        <f t="shared" si="77"/>
        <v>0.10826393138034605</v>
      </c>
      <c r="BJ6" s="50">
        <f t="shared" si="78"/>
        <v>1045907.96</v>
      </c>
      <c r="BK6" s="50" t="e">
        <f>#REF!</f>
        <v>#REF!</v>
      </c>
      <c r="BL6" s="50">
        <f t="shared" si="79"/>
        <v>165800</v>
      </c>
      <c r="BM6" s="50">
        <f t="shared" si="80"/>
        <v>106845.32</v>
      </c>
      <c r="BN6" s="50">
        <f t="shared" si="7"/>
        <v>637219.62000000011</v>
      </c>
      <c r="BO6" s="50">
        <f t="shared" si="8"/>
        <v>33870.51</v>
      </c>
      <c r="BP6" s="50">
        <f t="shared" si="9"/>
        <v>42500</v>
      </c>
      <c r="BQ6" s="50">
        <f t="shared" si="10"/>
        <v>61650</v>
      </c>
      <c r="BR6" s="50" t="str">
        <f t="shared" si="11"/>
        <v/>
      </c>
      <c r="BS6" s="50" t="str">
        <f t="shared" si="12"/>
        <v/>
      </c>
      <c r="BT6" s="50" t="str">
        <f t="shared" si="13"/>
        <v/>
      </c>
      <c r="BU6" s="50">
        <f t="shared" si="14"/>
        <v>42738.128000000004</v>
      </c>
      <c r="BV6" s="50" t="str">
        <f t="shared" si="15"/>
        <v/>
      </c>
      <c r="BW6" s="50" t="str">
        <f t="shared" si="16"/>
        <v/>
      </c>
      <c r="BX6" s="50" t="str">
        <f t="shared" si="17"/>
        <v/>
      </c>
      <c r="BY6" s="50" t="str">
        <f t="shared" si="18"/>
        <v/>
      </c>
      <c r="BZ6" s="50">
        <f t="shared" si="19"/>
        <v>33926.136666666665</v>
      </c>
      <c r="CA6" s="50" t="str">
        <f t="shared" si="20"/>
        <v/>
      </c>
      <c r="CB6" s="50">
        <f t="shared" si="21"/>
        <v>29574.647499999999</v>
      </c>
      <c r="CC6" s="50">
        <f t="shared" si="22"/>
        <v>26280.350833333334</v>
      </c>
      <c r="CD6" s="50">
        <f t="shared" si="23"/>
        <v>33870.51</v>
      </c>
      <c r="CE6" s="50" t="str">
        <f t="shared" si="24"/>
        <v/>
      </c>
      <c r="CF6" s="50">
        <f t="shared" si="25"/>
        <v>27246.002666666664</v>
      </c>
      <c r="CG6" s="50">
        <f t="shared" si="26"/>
        <v>32431.254573643411</v>
      </c>
      <c r="CH6" s="64">
        <f t="shared" si="27"/>
        <v>55266.666666666664</v>
      </c>
      <c r="CI6" s="64">
        <f t="shared" si="28"/>
        <v>42738.128000000004</v>
      </c>
      <c r="CJ6" s="64">
        <f t="shared" si="29"/>
        <v>28964.528181818187</v>
      </c>
      <c r="CK6" s="64">
        <f t="shared" si="30"/>
        <v>33870.51</v>
      </c>
      <c r="CL6" s="65">
        <v>124254.68</v>
      </c>
      <c r="CM6" s="50">
        <v>211232.96</v>
      </c>
      <c r="CN6" s="64">
        <f t="shared" si="31"/>
        <v>335487.64</v>
      </c>
      <c r="CO6" s="19" t="e">
        <f t="shared" si="81"/>
        <v>#REF!</v>
      </c>
      <c r="CP6" s="64" t="e">
        <f t="shared" si="90"/>
        <v>#REF!</v>
      </c>
      <c r="CQ6" s="64" t="e">
        <f t="shared" si="91"/>
        <v>#REF!</v>
      </c>
      <c r="CR6" s="50" t="e">
        <f t="shared" si="82"/>
        <v>#REF!</v>
      </c>
      <c r="CS6" s="65"/>
      <c r="CT6" s="65">
        <v>11355.9</v>
      </c>
      <c r="CU6" s="51">
        <f t="shared" si="32"/>
        <v>11355.9</v>
      </c>
      <c r="CV6" s="65">
        <v>2422.59</v>
      </c>
      <c r="CW6" s="65"/>
      <c r="CX6" s="64">
        <f>SUM(CV6:CW6)</f>
        <v>2422.59</v>
      </c>
      <c r="CY6" s="64">
        <f t="shared" si="33"/>
        <v>1048330.5499999999</v>
      </c>
      <c r="CZ6" s="65">
        <v>7570.6</v>
      </c>
      <c r="DA6" s="65">
        <v>1514.12</v>
      </c>
      <c r="DB6" s="51">
        <v>908.47</v>
      </c>
      <c r="DC6" s="51">
        <f>2081.91+3785.3</f>
        <v>5867.21</v>
      </c>
      <c r="DD6" s="65">
        <v>908.47</v>
      </c>
      <c r="DE6" s="65"/>
      <c r="DF6" s="65">
        <v>3936.71</v>
      </c>
      <c r="DG6" s="65">
        <v>11355.9</v>
      </c>
      <c r="DH6" s="65">
        <v>10598.84</v>
      </c>
      <c r="DI6" s="26"/>
      <c r="DJ6" s="65"/>
      <c r="DK6" s="64">
        <f t="shared" si="83"/>
        <v>42660.320000000007</v>
      </c>
      <c r="DL6" s="51" t="e">
        <f t="shared" si="84"/>
        <v>#REF!</v>
      </c>
      <c r="DM6" s="316" t="e">
        <f t="shared" si="85"/>
        <v>#REF!</v>
      </c>
      <c r="DN6" s="65">
        <v>145552.16</v>
      </c>
      <c r="DO6" s="51" t="e">
        <f t="shared" si="86"/>
        <v>#REF!</v>
      </c>
      <c r="DP6" s="65"/>
      <c r="DQ6" s="51" t="e">
        <f t="shared" si="34"/>
        <v>#REF!</v>
      </c>
      <c r="DR6" s="64">
        <f t="shared" si="35"/>
        <v>165800</v>
      </c>
      <c r="DS6" s="64">
        <f t="shared" si="36"/>
        <v>106845.32</v>
      </c>
      <c r="DT6" s="64">
        <f t="shared" si="37"/>
        <v>637219.62000000011</v>
      </c>
      <c r="DU6" s="64">
        <f t="shared" si="38"/>
        <v>33870.51</v>
      </c>
      <c r="DV6" s="64">
        <f t="shared" si="87"/>
        <v>1045907.96</v>
      </c>
      <c r="DW6" s="64" t="e">
        <f t="shared" si="88"/>
        <v>#REF!</v>
      </c>
      <c r="DX6" s="64">
        <f>CX6</f>
        <v>2422.59</v>
      </c>
      <c r="DY6" s="64">
        <f t="shared" si="39"/>
        <v>11355.9</v>
      </c>
      <c r="DZ6" s="64">
        <f t="shared" si="40"/>
        <v>42660.320000000007</v>
      </c>
      <c r="EA6" s="64">
        <f t="shared" si="41"/>
        <v>145552.16</v>
      </c>
      <c r="EB6" s="64" t="e">
        <f t="shared" si="42"/>
        <v>#REF!</v>
      </c>
      <c r="EC6" s="19" t="e">
        <f t="shared" si="43"/>
        <v>#REF!</v>
      </c>
      <c r="ED6" s="19" t="e">
        <f t="shared" si="44"/>
        <v>#REF!</v>
      </c>
      <c r="EE6" s="19" t="e">
        <f t="shared" si="45"/>
        <v>#REF!</v>
      </c>
      <c r="EF6" s="19" t="e">
        <f t="shared" si="46"/>
        <v>#REF!</v>
      </c>
      <c r="EG6" s="19" t="e">
        <f t="shared" si="47"/>
        <v>#REF!</v>
      </c>
      <c r="EH6" s="20" t="e">
        <f t="shared" si="89"/>
        <v>#REF!</v>
      </c>
      <c r="EI6" s="21" t="e">
        <f t="shared" si="48"/>
        <v>#REF!</v>
      </c>
      <c r="EJ6" s="16">
        <f t="shared" si="49"/>
        <v>26.720386784850927</v>
      </c>
      <c r="EK6" s="16">
        <f t="shared" si="50"/>
        <v>17.219229653505238</v>
      </c>
      <c r="EL6" s="16">
        <f t="shared" si="51"/>
        <v>102.69453988718777</v>
      </c>
      <c r="EM6" s="16">
        <f t="shared" si="52"/>
        <v>5.458583400483481</v>
      </c>
      <c r="EN6" s="16">
        <f t="shared" si="53"/>
        <v>168.55889766317486</v>
      </c>
      <c r="EO6" s="16" t="e">
        <f t="shared" si="54"/>
        <v>#REF!</v>
      </c>
      <c r="EP6" s="16">
        <f t="shared" si="55"/>
        <v>0.39042546333601935</v>
      </c>
      <c r="EQ6" s="16" t="e">
        <f t="shared" si="56"/>
        <v>#REF!</v>
      </c>
      <c r="ER6" s="16">
        <f t="shared" si="57"/>
        <v>168.94932312651088</v>
      </c>
      <c r="ES6" s="2" t="s">
        <v>163</v>
      </c>
      <c r="ET6" s="16">
        <f t="shared" si="58"/>
        <v>1.8301208702659146</v>
      </c>
      <c r="EU6" s="16">
        <f t="shared" si="59"/>
        <v>6.8751522965350533</v>
      </c>
      <c r="EV6" s="16">
        <f t="shared" si="60"/>
        <v>23.457237711522964</v>
      </c>
      <c r="EW6" s="16" t="e">
        <f t="shared" si="61"/>
        <v>#REF!</v>
      </c>
      <c r="EX6" s="16" t="e">
        <f t="shared" si="62"/>
        <v>#REF!</v>
      </c>
      <c r="EY6" s="16" t="e">
        <f t="shared" si="63"/>
        <v>#REF!</v>
      </c>
      <c r="EZ6" s="16">
        <f t="shared" si="64"/>
        <v>298.49</v>
      </c>
      <c r="FA6" s="16" t="e">
        <f t="shared" si="65"/>
        <v>#REF!</v>
      </c>
      <c r="FB6" s="22">
        <f t="shared" si="66"/>
        <v>0.17647058823529413</v>
      </c>
      <c r="FC6" s="22">
        <f t="shared" si="67"/>
        <v>0.14705882352941177</v>
      </c>
      <c r="FD6" s="22">
        <f t="shared" si="68"/>
        <v>1.2941176470588236</v>
      </c>
      <c r="FE6" s="22">
        <f t="shared" si="69"/>
        <v>5.8823529411764705E-2</v>
      </c>
      <c r="FF6" s="22">
        <f t="shared" si="70"/>
        <v>1.8970588235294117</v>
      </c>
      <c r="FG6" s="23">
        <f t="shared" si="71"/>
        <v>5.666666666666667</v>
      </c>
      <c r="FH6" s="23">
        <f t="shared" si="72"/>
        <v>6.8</v>
      </c>
      <c r="FI6" s="23">
        <f t="shared" si="73"/>
        <v>0.77272727272727271</v>
      </c>
      <c r="FJ6" s="23">
        <f t="shared" si="74"/>
        <v>17</v>
      </c>
      <c r="FK6" s="23">
        <f t="shared" si="75"/>
        <v>0.52713178294573648</v>
      </c>
    </row>
    <row r="7" spans="1:170" x14ac:dyDescent="0.2">
      <c r="A7" s="2" t="s">
        <v>147</v>
      </c>
      <c r="B7" s="2" t="s">
        <v>231</v>
      </c>
      <c r="C7" s="60">
        <v>2503</v>
      </c>
      <c r="D7" s="2" t="s">
        <v>149</v>
      </c>
      <c r="E7" s="58" t="s">
        <v>232</v>
      </c>
      <c r="F7" s="58" t="s">
        <v>243</v>
      </c>
      <c r="G7" s="34" t="s">
        <v>152</v>
      </c>
      <c r="H7" s="3" t="s">
        <v>233</v>
      </c>
      <c r="I7" s="6">
        <v>39629</v>
      </c>
      <c r="J7" s="6">
        <v>40724</v>
      </c>
      <c r="K7" s="59" t="s">
        <v>205</v>
      </c>
      <c r="L7" s="7">
        <v>12</v>
      </c>
      <c r="M7" s="8">
        <f t="shared" si="0"/>
        <v>4380</v>
      </c>
      <c r="N7" s="7"/>
      <c r="O7" s="10">
        <v>269.66000000000003</v>
      </c>
      <c r="P7" s="10">
        <v>360.2</v>
      </c>
      <c r="Q7" s="10">
        <v>303.29000000000002</v>
      </c>
      <c r="R7" s="10">
        <v>303.29000000000002</v>
      </c>
      <c r="S7" s="10">
        <f t="shared" si="76"/>
        <v>292.80914668949777</v>
      </c>
      <c r="T7" s="17">
        <v>0.8</v>
      </c>
      <c r="U7" s="12">
        <f t="shared" si="1"/>
        <v>3504</v>
      </c>
      <c r="V7" s="53">
        <v>0.1</v>
      </c>
      <c r="W7" s="53">
        <v>1</v>
      </c>
      <c r="X7" s="54">
        <v>1</v>
      </c>
      <c r="Y7" s="55"/>
      <c r="AA7" s="57"/>
      <c r="AB7" s="57"/>
      <c r="AC7" s="57"/>
      <c r="AD7" s="57">
        <v>2</v>
      </c>
      <c r="AE7" s="57"/>
      <c r="AF7" s="57"/>
      <c r="AG7" s="57">
        <v>3</v>
      </c>
      <c r="AH7" s="56">
        <v>2</v>
      </c>
      <c r="AI7" s="56">
        <v>6.2</v>
      </c>
      <c r="AJ7" s="56">
        <v>0.5</v>
      </c>
      <c r="AK7" s="56"/>
      <c r="AL7" s="56"/>
      <c r="AM7" s="13">
        <f t="shared" si="2"/>
        <v>15.8</v>
      </c>
      <c r="AN7" s="13">
        <f t="shared" si="3"/>
        <v>2.1</v>
      </c>
      <c r="AO7" s="13">
        <f t="shared" si="4"/>
        <v>2</v>
      </c>
      <c r="AP7" s="13">
        <f t="shared" si="5"/>
        <v>11.2</v>
      </c>
      <c r="AQ7" s="13">
        <f t="shared" si="6"/>
        <v>0.5</v>
      </c>
      <c r="AR7" s="48">
        <v>7405.14</v>
      </c>
      <c r="AS7" s="48">
        <v>49995.839999999997</v>
      </c>
      <c r="AT7" s="49">
        <v>36961.24</v>
      </c>
      <c r="AU7" s="66"/>
      <c r="AV7" s="51"/>
      <c r="AW7" s="51"/>
      <c r="AX7" s="51"/>
      <c r="AY7" s="51"/>
      <c r="AZ7" s="51">
        <v>80212.28</v>
      </c>
      <c r="BA7" s="51"/>
      <c r="BB7" s="51"/>
      <c r="BC7" s="50">
        <v>87729.84</v>
      </c>
      <c r="BD7" s="50">
        <v>51354.52</v>
      </c>
      <c r="BE7" s="50">
        <v>151954.6</v>
      </c>
      <c r="BF7" s="50">
        <v>13315.67</v>
      </c>
      <c r="BG7" s="50"/>
      <c r="BH7" s="50">
        <v>50360.59</v>
      </c>
      <c r="BI7" s="17">
        <f t="shared" si="77"/>
        <v>0.10515248884527027</v>
      </c>
      <c r="BJ7" s="50">
        <f t="shared" si="78"/>
        <v>529289.72</v>
      </c>
      <c r="BK7" s="50"/>
      <c r="BL7" s="50">
        <f t="shared" si="79"/>
        <v>94362.22</v>
      </c>
      <c r="BM7" s="50">
        <f t="shared" si="80"/>
        <v>80212.28</v>
      </c>
      <c r="BN7" s="50">
        <f t="shared" si="7"/>
        <v>291038.95999999996</v>
      </c>
      <c r="BO7" s="50">
        <f t="shared" si="8"/>
        <v>13315.67</v>
      </c>
      <c r="BP7" s="50">
        <f t="shared" si="9"/>
        <v>74051.399999999994</v>
      </c>
      <c r="BQ7" s="50">
        <f t="shared" si="10"/>
        <v>49995.839999999997</v>
      </c>
      <c r="BR7" s="50">
        <f t="shared" si="11"/>
        <v>36961.24</v>
      </c>
      <c r="BS7" s="50" t="str">
        <f t="shared" si="12"/>
        <v/>
      </c>
      <c r="BT7" s="50" t="str">
        <f t="shared" si="13"/>
        <v/>
      </c>
      <c r="BU7" s="50" t="str">
        <f t="shared" si="14"/>
        <v/>
      </c>
      <c r="BV7" s="50" t="str">
        <f t="shared" si="15"/>
        <v/>
      </c>
      <c r="BW7" s="50" t="str">
        <f t="shared" si="16"/>
        <v/>
      </c>
      <c r="BX7" s="50">
        <f t="shared" si="17"/>
        <v>40106.14</v>
      </c>
      <c r="BY7" s="50" t="str">
        <f t="shared" si="18"/>
        <v/>
      </c>
      <c r="BZ7" s="50" t="str">
        <f t="shared" si="19"/>
        <v/>
      </c>
      <c r="CA7" s="50">
        <f t="shared" si="20"/>
        <v>29243.279999999999</v>
      </c>
      <c r="CB7" s="50">
        <f t="shared" si="21"/>
        <v>25677.26</v>
      </c>
      <c r="CC7" s="50">
        <f t="shared" si="22"/>
        <v>24508.806451612905</v>
      </c>
      <c r="CD7" s="50">
        <f t="shared" si="23"/>
        <v>26631.34</v>
      </c>
      <c r="CE7" s="50" t="str">
        <f t="shared" si="24"/>
        <v/>
      </c>
      <c r="CF7" s="50" t="str">
        <f t="shared" si="25"/>
        <v/>
      </c>
      <c r="CG7" s="50">
        <f t="shared" si="26"/>
        <v>33499.349367088602</v>
      </c>
      <c r="CH7" s="64">
        <f t="shared" si="27"/>
        <v>44934.390476190478</v>
      </c>
      <c r="CI7" s="64">
        <f t="shared" si="28"/>
        <v>40106.14</v>
      </c>
      <c r="CJ7" s="64">
        <f t="shared" si="29"/>
        <v>25985.621428571427</v>
      </c>
      <c r="CK7" s="64">
        <f t="shared" si="30"/>
        <v>26631.34</v>
      </c>
      <c r="CL7" s="50">
        <v>58014.02</v>
      </c>
      <c r="CM7" s="50">
        <v>93693.72</v>
      </c>
      <c r="CN7" s="64">
        <f t="shared" si="31"/>
        <v>151707.74</v>
      </c>
      <c r="CO7" s="19">
        <f t="shared" si="81"/>
        <v>0.28662513981945464</v>
      </c>
      <c r="CP7" s="64" t="str">
        <f t="shared" si="90"/>
        <v/>
      </c>
      <c r="CQ7" s="64">
        <f t="shared" si="91"/>
        <v>151707.74</v>
      </c>
      <c r="CR7" s="50">
        <f t="shared" si="82"/>
        <v>680997.46</v>
      </c>
      <c r="CS7" s="50">
        <v>94720.54</v>
      </c>
      <c r="CT7" s="50">
        <f>34819.45+9041.01</f>
        <v>43860.46</v>
      </c>
      <c r="CU7" s="51">
        <f t="shared" si="32"/>
        <v>138581</v>
      </c>
      <c r="CV7" s="50">
        <v>5854.05</v>
      </c>
      <c r="CW7" s="50"/>
      <c r="CX7" s="64">
        <f>SUM(CV7:CW7)</f>
        <v>5854.05</v>
      </c>
      <c r="CY7" s="64">
        <f t="shared" si="33"/>
        <v>535143.77</v>
      </c>
      <c r="CZ7" s="64">
        <v>2167.73</v>
      </c>
      <c r="DA7" s="64">
        <v>1822.67</v>
      </c>
      <c r="DB7" s="64">
        <v>26723</v>
      </c>
      <c r="DC7" s="64">
        <f>5555.07+4357.92</f>
        <v>9912.99</v>
      </c>
      <c r="DD7" s="50">
        <v>608.89</v>
      </c>
      <c r="DE7" s="65"/>
      <c r="DF7" s="67">
        <v>919.89</v>
      </c>
      <c r="DG7" s="50">
        <v>15110.97</v>
      </c>
      <c r="DH7" s="65">
        <v>21855.93</v>
      </c>
      <c r="DI7" s="55">
        <v>0.25</v>
      </c>
      <c r="DJ7" s="50">
        <v>15471.78</v>
      </c>
      <c r="DK7" s="64">
        <f t="shared" si="83"/>
        <v>94593.85</v>
      </c>
      <c r="DL7" s="51">
        <f t="shared" si="84"/>
        <v>920026.3600000001</v>
      </c>
      <c r="DM7" s="316">
        <f t="shared" si="85"/>
        <v>0.11518897132469116</v>
      </c>
      <c r="DN7" s="65">
        <v>105976.89</v>
      </c>
      <c r="DO7" s="51">
        <f t="shared" si="86"/>
        <v>1026003.2500000001</v>
      </c>
      <c r="DP7" s="64">
        <v>0</v>
      </c>
      <c r="DQ7" s="51">
        <f t="shared" si="34"/>
        <v>1026003.2500000001</v>
      </c>
      <c r="DR7" s="64">
        <f t="shared" si="35"/>
        <v>94362.22</v>
      </c>
      <c r="DS7" s="64">
        <f t="shared" si="36"/>
        <v>80212.28</v>
      </c>
      <c r="DT7" s="64">
        <f t="shared" si="37"/>
        <v>291038.95999999996</v>
      </c>
      <c r="DU7" s="64">
        <f t="shared" si="38"/>
        <v>13315.67</v>
      </c>
      <c r="DV7" s="64">
        <f t="shared" si="87"/>
        <v>529289.72</v>
      </c>
      <c r="DW7" s="64">
        <f t="shared" si="88"/>
        <v>151707.74</v>
      </c>
      <c r="DX7" s="64">
        <f>CX7</f>
        <v>5854.05</v>
      </c>
      <c r="DY7" s="64">
        <f t="shared" si="39"/>
        <v>138581</v>
      </c>
      <c r="DZ7" s="64">
        <f t="shared" si="40"/>
        <v>94593.85</v>
      </c>
      <c r="EA7" s="64">
        <f t="shared" si="41"/>
        <v>105976.89</v>
      </c>
      <c r="EB7" s="64">
        <f t="shared" si="42"/>
        <v>1026003.2500000001</v>
      </c>
      <c r="EC7" s="19">
        <f t="shared" si="43"/>
        <v>0.51587528597009791</v>
      </c>
      <c r="ED7" s="19">
        <f t="shared" si="44"/>
        <v>0.14786282597058048</v>
      </c>
      <c r="EE7" s="19">
        <f t="shared" si="45"/>
        <v>5.7056836808265466E-3</v>
      </c>
      <c r="EF7" s="19">
        <f t="shared" si="46"/>
        <v>0.13506877293030015</v>
      </c>
      <c r="EG7" s="19">
        <f t="shared" si="47"/>
        <v>9.2196442847525095E-2</v>
      </c>
      <c r="EH7" s="20">
        <f t="shared" si="89"/>
        <v>0.10329098860066963</v>
      </c>
      <c r="EI7" s="21">
        <f t="shared" si="48"/>
        <v>1</v>
      </c>
      <c r="EJ7" s="16">
        <f t="shared" si="49"/>
        <v>21.543885844748857</v>
      </c>
      <c r="EK7" s="16">
        <f t="shared" si="50"/>
        <v>18.313305936073061</v>
      </c>
      <c r="EL7" s="16">
        <f t="shared" si="51"/>
        <v>66.447251141552499</v>
      </c>
      <c r="EM7" s="16">
        <f t="shared" si="52"/>
        <v>3.0401073059360733</v>
      </c>
      <c r="EN7" s="16">
        <f t="shared" si="53"/>
        <v>120.84240182648401</v>
      </c>
      <c r="EO7" s="16">
        <f t="shared" si="54"/>
        <v>34.636470319634704</v>
      </c>
      <c r="EP7" s="16">
        <f t="shared" si="55"/>
        <v>1.3365410958904109</v>
      </c>
      <c r="EQ7" s="16">
        <f t="shared" si="56"/>
        <v>155.4788721461187</v>
      </c>
      <c r="ER7" s="16">
        <f t="shared" si="57"/>
        <v>122.17894292237443</v>
      </c>
      <c r="ES7" s="34" t="s">
        <v>152</v>
      </c>
      <c r="ET7" s="16">
        <f t="shared" si="58"/>
        <v>31.639497716894976</v>
      </c>
      <c r="EU7" s="16">
        <f t="shared" si="59"/>
        <v>21.596769406392696</v>
      </c>
      <c r="EV7" s="16">
        <f t="shared" si="60"/>
        <v>24.19563698630137</v>
      </c>
      <c r="EW7" s="16">
        <f t="shared" si="61"/>
        <v>34.636470319634704</v>
      </c>
      <c r="EX7" s="16">
        <f t="shared" si="62"/>
        <v>234.24731735159821</v>
      </c>
      <c r="EY7" s="16">
        <f t="shared" si="63"/>
        <v>292.80914668949777</v>
      </c>
      <c r="EZ7" s="16">
        <f t="shared" si="64"/>
        <v>303.29000000000002</v>
      </c>
      <c r="FA7" s="16">
        <f t="shared" si="65"/>
        <v>-69.042682648401808</v>
      </c>
      <c r="FB7" s="22">
        <f t="shared" si="66"/>
        <v>0.17500000000000002</v>
      </c>
      <c r="FC7" s="22">
        <f t="shared" si="67"/>
        <v>0.16666666666666666</v>
      </c>
      <c r="FD7" s="22">
        <f t="shared" si="68"/>
        <v>0.93333333333333324</v>
      </c>
      <c r="FE7" s="22">
        <f t="shared" si="69"/>
        <v>4.1666666666666664E-2</v>
      </c>
      <c r="FF7" s="22">
        <f t="shared" si="70"/>
        <v>1.3166666666666667</v>
      </c>
      <c r="FG7" s="23">
        <f t="shared" si="71"/>
        <v>5.7142857142857144</v>
      </c>
      <c r="FH7" s="23">
        <f t="shared" si="72"/>
        <v>6</v>
      </c>
      <c r="FI7" s="23">
        <f t="shared" si="73"/>
        <v>1.0714285714285714</v>
      </c>
      <c r="FJ7" s="23">
        <f t="shared" si="74"/>
        <v>24</v>
      </c>
      <c r="FK7" s="23">
        <f t="shared" si="75"/>
        <v>0.75949367088607589</v>
      </c>
    </row>
    <row r="8" spans="1:170" x14ac:dyDescent="0.2">
      <c r="A8" s="2" t="s">
        <v>234</v>
      </c>
      <c r="B8" s="2" t="s">
        <v>235</v>
      </c>
      <c r="C8" s="60">
        <v>2502</v>
      </c>
      <c r="D8" s="2" t="s">
        <v>237</v>
      </c>
      <c r="E8" s="58" t="s">
        <v>236</v>
      </c>
      <c r="F8" s="58" t="s">
        <v>242</v>
      </c>
      <c r="G8" s="34" t="s">
        <v>240</v>
      </c>
      <c r="H8" s="3" t="s">
        <v>238</v>
      </c>
      <c r="I8" s="6">
        <v>39994</v>
      </c>
      <c r="J8" s="6">
        <v>41455</v>
      </c>
      <c r="K8" s="59" t="s">
        <v>239</v>
      </c>
      <c r="L8" s="7">
        <v>20</v>
      </c>
      <c r="M8" s="8">
        <f t="shared" si="0"/>
        <v>7300</v>
      </c>
      <c r="N8" s="7"/>
      <c r="O8" s="10">
        <v>280.22000000000003</v>
      </c>
      <c r="P8" s="10">
        <v>368.72</v>
      </c>
      <c r="Q8" s="10">
        <v>320.2</v>
      </c>
      <c r="R8" s="10">
        <v>320.2</v>
      </c>
      <c r="S8" s="10">
        <f t="shared" si="76"/>
        <v>323.83801369863016</v>
      </c>
      <c r="T8" s="17">
        <v>0.8</v>
      </c>
      <c r="U8" s="12">
        <f t="shared" si="1"/>
        <v>5840</v>
      </c>
      <c r="V8" s="53">
        <v>0.1</v>
      </c>
      <c r="W8" s="53">
        <v>1</v>
      </c>
      <c r="X8" s="54">
        <v>2</v>
      </c>
      <c r="Y8" s="63">
        <v>1</v>
      </c>
      <c r="AA8" s="57">
        <v>2</v>
      </c>
      <c r="AB8" s="57"/>
      <c r="AC8" s="57"/>
      <c r="AD8" s="57">
        <v>1</v>
      </c>
      <c r="AE8" s="57"/>
      <c r="AF8" s="57"/>
      <c r="AG8" s="57">
        <v>3</v>
      </c>
      <c r="AH8" s="56">
        <v>3</v>
      </c>
      <c r="AI8" s="56">
        <v>13</v>
      </c>
      <c r="AJ8" s="56"/>
      <c r="AK8" s="56">
        <v>2.25</v>
      </c>
      <c r="AL8" s="56">
        <v>3.63</v>
      </c>
      <c r="AM8" s="13">
        <f t="shared" si="2"/>
        <v>31.98</v>
      </c>
      <c r="AN8" s="13">
        <f t="shared" si="3"/>
        <v>3.1</v>
      </c>
      <c r="AO8" s="13">
        <f t="shared" si="4"/>
        <v>4</v>
      </c>
      <c r="AP8" s="13">
        <f t="shared" si="5"/>
        <v>19</v>
      </c>
      <c r="AQ8" s="13">
        <f t="shared" si="6"/>
        <v>2.25</v>
      </c>
      <c r="AR8" s="48">
        <v>9193</v>
      </c>
      <c r="AS8" s="48">
        <v>57926</v>
      </c>
      <c r="AT8" s="49">
        <v>80006</v>
      </c>
      <c r="AU8" s="49">
        <v>55620</v>
      </c>
      <c r="AV8" s="51"/>
      <c r="AW8" s="51">
        <v>80224</v>
      </c>
      <c r="AX8" s="51"/>
      <c r="AY8" s="51"/>
      <c r="AZ8" s="51">
        <v>36050</v>
      </c>
      <c r="BA8" s="51"/>
      <c r="BB8" s="51"/>
      <c r="BC8" s="50">
        <v>91105</v>
      </c>
      <c r="BD8" s="50">
        <v>82590</v>
      </c>
      <c r="BE8" s="50">
        <v>349211</v>
      </c>
      <c r="BF8" s="50"/>
      <c r="BG8" s="50">
        <v>66016</v>
      </c>
      <c r="BH8" s="50">
        <v>103779</v>
      </c>
      <c r="BI8" s="17">
        <f t="shared" si="77"/>
        <v>0.1143014799419786</v>
      </c>
      <c r="BJ8" s="50">
        <f t="shared" si="78"/>
        <v>1011720</v>
      </c>
      <c r="BK8" s="50"/>
      <c r="BL8" s="50">
        <f t="shared" si="79"/>
        <v>147125</v>
      </c>
      <c r="BM8" s="50">
        <f t="shared" si="80"/>
        <v>171894</v>
      </c>
      <c r="BN8" s="50">
        <f t="shared" si="7"/>
        <v>522906</v>
      </c>
      <c r="BO8" s="50">
        <f t="shared" si="8"/>
        <v>66016</v>
      </c>
      <c r="BP8" s="50">
        <f t="shared" si="9"/>
        <v>91930</v>
      </c>
      <c r="BQ8" s="50">
        <f t="shared" si="10"/>
        <v>57926</v>
      </c>
      <c r="BR8" s="50">
        <f t="shared" si="11"/>
        <v>40003</v>
      </c>
      <c r="BS8" s="50">
        <f t="shared" si="12"/>
        <v>55620</v>
      </c>
      <c r="BT8" s="50" t="str">
        <f t="shared" si="13"/>
        <v/>
      </c>
      <c r="BU8" s="50">
        <f t="shared" si="14"/>
        <v>40112</v>
      </c>
      <c r="BV8" s="50" t="str">
        <f t="shared" si="15"/>
        <v/>
      </c>
      <c r="BW8" s="50" t="str">
        <f t="shared" si="16"/>
        <v/>
      </c>
      <c r="BX8" s="50">
        <f t="shared" si="17"/>
        <v>36050</v>
      </c>
      <c r="BY8" s="50" t="str">
        <f t="shared" si="18"/>
        <v/>
      </c>
      <c r="BZ8" s="50" t="str">
        <f t="shared" si="19"/>
        <v/>
      </c>
      <c r="CA8" s="50">
        <f t="shared" si="20"/>
        <v>30368.333333333332</v>
      </c>
      <c r="CB8" s="50">
        <f t="shared" si="21"/>
        <v>27530</v>
      </c>
      <c r="CC8" s="50">
        <f t="shared" si="22"/>
        <v>26862.384615384617</v>
      </c>
      <c r="CD8" s="50" t="str">
        <f t="shared" si="23"/>
        <v/>
      </c>
      <c r="CE8" s="50">
        <f t="shared" si="24"/>
        <v>29340.444444444445</v>
      </c>
      <c r="CF8" s="50">
        <f t="shared" si="25"/>
        <v>28589.25619834711</v>
      </c>
      <c r="CG8" s="50">
        <f t="shared" si="26"/>
        <v>31636.022514071294</v>
      </c>
      <c r="CH8" s="64">
        <f t="shared" si="27"/>
        <v>47459.677419354841</v>
      </c>
      <c r="CI8" s="64">
        <f t="shared" si="28"/>
        <v>42973.5</v>
      </c>
      <c r="CJ8" s="64">
        <f t="shared" si="29"/>
        <v>27521.36842105263</v>
      </c>
      <c r="CK8" s="64">
        <f t="shared" si="30"/>
        <v>29340.444444444445</v>
      </c>
      <c r="CL8" s="50">
        <v>80938</v>
      </c>
      <c r="CM8" s="50">
        <v>93888</v>
      </c>
      <c r="CN8" s="64">
        <f t="shared" si="31"/>
        <v>174826</v>
      </c>
      <c r="CO8" s="19">
        <f t="shared" si="81"/>
        <v>0.1728007749179615</v>
      </c>
      <c r="CP8" s="64" t="str">
        <f t="shared" si="90"/>
        <v/>
      </c>
      <c r="CQ8" s="64">
        <f t="shared" si="91"/>
        <v>174826</v>
      </c>
      <c r="CR8" s="50">
        <f t="shared" si="82"/>
        <v>1186546</v>
      </c>
      <c r="CS8" s="50">
        <v>178337</v>
      </c>
      <c r="CT8" s="50">
        <v>138380</v>
      </c>
      <c r="CU8" s="51">
        <f t="shared" si="32"/>
        <v>316717</v>
      </c>
      <c r="CV8" s="50"/>
      <c r="CW8" s="50"/>
      <c r="CX8" s="64"/>
      <c r="CY8" s="64">
        <f t="shared" si="33"/>
        <v>1011720</v>
      </c>
      <c r="CZ8" s="64">
        <v>2525</v>
      </c>
      <c r="DA8" s="64">
        <v>2778</v>
      </c>
      <c r="DB8" s="64">
        <v>60339</v>
      </c>
      <c r="DC8" s="64">
        <v>8212</v>
      </c>
      <c r="DD8" s="67"/>
      <c r="DE8" s="65">
        <v>583</v>
      </c>
      <c r="DF8" s="67">
        <v>7633</v>
      </c>
      <c r="DG8" s="50">
        <v>22549</v>
      </c>
      <c r="DH8" s="65">
        <v>36782</v>
      </c>
      <c r="DI8" s="55"/>
      <c r="DJ8" s="49"/>
      <c r="DK8" s="64">
        <f t="shared" si="83"/>
        <v>141401</v>
      </c>
      <c r="DL8" s="51">
        <f t="shared" si="84"/>
        <v>1644664</v>
      </c>
      <c r="DM8" s="316">
        <f t="shared" si="85"/>
        <v>0.14990903917152684</v>
      </c>
      <c r="DN8" s="65">
        <v>246550</v>
      </c>
      <c r="DO8" s="51">
        <f t="shared" si="86"/>
        <v>1891214</v>
      </c>
      <c r="DP8" s="64">
        <f>28343+21842</f>
        <v>50185</v>
      </c>
      <c r="DQ8" s="51">
        <f t="shared" si="34"/>
        <v>1841029</v>
      </c>
      <c r="DR8" s="64">
        <f t="shared" si="35"/>
        <v>147125</v>
      </c>
      <c r="DS8" s="64">
        <f t="shared" si="36"/>
        <v>171894</v>
      </c>
      <c r="DT8" s="64">
        <f t="shared" si="37"/>
        <v>522906</v>
      </c>
      <c r="DU8" s="64">
        <f t="shared" si="38"/>
        <v>66016</v>
      </c>
      <c r="DV8" s="64">
        <f t="shared" si="87"/>
        <v>1011720</v>
      </c>
      <c r="DW8" s="64">
        <f t="shared" si="88"/>
        <v>174826</v>
      </c>
      <c r="DX8" s="64"/>
      <c r="DY8" s="64">
        <f t="shared" si="39"/>
        <v>316717</v>
      </c>
      <c r="DZ8" s="64">
        <f t="shared" si="40"/>
        <v>141401</v>
      </c>
      <c r="EA8" s="64">
        <f t="shared" si="41"/>
        <v>246550</v>
      </c>
      <c r="EB8" s="64">
        <f t="shared" si="42"/>
        <v>1891214</v>
      </c>
      <c r="EC8" s="19">
        <f t="shared" si="43"/>
        <v>0.53495796879676227</v>
      </c>
      <c r="ED8" s="19">
        <f t="shared" si="44"/>
        <v>9.2441151556619194E-2</v>
      </c>
      <c r="EE8" s="19">
        <f t="shared" si="45"/>
        <v>0</v>
      </c>
      <c r="EF8" s="19">
        <f t="shared" si="46"/>
        <v>0.16746756316313224</v>
      </c>
      <c r="EG8" s="19">
        <f t="shared" si="47"/>
        <v>7.4767318769848365E-2</v>
      </c>
      <c r="EH8" s="20">
        <f t="shared" si="89"/>
        <v>0.13036599771363791</v>
      </c>
      <c r="EI8" s="21">
        <f t="shared" si="48"/>
        <v>1</v>
      </c>
      <c r="EJ8" s="16">
        <f t="shared" si="49"/>
        <v>20.154109589041095</v>
      </c>
      <c r="EK8" s="16">
        <f t="shared" si="50"/>
        <v>23.547123287671234</v>
      </c>
      <c r="EL8" s="16">
        <f t="shared" si="51"/>
        <v>71.63095890410959</v>
      </c>
      <c r="EM8" s="16">
        <f t="shared" si="52"/>
        <v>9.0432876712328767</v>
      </c>
      <c r="EN8" s="16">
        <f t="shared" si="53"/>
        <v>138.59178082191781</v>
      </c>
      <c r="EO8" s="16">
        <f t="shared" si="54"/>
        <v>23.94876712328767</v>
      </c>
      <c r="EP8" s="16" t="str">
        <f t="shared" si="55"/>
        <v/>
      </c>
      <c r="EQ8" s="16">
        <f t="shared" si="56"/>
        <v>162.54054794520547</v>
      </c>
      <c r="ER8" s="16">
        <f t="shared" si="57"/>
        <v>138.59178082191781</v>
      </c>
      <c r="ES8" s="34" t="s">
        <v>240</v>
      </c>
      <c r="ET8" s="317">
        <f t="shared" si="58"/>
        <v>43.385890410958908</v>
      </c>
      <c r="EU8" s="16">
        <f t="shared" si="59"/>
        <v>19.37</v>
      </c>
      <c r="EV8" s="16">
        <f t="shared" si="60"/>
        <v>33.773972602739725</v>
      </c>
      <c r="EW8" s="16">
        <f t="shared" si="61"/>
        <v>23.94876712328767</v>
      </c>
      <c r="EX8" s="16">
        <f t="shared" si="62"/>
        <v>259.07041095890412</v>
      </c>
      <c r="EY8" s="16">
        <f t="shared" si="63"/>
        <v>323.83801369863011</v>
      </c>
      <c r="EZ8" s="16">
        <f t="shared" si="64"/>
        <v>320.2</v>
      </c>
      <c r="FA8" s="16">
        <f t="shared" si="65"/>
        <v>-61.129589041095869</v>
      </c>
      <c r="FB8" s="22">
        <f t="shared" si="66"/>
        <v>0.155</v>
      </c>
      <c r="FC8" s="22">
        <f t="shared" si="67"/>
        <v>0.2</v>
      </c>
      <c r="FD8" s="22">
        <f t="shared" si="68"/>
        <v>0.95</v>
      </c>
      <c r="FE8" s="22">
        <f t="shared" si="69"/>
        <v>0.1125</v>
      </c>
      <c r="FF8" s="22">
        <f t="shared" si="70"/>
        <v>1.599</v>
      </c>
      <c r="FG8" s="23">
        <f t="shared" si="71"/>
        <v>6.4516129032258061</v>
      </c>
      <c r="FH8" s="23">
        <f t="shared" si="72"/>
        <v>5</v>
      </c>
      <c r="FI8" s="23">
        <f t="shared" si="73"/>
        <v>1.0526315789473684</v>
      </c>
      <c r="FJ8" s="23">
        <f t="shared" si="74"/>
        <v>8.8888888888888893</v>
      </c>
      <c r="FK8" s="23">
        <f t="shared" si="75"/>
        <v>0.62539086929330834</v>
      </c>
      <c r="FM8" s="55"/>
      <c r="FN8" s="49"/>
    </row>
    <row r="9" spans="1:170" s="24" customFormat="1" x14ac:dyDescent="0.2">
      <c r="A9" s="2" t="s">
        <v>175</v>
      </c>
      <c r="B9" s="2" t="s">
        <v>176</v>
      </c>
      <c r="C9" s="3">
        <v>2503</v>
      </c>
      <c r="D9" s="2" t="s">
        <v>149</v>
      </c>
      <c r="E9" s="61" t="s">
        <v>177</v>
      </c>
      <c r="F9" s="4" t="s">
        <v>178</v>
      </c>
      <c r="G9" s="2" t="s">
        <v>179</v>
      </c>
      <c r="H9" s="5" t="s">
        <v>180</v>
      </c>
      <c r="I9" s="6">
        <v>40724</v>
      </c>
      <c r="J9" s="6">
        <v>42551</v>
      </c>
      <c r="K9" s="6" t="s">
        <v>159</v>
      </c>
      <c r="L9" s="7">
        <v>20</v>
      </c>
      <c r="M9" s="8">
        <f t="shared" si="0"/>
        <v>7300</v>
      </c>
      <c r="N9" s="10">
        <v>96444.94</v>
      </c>
      <c r="O9" s="10">
        <v>308.45999999999998</v>
      </c>
      <c r="P9" s="10">
        <v>363.92</v>
      </c>
      <c r="Q9" s="10">
        <v>339.02</v>
      </c>
      <c r="R9" s="10">
        <v>339.02</v>
      </c>
      <c r="S9" s="10">
        <f t="shared" si="76"/>
        <v>341.78048801369869</v>
      </c>
      <c r="T9" s="11">
        <v>0.8</v>
      </c>
      <c r="U9" s="12">
        <f t="shared" si="1"/>
        <v>5840</v>
      </c>
      <c r="V9" s="13">
        <v>0.2</v>
      </c>
      <c r="W9" s="13">
        <v>1</v>
      </c>
      <c r="X9" s="13">
        <v>2</v>
      </c>
      <c r="Y9" s="14"/>
      <c r="Z9" s="14">
        <v>1</v>
      </c>
      <c r="AA9" s="14">
        <v>2</v>
      </c>
      <c r="AB9" s="14"/>
      <c r="AC9" s="14"/>
      <c r="AD9" s="14"/>
      <c r="AE9" s="14"/>
      <c r="AF9" s="14"/>
      <c r="AG9" s="14">
        <v>4</v>
      </c>
      <c r="AH9" s="14">
        <v>4</v>
      </c>
      <c r="AI9" s="14">
        <v>13</v>
      </c>
      <c r="AJ9" s="14">
        <v>1</v>
      </c>
      <c r="AK9" s="14">
        <v>1.33</v>
      </c>
      <c r="AL9" s="14"/>
      <c r="AM9" s="13">
        <f t="shared" si="2"/>
        <v>29.53</v>
      </c>
      <c r="AN9" s="13">
        <f t="shared" si="3"/>
        <v>3.2</v>
      </c>
      <c r="AO9" s="13">
        <f t="shared" si="4"/>
        <v>3</v>
      </c>
      <c r="AP9" s="13">
        <f t="shared" si="5"/>
        <v>21</v>
      </c>
      <c r="AQ9" s="13">
        <f t="shared" si="6"/>
        <v>2.33</v>
      </c>
      <c r="AR9" s="51">
        <v>17321.2</v>
      </c>
      <c r="AS9" s="51">
        <v>62999.19</v>
      </c>
      <c r="AT9" s="51">
        <v>97315.81</v>
      </c>
      <c r="AU9" s="51"/>
      <c r="AV9" s="51">
        <v>55316.37</v>
      </c>
      <c r="AW9" s="51">
        <v>86293.52</v>
      </c>
      <c r="AX9" s="51"/>
      <c r="AY9" s="51"/>
      <c r="AZ9" s="51"/>
      <c r="BA9" s="51"/>
      <c r="BB9" s="51"/>
      <c r="BC9" s="51">
        <v>124769.12</v>
      </c>
      <c r="BD9" s="51">
        <v>116963.37</v>
      </c>
      <c r="BE9" s="51">
        <v>350263.19</v>
      </c>
      <c r="BF9" s="51">
        <v>28092.52</v>
      </c>
      <c r="BG9" s="51">
        <v>37352.89</v>
      </c>
      <c r="BH9" s="51">
        <v>82877.210000000006</v>
      </c>
      <c r="BI9" s="17">
        <f t="shared" si="77"/>
        <v>8.4855429350470218E-2</v>
      </c>
      <c r="BJ9" s="50">
        <f t="shared" si="78"/>
        <v>1059564.3900000001</v>
      </c>
      <c r="BK9" s="50"/>
      <c r="BL9" s="50">
        <f t="shared" si="79"/>
        <v>177636.2</v>
      </c>
      <c r="BM9" s="50">
        <f t="shared" si="80"/>
        <v>141609.89000000001</v>
      </c>
      <c r="BN9" s="50">
        <f t="shared" si="7"/>
        <v>591995.67999999993</v>
      </c>
      <c r="BO9" s="50">
        <f t="shared" si="8"/>
        <v>65445.41</v>
      </c>
      <c r="BP9" s="50">
        <f t="shared" si="9"/>
        <v>86606</v>
      </c>
      <c r="BQ9" s="50">
        <f t="shared" si="10"/>
        <v>62999.19</v>
      </c>
      <c r="BR9" s="50">
        <f t="shared" si="11"/>
        <v>48657.904999999999</v>
      </c>
      <c r="BS9" s="50" t="str">
        <f t="shared" si="12"/>
        <v/>
      </c>
      <c r="BT9" s="50">
        <f t="shared" si="13"/>
        <v>55316.37</v>
      </c>
      <c r="BU9" s="50">
        <f t="shared" si="14"/>
        <v>43146.76</v>
      </c>
      <c r="BV9" s="50" t="str">
        <f t="shared" si="15"/>
        <v/>
      </c>
      <c r="BW9" s="50" t="str">
        <f t="shared" si="16"/>
        <v/>
      </c>
      <c r="BX9" s="50" t="str">
        <f t="shared" si="17"/>
        <v/>
      </c>
      <c r="BY9" s="50" t="str">
        <f t="shared" si="18"/>
        <v/>
      </c>
      <c r="BZ9" s="50" t="str">
        <f t="shared" si="19"/>
        <v/>
      </c>
      <c r="CA9" s="50">
        <f t="shared" si="20"/>
        <v>31192.28</v>
      </c>
      <c r="CB9" s="50">
        <f t="shared" si="21"/>
        <v>29240.842499999999</v>
      </c>
      <c r="CC9" s="50">
        <f t="shared" si="22"/>
        <v>26943.32230769231</v>
      </c>
      <c r="CD9" s="50">
        <f t="shared" si="23"/>
        <v>28092.52</v>
      </c>
      <c r="CE9" s="50">
        <f t="shared" si="24"/>
        <v>28084.879699248118</v>
      </c>
      <c r="CF9" s="50" t="str">
        <f t="shared" si="25"/>
        <v/>
      </c>
      <c r="CG9" s="50">
        <f t="shared" si="26"/>
        <v>35880.947849644435</v>
      </c>
      <c r="CH9" s="64">
        <f t="shared" si="27"/>
        <v>55511.3125</v>
      </c>
      <c r="CI9" s="64">
        <f t="shared" si="28"/>
        <v>47203.296666666669</v>
      </c>
      <c r="CJ9" s="64">
        <f t="shared" si="29"/>
        <v>28190.270476190472</v>
      </c>
      <c r="CK9" s="64">
        <f t="shared" si="30"/>
        <v>28088.158798283261</v>
      </c>
      <c r="CL9" s="65">
        <v>105647.94</v>
      </c>
      <c r="CM9" s="50">
        <v>140751.64000000001</v>
      </c>
      <c r="CN9" s="64">
        <f t="shared" si="31"/>
        <v>246399.58000000002</v>
      </c>
      <c r="CO9" s="19">
        <f t="shared" si="81"/>
        <v>0.23254800022110972</v>
      </c>
      <c r="CP9" s="64" t="str">
        <f t="shared" si="90"/>
        <v/>
      </c>
      <c r="CQ9" s="64">
        <f t="shared" si="91"/>
        <v>246399.58000000002</v>
      </c>
      <c r="CR9" s="50">
        <f t="shared" si="82"/>
        <v>1305963.9700000002</v>
      </c>
      <c r="CS9" s="65">
        <v>236193.78</v>
      </c>
      <c r="CT9" s="65">
        <v>113134</v>
      </c>
      <c r="CU9" s="51">
        <f t="shared" si="32"/>
        <v>349327.78</v>
      </c>
      <c r="CV9" s="65"/>
      <c r="CW9" s="65"/>
      <c r="CX9" s="64"/>
      <c r="CY9" s="64">
        <f t="shared" si="33"/>
        <v>1059564.3900000001</v>
      </c>
      <c r="CZ9" s="65">
        <v>9179.59</v>
      </c>
      <c r="DA9" s="65">
        <v>4872.6400000000003</v>
      </c>
      <c r="DB9" s="51">
        <v>36532.980000000003</v>
      </c>
      <c r="DC9" s="51">
        <f>18532.66+3278.23</f>
        <v>21810.89</v>
      </c>
      <c r="DD9" s="65"/>
      <c r="DE9" s="65">
        <v>689.8</v>
      </c>
      <c r="DF9" s="65"/>
      <c r="DG9" s="65">
        <v>25728.9</v>
      </c>
      <c r="DH9" s="51">
        <v>25321.29</v>
      </c>
      <c r="DI9" s="14">
        <v>0.1</v>
      </c>
      <c r="DJ9" s="51">
        <v>4814.57</v>
      </c>
      <c r="DK9" s="64">
        <f t="shared" si="83"/>
        <v>128950.66000000003</v>
      </c>
      <c r="DL9" s="51">
        <f t="shared" si="84"/>
        <v>1784242.4100000001</v>
      </c>
      <c r="DM9" s="316">
        <f t="shared" si="85"/>
        <v>0.11868098124626462</v>
      </c>
      <c r="DN9" s="51">
        <v>211755.64</v>
      </c>
      <c r="DO9" s="51">
        <f t="shared" si="86"/>
        <v>1995998.0500000003</v>
      </c>
      <c r="DP9" s="51">
        <v>19505.2</v>
      </c>
      <c r="DQ9" s="51">
        <f t="shared" si="34"/>
        <v>1976492.8500000003</v>
      </c>
      <c r="DR9" s="64">
        <f t="shared" si="35"/>
        <v>177636.2</v>
      </c>
      <c r="DS9" s="64">
        <f t="shared" si="36"/>
        <v>141609.89000000001</v>
      </c>
      <c r="DT9" s="64">
        <f t="shared" si="37"/>
        <v>591995.67999999993</v>
      </c>
      <c r="DU9" s="64">
        <f t="shared" si="38"/>
        <v>65445.41</v>
      </c>
      <c r="DV9" s="64">
        <f t="shared" si="87"/>
        <v>1059564.3900000001</v>
      </c>
      <c r="DW9" s="64">
        <f t="shared" si="88"/>
        <v>246399.58000000002</v>
      </c>
      <c r="DX9" s="64"/>
      <c r="DY9" s="64">
        <f t="shared" si="39"/>
        <v>349327.78</v>
      </c>
      <c r="DZ9" s="64">
        <f t="shared" si="40"/>
        <v>128950.66000000003</v>
      </c>
      <c r="EA9" s="64">
        <f t="shared" si="41"/>
        <v>211755.64</v>
      </c>
      <c r="EB9" s="64">
        <f t="shared" si="42"/>
        <v>1995998.0500000003</v>
      </c>
      <c r="EC9" s="19">
        <f t="shared" si="43"/>
        <v>0.53084440137604338</v>
      </c>
      <c r="ED9" s="19">
        <f t="shared" si="44"/>
        <v>0.12344680396857101</v>
      </c>
      <c r="EE9" s="19">
        <f t="shared" si="45"/>
        <v>0</v>
      </c>
      <c r="EF9" s="19">
        <f t="shared" si="46"/>
        <v>0.17501408881636932</v>
      </c>
      <c r="EG9" s="19">
        <f t="shared" si="47"/>
        <v>6.4604602193874899E-2</v>
      </c>
      <c r="EH9" s="20">
        <f t="shared" si="89"/>
        <v>0.10609010364514133</v>
      </c>
      <c r="EI9" s="21">
        <f t="shared" si="48"/>
        <v>1</v>
      </c>
      <c r="EJ9" s="16">
        <f t="shared" si="49"/>
        <v>24.333726027397262</v>
      </c>
      <c r="EK9" s="16">
        <f t="shared" si="50"/>
        <v>19.398615068493154</v>
      </c>
      <c r="EL9" s="16">
        <f t="shared" si="51"/>
        <v>81.09529863013698</v>
      </c>
      <c r="EM9" s="16">
        <f t="shared" si="52"/>
        <v>8.9651246575342469</v>
      </c>
      <c r="EN9" s="16">
        <f t="shared" si="53"/>
        <v>145.14580684931508</v>
      </c>
      <c r="EO9" s="16">
        <f t="shared" si="54"/>
        <v>33.753367123287674</v>
      </c>
      <c r="EP9" s="16" t="str">
        <f t="shared" si="55"/>
        <v/>
      </c>
      <c r="EQ9" s="16">
        <f t="shared" si="56"/>
        <v>178.89917397260277</v>
      </c>
      <c r="ER9" s="16">
        <f t="shared" si="57"/>
        <v>145.14580684931508</v>
      </c>
      <c r="ES9" s="2" t="s">
        <v>179</v>
      </c>
      <c r="ET9" s="16">
        <f t="shared" si="58"/>
        <v>47.85312054794521</v>
      </c>
      <c r="EU9" s="16">
        <f t="shared" si="59"/>
        <v>17.664473972602742</v>
      </c>
      <c r="EV9" s="16">
        <f t="shared" si="60"/>
        <v>29.007621917808223</v>
      </c>
      <c r="EW9" s="16">
        <f t="shared" si="61"/>
        <v>33.753367123287674</v>
      </c>
      <c r="EX9" s="16">
        <f t="shared" si="62"/>
        <v>273.42439041095895</v>
      </c>
      <c r="EY9" s="16">
        <f t="shared" si="63"/>
        <v>341.78048801369869</v>
      </c>
      <c r="EZ9" s="16">
        <f t="shared" si="64"/>
        <v>339.02</v>
      </c>
      <c r="FA9" s="16">
        <f t="shared" si="65"/>
        <v>-65.595609589041032</v>
      </c>
      <c r="FB9" s="22">
        <f t="shared" si="66"/>
        <v>0.16</v>
      </c>
      <c r="FC9" s="22">
        <f t="shared" si="67"/>
        <v>0.15</v>
      </c>
      <c r="FD9" s="22">
        <f t="shared" si="68"/>
        <v>1.05</v>
      </c>
      <c r="FE9" s="22">
        <f t="shared" si="69"/>
        <v>0.11650000000000001</v>
      </c>
      <c r="FF9" s="22">
        <f t="shared" si="70"/>
        <v>1.4765000000000001</v>
      </c>
      <c r="FG9" s="23">
        <f t="shared" si="71"/>
        <v>6.25</v>
      </c>
      <c r="FH9" s="23">
        <f t="shared" si="72"/>
        <v>6.666666666666667</v>
      </c>
      <c r="FI9" s="23">
        <f t="shared" si="73"/>
        <v>0.95238095238095233</v>
      </c>
      <c r="FJ9" s="23">
        <f t="shared" si="74"/>
        <v>8.5836909871244629</v>
      </c>
      <c r="FK9" s="23">
        <f t="shared" si="75"/>
        <v>0.67727734507280724</v>
      </c>
    </row>
    <row r="10" spans="1:170" s="24" customFormat="1" x14ac:dyDescent="0.2">
      <c r="A10" s="2" t="s">
        <v>181</v>
      </c>
      <c r="B10" s="2" t="s">
        <v>182</v>
      </c>
      <c r="C10" s="3">
        <v>2500</v>
      </c>
      <c r="D10" s="2" t="s">
        <v>171</v>
      </c>
      <c r="E10" s="61" t="s">
        <v>172</v>
      </c>
      <c r="F10" s="4" t="s">
        <v>173</v>
      </c>
      <c r="G10" s="2" t="s">
        <v>163</v>
      </c>
      <c r="H10" s="5" t="s">
        <v>183</v>
      </c>
      <c r="I10" s="6">
        <v>39629</v>
      </c>
      <c r="J10" s="6">
        <v>41090</v>
      </c>
      <c r="K10" s="6"/>
      <c r="L10" s="7">
        <v>15</v>
      </c>
      <c r="M10" s="8">
        <f t="shared" si="0"/>
        <v>5475</v>
      </c>
      <c r="N10" s="10"/>
      <c r="O10" s="10">
        <v>293.12</v>
      </c>
      <c r="P10" s="10"/>
      <c r="Q10" s="10"/>
      <c r="R10" s="10">
        <v>293.12</v>
      </c>
      <c r="S10" s="10" t="e">
        <f t="shared" si="76"/>
        <v>#REF!</v>
      </c>
      <c r="T10" s="11">
        <v>0.9</v>
      </c>
      <c r="U10" s="12">
        <f t="shared" si="1"/>
        <v>4927.5</v>
      </c>
      <c r="V10" s="13">
        <v>0.43</v>
      </c>
      <c r="W10" s="13">
        <v>1</v>
      </c>
      <c r="X10" s="13">
        <v>1</v>
      </c>
      <c r="Y10" s="13">
        <v>1</v>
      </c>
      <c r="Z10" s="13"/>
      <c r="AA10" s="13"/>
      <c r="AB10" s="13">
        <v>2</v>
      </c>
      <c r="AC10" s="14"/>
      <c r="AD10" s="14"/>
      <c r="AE10" s="14"/>
      <c r="AF10" s="14">
        <v>6</v>
      </c>
      <c r="AG10" s="14"/>
      <c r="AH10" s="14">
        <v>10</v>
      </c>
      <c r="AI10" s="14"/>
      <c r="AJ10" s="14">
        <v>1</v>
      </c>
      <c r="AK10" s="14"/>
      <c r="AL10" s="14"/>
      <c r="AM10" s="13">
        <f t="shared" si="2"/>
        <v>22.43</v>
      </c>
      <c r="AN10" s="13">
        <f t="shared" si="3"/>
        <v>2.4299999999999997</v>
      </c>
      <c r="AO10" s="13">
        <f t="shared" si="4"/>
        <v>3</v>
      </c>
      <c r="AP10" s="13">
        <f t="shared" si="5"/>
        <v>16</v>
      </c>
      <c r="AQ10" s="13">
        <f t="shared" si="6"/>
        <v>1</v>
      </c>
      <c r="AR10" s="51">
        <f>14642+13800</f>
        <v>28442</v>
      </c>
      <c r="AS10" s="51">
        <v>49820</v>
      </c>
      <c r="AT10" s="51">
        <v>42609</v>
      </c>
      <c r="AU10" s="70">
        <v>55000</v>
      </c>
      <c r="AV10" s="51"/>
      <c r="AW10" s="51"/>
      <c r="AX10" s="70">
        <v>90000</v>
      </c>
      <c r="AY10" s="51"/>
      <c r="AZ10" s="51"/>
      <c r="BA10" s="51"/>
      <c r="BB10" s="51">
        <v>236288.48</v>
      </c>
      <c r="BC10" s="51"/>
      <c r="BD10" s="51">
        <v>277612.63</v>
      </c>
      <c r="BE10" s="51"/>
      <c r="BF10" s="51">
        <v>30116.58</v>
      </c>
      <c r="BG10" s="51"/>
      <c r="BH10" s="51">
        <v>74054</v>
      </c>
      <c r="BI10" s="17">
        <f t="shared" si="77"/>
        <v>9.1437256643255513E-2</v>
      </c>
      <c r="BJ10" s="50">
        <f t="shared" si="78"/>
        <v>883942.69</v>
      </c>
      <c r="BK10" s="50" t="e">
        <f>#REF!</f>
        <v>#REF!</v>
      </c>
      <c r="BL10" s="50">
        <f t="shared" si="79"/>
        <v>120871</v>
      </c>
      <c r="BM10" s="50">
        <f t="shared" si="80"/>
        <v>145000</v>
      </c>
      <c r="BN10" s="50">
        <f t="shared" si="7"/>
        <v>513901.11</v>
      </c>
      <c r="BO10" s="50">
        <f t="shared" si="8"/>
        <v>30116.58</v>
      </c>
      <c r="BP10" s="50">
        <f t="shared" si="9"/>
        <v>66144.186046511633</v>
      </c>
      <c r="BQ10" s="50">
        <f t="shared" si="10"/>
        <v>49820</v>
      </c>
      <c r="BR10" s="50">
        <f t="shared" si="11"/>
        <v>42609</v>
      </c>
      <c r="BS10" s="50">
        <f t="shared" si="12"/>
        <v>55000</v>
      </c>
      <c r="BT10" s="50" t="str">
        <f t="shared" si="13"/>
        <v/>
      </c>
      <c r="BU10" s="50" t="str">
        <f t="shared" si="14"/>
        <v/>
      </c>
      <c r="BV10" s="50">
        <f t="shared" si="15"/>
        <v>45000</v>
      </c>
      <c r="BW10" s="50" t="str">
        <f t="shared" si="16"/>
        <v/>
      </c>
      <c r="BX10" s="50" t="str">
        <f t="shared" si="17"/>
        <v/>
      </c>
      <c r="BY10" s="50" t="str">
        <f t="shared" si="18"/>
        <v/>
      </c>
      <c r="BZ10" s="50">
        <f t="shared" si="19"/>
        <v>39381.413333333338</v>
      </c>
      <c r="CA10" s="50" t="str">
        <f t="shared" si="20"/>
        <v/>
      </c>
      <c r="CB10" s="50">
        <f t="shared" si="21"/>
        <v>27761.262999999999</v>
      </c>
      <c r="CC10" s="50" t="str">
        <f t="shared" si="22"/>
        <v/>
      </c>
      <c r="CD10" s="50">
        <f t="shared" si="23"/>
        <v>30116.58</v>
      </c>
      <c r="CE10" s="50" t="str">
        <f t="shared" si="24"/>
        <v/>
      </c>
      <c r="CF10" s="50" t="str">
        <f t="shared" si="25"/>
        <v/>
      </c>
      <c r="CG10" s="50">
        <f t="shared" si="26"/>
        <v>39408.947391885864</v>
      </c>
      <c r="CH10" s="64">
        <f t="shared" si="27"/>
        <v>49741.15226337449</v>
      </c>
      <c r="CI10" s="64">
        <f t="shared" si="28"/>
        <v>48333.333333333336</v>
      </c>
      <c r="CJ10" s="64">
        <f t="shared" si="29"/>
        <v>32118.819374999999</v>
      </c>
      <c r="CK10" s="64">
        <f t="shared" si="30"/>
        <v>30116.58</v>
      </c>
      <c r="CL10" s="65">
        <v>102500</v>
      </c>
      <c r="CM10" s="50">
        <v>146650</v>
      </c>
      <c r="CN10" s="64">
        <f t="shared" si="31"/>
        <v>249150</v>
      </c>
      <c r="CO10" s="19" t="e">
        <f t="shared" si="81"/>
        <v>#REF!</v>
      </c>
      <c r="CP10" s="64" t="e">
        <f t="shared" si="90"/>
        <v>#REF!</v>
      </c>
      <c r="CQ10" s="64" t="e">
        <f t="shared" si="91"/>
        <v>#REF!</v>
      </c>
      <c r="CR10" s="50" t="e">
        <f t="shared" si="82"/>
        <v>#REF!</v>
      </c>
      <c r="CS10" s="65">
        <v>5358</v>
      </c>
      <c r="CT10" s="65"/>
      <c r="CU10" s="51">
        <f t="shared" si="32"/>
        <v>5358</v>
      </c>
      <c r="CV10" s="65"/>
      <c r="CW10" s="65"/>
      <c r="CX10" s="64"/>
      <c r="CY10" s="64">
        <f t="shared" si="33"/>
        <v>883942.69</v>
      </c>
      <c r="CZ10" s="65">
        <v>1440</v>
      </c>
      <c r="DA10" s="65">
        <v>5269</v>
      </c>
      <c r="DB10" s="51">
        <v>5040</v>
      </c>
      <c r="DC10" s="51">
        <v>9180</v>
      </c>
      <c r="DD10" s="65">
        <v>1130</v>
      </c>
      <c r="DE10" s="65"/>
      <c r="DF10" s="65">
        <v>3558</v>
      </c>
      <c r="DG10" s="65">
        <v>5922</v>
      </c>
      <c r="DH10" s="51">
        <f>31944+5753</f>
        <v>37697</v>
      </c>
      <c r="DI10" s="13"/>
      <c r="DJ10" s="51"/>
      <c r="DK10" s="64">
        <f t="shared" si="83"/>
        <v>69236</v>
      </c>
      <c r="DL10" s="51" t="e">
        <f t="shared" si="84"/>
        <v>#REF!</v>
      </c>
      <c r="DM10" s="316" t="e">
        <f t="shared" si="85"/>
        <v>#REF!</v>
      </c>
      <c r="DN10" s="51">
        <v>164700</v>
      </c>
      <c r="DO10" s="51" t="e">
        <f t="shared" si="86"/>
        <v>#REF!</v>
      </c>
      <c r="DP10" s="51">
        <v>11461</v>
      </c>
      <c r="DQ10" s="51" t="e">
        <f t="shared" si="34"/>
        <v>#REF!</v>
      </c>
      <c r="DR10" s="64">
        <f t="shared" si="35"/>
        <v>120871</v>
      </c>
      <c r="DS10" s="64">
        <f t="shared" si="36"/>
        <v>145000</v>
      </c>
      <c r="DT10" s="64">
        <f t="shared" si="37"/>
        <v>513901.11</v>
      </c>
      <c r="DU10" s="64">
        <f t="shared" si="38"/>
        <v>30116.58</v>
      </c>
      <c r="DV10" s="64">
        <f t="shared" si="87"/>
        <v>883942.69</v>
      </c>
      <c r="DW10" s="64" t="e">
        <f t="shared" si="88"/>
        <v>#REF!</v>
      </c>
      <c r="DX10" s="64"/>
      <c r="DY10" s="64">
        <f t="shared" si="39"/>
        <v>5358</v>
      </c>
      <c r="DZ10" s="64">
        <f t="shared" si="40"/>
        <v>69236</v>
      </c>
      <c r="EA10" s="64">
        <f t="shared" si="41"/>
        <v>164700</v>
      </c>
      <c r="EB10" s="64" t="e">
        <f t="shared" si="42"/>
        <v>#REF!</v>
      </c>
      <c r="EC10" s="19" t="e">
        <f t="shared" si="43"/>
        <v>#REF!</v>
      </c>
      <c r="ED10" s="19" t="e">
        <f t="shared" si="44"/>
        <v>#REF!</v>
      </c>
      <c r="EE10" s="19" t="e">
        <f t="shared" si="45"/>
        <v>#REF!</v>
      </c>
      <c r="EF10" s="19" t="e">
        <f t="shared" si="46"/>
        <v>#REF!</v>
      </c>
      <c r="EG10" s="19" t="e">
        <f t="shared" si="47"/>
        <v>#REF!</v>
      </c>
      <c r="EH10" s="20" t="e">
        <f t="shared" si="89"/>
        <v>#REF!</v>
      </c>
      <c r="EI10" s="21" t="e">
        <f t="shared" si="48"/>
        <v>#REF!</v>
      </c>
      <c r="EJ10" s="16">
        <f t="shared" si="49"/>
        <v>22.076894977168951</v>
      </c>
      <c r="EK10" s="16">
        <f t="shared" si="50"/>
        <v>26.484018264840184</v>
      </c>
      <c r="EL10" s="16">
        <f t="shared" si="51"/>
        <v>93.863216438356162</v>
      </c>
      <c r="EM10" s="16">
        <f t="shared" si="52"/>
        <v>5.5007452054794523</v>
      </c>
      <c r="EN10" s="16">
        <f t="shared" si="53"/>
        <v>161.45071963470318</v>
      </c>
      <c r="EO10" s="16" t="e">
        <f t="shared" si="54"/>
        <v>#REF!</v>
      </c>
      <c r="EP10" s="16" t="str">
        <f t="shared" si="55"/>
        <v/>
      </c>
      <c r="EQ10" s="16" t="e">
        <f t="shared" si="56"/>
        <v>#REF!</v>
      </c>
      <c r="ER10" s="16">
        <f t="shared" si="57"/>
        <v>161.45071963470318</v>
      </c>
      <c r="ES10" s="2" t="s">
        <v>163</v>
      </c>
      <c r="ET10" s="16">
        <f t="shared" si="58"/>
        <v>0.97863013698630141</v>
      </c>
      <c r="EU10" s="16">
        <f t="shared" si="59"/>
        <v>12.645844748858448</v>
      </c>
      <c r="EV10" s="16">
        <f t="shared" si="60"/>
        <v>30.082191780821919</v>
      </c>
      <c r="EW10" s="16" t="e">
        <f t="shared" si="61"/>
        <v>#REF!</v>
      </c>
      <c r="EX10" s="16" t="e">
        <f t="shared" si="62"/>
        <v>#REF!</v>
      </c>
      <c r="EY10" s="16" t="e">
        <f t="shared" si="63"/>
        <v>#REF!</v>
      </c>
      <c r="EZ10" s="16">
        <f t="shared" si="64"/>
        <v>293.12</v>
      </c>
      <c r="FA10" s="16" t="e">
        <f t="shared" si="65"/>
        <v>#REF!</v>
      </c>
      <c r="FB10" s="22">
        <f t="shared" si="66"/>
        <v>0.16199999999999998</v>
      </c>
      <c r="FC10" s="22">
        <f t="shared" si="67"/>
        <v>0.2</v>
      </c>
      <c r="FD10" s="22">
        <f t="shared" si="68"/>
        <v>1.0666666666666667</v>
      </c>
      <c r="FE10" s="22">
        <f t="shared" si="69"/>
        <v>6.6666666666666666E-2</v>
      </c>
      <c r="FF10" s="22">
        <f t="shared" si="70"/>
        <v>1.4953333333333334</v>
      </c>
      <c r="FG10" s="23">
        <f t="shared" si="71"/>
        <v>6.1728395061728403</v>
      </c>
      <c r="FH10" s="23">
        <f t="shared" si="72"/>
        <v>5</v>
      </c>
      <c r="FI10" s="23">
        <f t="shared" si="73"/>
        <v>0.9375</v>
      </c>
      <c r="FJ10" s="23">
        <f t="shared" si="74"/>
        <v>15</v>
      </c>
      <c r="FK10" s="23">
        <f t="shared" si="75"/>
        <v>0.66874721355327682</v>
      </c>
    </row>
    <row r="11" spans="1:170" s="24" customFormat="1" x14ac:dyDescent="0.2">
      <c r="A11" s="2" t="s">
        <v>175</v>
      </c>
      <c r="B11" s="2" t="s">
        <v>184</v>
      </c>
      <c r="C11" s="3">
        <v>2503</v>
      </c>
      <c r="D11" s="2" t="s">
        <v>149</v>
      </c>
      <c r="E11" s="61" t="s">
        <v>185</v>
      </c>
      <c r="F11" s="4" t="s">
        <v>173</v>
      </c>
      <c r="G11" s="2" t="s">
        <v>152</v>
      </c>
      <c r="H11" s="5" t="s">
        <v>186</v>
      </c>
      <c r="I11" s="6">
        <v>40359</v>
      </c>
      <c r="J11" s="6">
        <v>41090</v>
      </c>
      <c r="K11" s="6"/>
      <c r="L11" s="7">
        <v>20</v>
      </c>
      <c r="M11" s="8">
        <f t="shared" si="0"/>
        <v>7300</v>
      </c>
      <c r="N11" s="10"/>
      <c r="O11" s="10">
        <v>236.4</v>
      </c>
      <c r="P11" s="10"/>
      <c r="Q11" s="10"/>
      <c r="R11" s="10">
        <v>236.4</v>
      </c>
      <c r="S11" s="10">
        <f t="shared" si="76"/>
        <v>238.79721613394216</v>
      </c>
      <c r="T11" s="11">
        <v>0.9</v>
      </c>
      <c r="U11" s="12">
        <f t="shared" si="1"/>
        <v>6570</v>
      </c>
      <c r="V11" s="13">
        <v>0.11</v>
      </c>
      <c r="W11" s="13">
        <v>1</v>
      </c>
      <c r="X11" s="13">
        <v>2</v>
      </c>
      <c r="Y11" s="14"/>
      <c r="Z11" s="14">
        <v>1</v>
      </c>
      <c r="AA11" s="14"/>
      <c r="AB11" s="14">
        <v>1</v>
      </c>
      <c r="AC11" s="14"/>
      <c r="AD11" s="14"/>
      <c r="AE11" s="14">
        <v>3</v>
      </c>
      <c r="AF11" s="14"/>
      <c r="AG11" s="14">
        <v>4</v>
      </c>
      <c r="AH11" s="14">
        <v>4</v>
      </c>
      <c r="AI11" s="14">
        <v>6</v>
      </c>
      <c r="AJ11" s="14">
        <v>1</v>
      </c>
      <c r="AK11" s="14">
        <v>1</v>
      </c>
      <c r="AL11" s="14">
        <v>2.08</v>
      </c>
      <c r="AM11" s="13">
        <f t="shared" si="2"/>
        <v>26.189999999999998</v>
      </c>
      <c r="AN11" s="13">
        <f t="shared" si="3"/>
        <v>3.1100000000000003</v>
      </c>
      <c r="AO11" s="13">
        <f t="shared" si="4"/>
        <v>2</v>
      </c>
      <c r="AP11" s="13">
        <f t="shared" si="5"/>
        <v>17</v>
      </c>
      <c r="AQ11" s="13">
        <f t="shared" si="6"/>
        <v>2</v>
      </c>
      <c r="AR11" s="51">
        <v>10100</v>
      </c>
      <c r="AS11" s="51">
        <v>55000</v>
      </c>
      <c r="AT11" s="51">
        <v>90000</v>
      </c>
      <c r="AU11" s="51"/>
      <c r="AV11" s="51">
        <v>50000</v>
      </c>
      <c r="AW11" s="51"/>
      <c r="AX11" s="70">
        <v>45000</v>
      </c>
      <c r="AY11" s="51"/>
      <c r="AZ11" s="51"/>
      <c r="BA11" s="51">
        <v>110329.22</v>
      </c>
      <c r="BB11" s="51"/>
      <c r="BC11" s="51">
        <v>142637.13</v>
      </c>
      <c r="BD11" s="51">
        <v>124790.92</v>
      </c>
      <c r="BE11" s="51">
        <v>178950.59</v>
      </c>
      <c r="BF11" s="51">
        <v>27436.66</v>
      </c>
      <c r="BG11" s="51">
        <v>32812.11</v>
      </c>
      <c r="BH11" s="51">
        <v>76240.570000000007</v>
      </c>
      <c r="BI11" s="17">
        <f t="shared" si="77"/>
        <v>8.7930323536076313E-2</v>
      </c>
      <c r="BJ11" s="50">
        <f t="shared" si="78"/>
        <v>943297.2</v>
      </c>
      <c r="BK11" s="50"/>
      <c r="BL11" s="50">
        <f t="shared" si="79"/>
        <v>155100</v>
      </c>
      <c r="BM11" s="50">
        <f t="shared" si="80"/>
        <v>95000</v>
      </c>
      <c r="BN11" s="50">
        <f t="shared" si="7"/>
        <v>556707.86</v>
      </c>
      <c r="BO11" s="50">
        <f t="shared" si="8"/>
        <v>60248.770000000004</v>
      </c>
      <c r="BP11" s="50">
        <f t="shared" si="9"/>
        <v>91818.181818181823</v>
      </c>
      <c r="BQ11" s="50">
        <f t="shared" si="10"/>
        <v>55000</v>
      </c>
      <c r="BR11" s="50">
        <f t="shared" si="11"/>
        <v>45000</v>
      </c>
      <c r="BS11" s="50" t="str">
        <f t="shared" si="12"/>
        <v/>
      </c>
      <c r="BT11" s="50">
        <f t="shared" si="13"/>
        <v>50000</v>
      </c>
      <c r="BU11" s="50" t="str">
        <f t="shared" si="14"/>
        <v/>
      </c>
      <c r="BV11" s="50">
        <f t="shared" si="15"/>
        <v>45000</v>
      </c>
      <c r="BW11" s="50" t="str">
        <f t="shared" si="16"/>
        <v/>
      </c>
      <c r="BX11" s="50" t="str">
        <f t="shared" si="17"/>
        <v/>
      </c>
      <c r="BY11" s="50">
        <f t="shared" si="18"/>
        <v>36776.406666666669</v>
      </c>
      <c r="BZ11" s="50" t="str">
        <f t="shared" si="19"/>
        <v/>
      </c>
      <c r="CA11" s="50">
        <f t="shared" si="20"/>
        <v>35659.282500000001</v>
      </c>
      <c r="CB11" s="50">
        <f t="shared" si="21"/>
        <v>31197.73</v>
      </c>
      <c r="CC11" s="50">
        <f t="shared" si="22"/>
        <v>29825.098333333332</v>
      </c>
      <c r="CD11" s="50">
        <f t="shared" si="23"/>
        <v>27436.66</v>
      </c>
      <c r="CE11" s="50">
        <f t="shared" si="24"/>
        <v>32812.11</v>
      </c>
      <c r="CF11" s="50">
        <f t="shared" si="25"/>
        <v>36654.120192307695</v>
      </c>
      <c r="CG11" s="50">
        <f t="shared" si="26"/>
        <v>36017.457044673538</v>
      </c>
      <c r="CH11" s="64">
        <f t="shared" si="27"/>
        <v>49871.382636655944</v>
      </c>
      <c r="CI11" s="64">
        <f t="shared" si="28"/>
        <v>47500</v>
      </c>
      <c r="CJ11" s="64">
        <f t="shared" si="29"/>
        <v>32747.521176470589</v>
      </c>
      <c r="CK11" s="64">
        <f t="shared" si="30"/>
        <v>30124.385000000002</v>
      </c>
      <c r="CL11" s="65">
        <v>100810.21</v>
      </c>
      <c r="CM11" s="50">
        <v>129613.12</v>
      </c>
      <c r="CN11" s="64">
        <f t="shared" si="31"/>
        <v>230423.33000000002</v>
      </c>
      <c r="CO11" s="19">
        <f t="shared" si="81"/>
        <v>0.24427437079215333</v>
      </c>
      <c r="CP11" s="64" t="str">
        <f t="shared" si="90"/>
        <v/>
      </c>
      <c r="CQ11" s="64">
        <f t="shared" si="91"/>
        <v>230423.33000000002</v>
      </c>
      <c r="CR11" s="50">
        <f t="shared" si="82"/>
        <v>1173720.53</v>
      </c>
      <c r="CS11" s="65">
        <v>48000</v>
      </c>
      <c r="CT11" s="65">
        <v>49800</v>
      </c>
      <c r="CU11" s="51">
        <f t="shared" si="32"/>
        <v>97800</v>
      </c>
      <c r="CV11" s="65"/>
      <c r="CW11" s="65"/>
      <c r="CX11" s="64"/>
      <c r="CY11" s="64">
        <f t="shared" si="33"/>
        <v>943297.2</v>
      </c>
      <c r="CZ11" s="65">
        <v>4900</v>
      </c>
      <c r="DA11" s="65">
        <v>8256</v>
      </c>
      <c r="DB11" s="51">
        <v>40000</v>
      </c>
      <c r="DC11" s="51">
        <v>27325</v>
      </c>
      <c r="DD11" s="65"/>
      <c r="DE11" s="65"/>
      <c r="DF11" s="65"/>
      <c r="DG11" s="65">
        <v>16050</v>
      </c>
      <c r="DH11" s="51">
        <v>28200</v>
      </c>
      <c r="DI11" s="13">
        <v>0.06</v>
      </c>
      <c r="DJ11" s="51">
        <v>3080</v>
      </c>
      <c r="DK11" s="64">
        <f t="shared" si="83"/>
        <v>127811</v>
      </c>
      <c r="DL11" s="51">
        <f t="shared" si="84"/>
        <v>1399331.53</v>
      </c>
      <c r="DM11" s="316">
        <f t="shared" si="85"/>
        <v>0.1211765592103824</v>
      </c>
      <c r="DN11" s="51">
        <v>169566.18</v>
      </c>
      <c r="DO11" s="51">
        <f t="shared" si="86"/>
        <v>1568897.71</v>
      </c>
      <c r="DP11" s="51">
        <v>29419</v>
      </c>
      <c r="DQ11" s="51">
        <f t="shared" si="34"/>
        <v>1539478.71</v>
      </c>
      <c r="DR11" s="64">
        <f t="shared" si="35"/>
        <v>155100</v>
      </c>
      <c r="DS11" s="64">
        <f t="shared" si="36"/>
        <v>95000</v>
      </c>
      <c r="DT11" s="64">
        <f t="shared" si="37"/>
        <v>556707.86</v>
      </c>
      <c r="DU11" s="64">
        <f t="shared" si="38"/>
        <v>60248.770000000004</v>
      </c>
      <c r="DV11" s="64">
        <f t="shared" si="87"/>
        <v>943297.2</v>
      </c>
      <c r="DW11" s="64">
        <f t="shared" si="88"/>
        <v>230423.33000000002</v>
      </c>
      <c r="DX11" s="64"/>
      <c r="DY11" s="64">
        <f t="shared" si="39"/>
        <v>97800</v>
      </c>
      <c r="DZ11" s="64">
        <f t="shared" si="40"/>
        <v>127811</v>
      </c>
      <c r="EA11" s="64">
        <f t="shared" si="41"/>
        <v>169566.18</v>
      </c>
      <c r="EB11" s="64">
        <f t="shared" si="42"/>
        <v>1568897.71</v>
      </c>
      <c r="EC11" s="19">
        <f t="shared" si="43"/>
        <v>0.60124837584217006</v>
      </c>
      <c r="ED11" s="19">
        <f t="shared" si="44"/>
        <v>0.14686956869865023</v>
      </c>
      <c r="EE11" s="19">
        <f t="shared" si="45"/>
        <v>0</v>
      </c>
      <c r="EF11" s="19">
        <f t="shared" si="46"/>
        <v>6.2336759991828916E-2</v>
      </c>
      <c r="EG11" s="19">
        <f t="shared" si="47"/>
        <v>8.1465476802818459E-2</v>
      </c>
      <c r="EH11" s="20">
        <f t="shared" si="89"/>
        <v>0.10807981866453231</v>
      </c>
      <c r="EI11" s="21">
        <f t="shared" si="48"/>
        <v>0.99999999999999989</v>
      </c>
      <c r="EJ11" s="16">
        <f t="shared" si="49"/>
        <v>21.246575342465754</v>
      </c>
      <c r="EK11" s="16">
        <f t="shared" si="50"/>
        <v>13.013698630136986</v>
      </c>
      <c r="EL11" s="16">
        <f t="shared" si="51"/>
        <v>76.2613506849315</v>
      </c>
      <c r="EM11" s="16">
        <f t="shared" si="52"/>
        <v>8.2532561643835614</v>
      </c>
      <c r="EN11" s="16">
        <f t="shared" si="53"/>
        <v>129.21879452054793</v>
      </c>
      <c r="EO11" s="16">
        <f t="shared" si="54"/>
        <v>31.564839726027401</v>
      </c>
      <c r="EP11" s="16" t="str">
        <f t="shared" si="55"/>
        <v/>
      </c>
      <c r="EQ11" s="16">
        <f t="shared" si="56"/>
        <v>160.78363424657536</v>
      </c>
      <c r="ER11" s="16">
        <f t="shared" si="57"/>
        <v>129.21879452054793</v>
      </c>
      <c r="ES11" s="2" t="s">
        <v>152</v>
      </c>
      <c r="ET11" s="16">
        <f t="shared" si="58"/>
        <v>13.397260273972602</v>
      </c>
      <c r="EU11" s="16">
        <f t="shared" si="59"/>
        <v>17.50835616438356</v>
      </c>
      <c r="EV11" s="16">
        <f t="shared" si="60"/>
        <v>23.228243835616439</v>
      </c>
      <c r="EW11" s="16">
        <f t="shared" si="61"/>
        <v>31.564839726027401</v>
      </c>
      <c r="EX11" s="16">
        <f t="shared" si="62"/>
        <v>214.91749452054793</v>
      </c>
      <c r="EY11" s="16">
        <f t="shared" si="63"/>
        <v>238.79721613394213</v>
      </c>
      <c r="EZ11" s="16">
        <f t="shared" si="64"/>
        <v>236.4</v>
      </c>
      <c r="FA11" s="16">
        <f t="shared" si="65"/>
        <v>-21.482505479452072</v>
      </c>
      <c r="FB11" s="22">
        <f t="shared" si="66"/>
        <v>0.15550000000000003</v>
      </c>
      <c r="FC11" s="22">
        <f t="shared" si="67"/>
        <v>0.1</v>
      </c>
      <c r="FD11" s="22">
        <f t="shared" si="68"/>
        <v>0.85</v>
      </c>
      <c r="FE11" s="22">
        <f t="shared" si="69"/>
        <v>0.1</v>
      </c>
      <c r="FF11" s="22">
        <f t="shared" si="70"/>
        <v>1.3094999999999999</v>
      </c>
      <c r="FG11" s="23">
        <f t="shared" si="71"/>
        <v>6.430868167202572</v>
      </c>
      <c r="FH11" s="23">
        <f t="shared" si="72"/>
        <v>10</v>
      </c>
      <c r="FI11" s="23">
        <f t="shared" si="73"/>
        <v>1.1764705882352942</v>
      </c>
      <c r="FJ11" s="23">
        <f t="shared" si="74"/>
        <v>10</v>
      </c>
      <c r="FK11" s="23">
        <f t="shared" si="75"/>
        <v>0.76365024818633076</v>
      </c>
    </row>
    <row r="12" spans="1:170" s="24" customFormat="1" x14ac:dyDescent="0.2">
      <c r="A12" s="2" t="s">
        <v>187</v>
      </c>
      <c r="B12" s="2" t="s">
        <v>188</v>
      </c>
      <c r="C12" s="3">
        <v>2503</v>
      </c>
      <c r="D12" s="2" t="s">
        <v>149</v>
      </c>
      <c r="E12" s="61" t="s">
        <v>189</v>
      </c>
      <c r="F12" s="4" t="s">
        <v>190</v>
      </c>
      <c r="G12" s="2" t="s">
        <v>179</v>
      </c>
      <c r="H12" s="5" t="s">
        <v>153</v>
      </c>
      <c r="I12" s="6">
        <v>40359</v>
      </c>
      <c r="J12" s="6">
        <v>41090</v>
      </c>
      <c r="K12" s="6" t="s">
        <v>159</v>
      </c>
      <c r="L12" s="7">
        <v>12</v>
      </c>
      <c r="M12" s="8">
        <f t="shared" si="0"/>
        <v>4380</v>
      </c>
      <c r="N12" s="10">
        <v>46991.35</v>
      </c>
      <c r="O12" s="10">
        <v>267.17</v>
      </c>
      <c r="P12" s="10">
        <v>289.18</v>
      </c>
      <c r="Q12" s="10">
        <v>302.63</v>
      </c>
      <c r="R12" s="10">
        <v>302.63</v>
      </c>
      <c r="S12" s="10" t="e">
        <f t="shared" si="76"/>
        <v>#REF!</v>
      </c>
      <c r="T12" s="11">
        <v>0.8</v>
      </c>
      <c r="U12" s="12">
        <f t="shared" si="1"/>
        <v>3504</v>
      </c>
      <c r="V12" s="13">
        <v>0.2</v>
      </c>
      <c r="W12" s="13">
        <v>1</v>
      </c>
      <c r="X12" s="13">
        <v>1</v>
      </c>
      <c r="Y12" s="14">
        <v>1</v>
      </c>
      <c r="Z12" s="13"/>
      <c r="AA12" s="13"/>
      <c r="AB12" s="13"/>
      <c r="AC12" s="14">
        <v>1</v>
      </c>
      <c r="AD12" s="14"/>
      <c r="AE12" s="14">
        <v>1</v>
      </c>
      <c r="AF12" s="14">
        <v>2</v>
      </c>
      <c r="AG12" s="14"/>
      <c r="AH12" s="14">
        <v>6</v>
      </c>
      <c r="AI12" s="14">
        <v>5.25</v>
      </c>
      <c r="AJ12" s="13">
        <v>0.04</v>
      </c>
      <c r="AK12" s="14"/>
      <c r="AL12" s="13"/>
      <c r="AM12" s="13">
        <f t="shared" si="2"/>
        <v>18.489999999999998</v>
      </c>
      <c r="AN12" s="13">
        <f t="shared" si="3"/>
        <v>2.2000000000000002</v>
      </c>
      <c r="AO12" s="13">
        <f t="shared" si="4"/>
        <v>2</v>
      </c>
      <c r="AP12" s="13">
        <f t="shared" si="5"/>
        <v>14.25</v>
      </c>
      <c r="AQ12" s="13">
        <f t="shared" si="6"/>
        <v>0.04</v>
      </c>
      <c r="AR12" s="51">
        <v>13545.19</v>
      </c>
      <c r="AS12" s="51">
        <v>55150.68</v>
      </c>
      <c r="AT12" s="51">
        <v>35560.04</v>
      </c>
      <c r="AU12" s="51">
        <v>50000</v>
      </c>
      <c r="AV12" s="51"/>
      <c r="AW12" s="51"/>
      <c r="AX12" s="51"/>
      <c r="AY12" s="51">
        <v>40161.64</v>
      </c>
      <c r="AZ12" s="51"/>
      <c r="BA12" s="51">
        <v>28956.2</v>
      </c>
      <c r="BB12" s="51">
        <v>65020.82</v>
      </c>
      <c r="BC12" s="51"/>
      <c r="BD12" s="51">
        <v>152332.03</v>
      </c>
      <c r="BE12" s="51">
        <v>123350.79</v>
      </c>
      <c r="BF12" s="51">
        <v>1449.53</v>
      </c>
      <c r="BG12" s="51"/>
      <c r="BH12" s="51"/>
      <c r="BI12" s="17">
        <f t="shared" si="77"/>
        <v>0</v>
      </c>
      <c r="BJ12" s="50">
        <f t="shared" si="78"/>
        <v>565526.92000000004</v>
      </c>
      <c r="BK12" s="50" t="e">
        <f>#REF!</f>
        <v>#REF!</v>
      </c>
      <c r="BL12" s="50">
        <f t="shared" si="79"/>
        <v>104255.91</v>
      </c>
      <c r="BM12" s="50">
        <f t="shared" si="80"/>
        <v>90161.64</v>
      </c>
      <c r="BN12" s="50">
        <f t="shared" si="7"/>
        <v>369659.83999999997</v>
      </c>
      <c r="BO12" s="50">
        <f t="shared" si="8"/>
        <v>1449.53</v>
      </c>
      <c r="BP12" s="50">
        <f t="shared" si="9"/>
        <v>67725.95</v>
      </c>
      <c r="BQ12" s="50">
        <f t="shared" si="10"/>
        <v>55150.68</v>
      </c>
      <c r="BR12" s="50">
        <f t="shared" si="11"/>
        <v>35560.04</v>
      </c>
      <c r="BS12" s="50">
        <f t="shared" si="12"/>
        <v>50000</v>
      </c>
      <c r="BT12" s="50" t="str">
        <f t="shared" si="13"/>
        <v/>
      </c>
      <c r="BU12" s="50" t="str">
        <f t="shared" si="14"/>
        <v/>
      </c>
      <c r="BV12" s="50" t="str">
        <f t="shared" si="15"/>
        <v/>
      </c>
      <c r="BW12" s="50">
        <f t="shared" si="16"/>
        <v>40161.64</v>
      </c>
      <c r="BX12" s="50" t="str">
        <f t="shared" si="17"/>
        <v/>
      </c>
      <c r="BY12" s="50">
        <f t="shared" si="18"/>
        <v>28956.2</v>
      </c>
      <c r="BZ12" s="50">
        <f t="shared" si="19"/>
        <v>32510.41</v>
      </c>
      <c r="CA12" s="50" t="str">
        <f t="shared" si="20"/>
        <v/>
      </c>
      <c r="CB12" s="50">
        <f t="shared" si="21"/>
        <v>25388.671666666665</v>
      </c>
      <c r="CC12" s="50">
        <f t="shared" si="22"/>
        <v>23495.388571428572</v>
      </c>
      <c r="CD12" s="50">
        <f t="shared" si="23"/>
        <v>36238.25</v>
      </c>
      <c r="CE12" s="50" t="str">
        <f t="shared" si="24"/>
        <v/>
      </c>
      <c r="CF12" s="50" t="str">
        <f t="shared" si="25"/>
        <v/>
      </c>
      <c r="CG12" s="50">
        <f t="shared" si="26"/>
        <v>30585.555435370476</v>
      </c>
      <c r="CH12" s="64">
        <f t="shared" si="27"/>
        <v>47389.049999999996</v>
      </c>
      <c r="CI12" s="64">
        <f t="shared" si="28"/>
        <v>45080.82</v>
      </c>
      <c r="CJ12" s="64">
        <f t="shared" si="29"/>
        <v>25941.041403508771</v>
      </c>
      <c r="CK12" s="64">
        <f t="shared" si="30"/>
        <v>36238.25</v>
      </c>
      <c r="CL12" s="65">
        <v>67959.81</v>
      </c>
      <c r="CM12" s="50">
        <v>95653.27</v>
      </c>
      <c r="CN12" s="64">
        <f t="shared" si="31"/>
        <v>163613.08000000002</v>
      </c>
      <c r="CO12" s="19" t="e">
        <f t="shared" si="81"/>
        <v>#REF!</v>
      </c>
      <c r="CP12" s="64" t="e">
        <f t="shared" si="90"/>
        <v>#REF!</v>
      </c>
      <c r="CQ12" s="64" t="e">
        <f t="shared" si="91"/>
        <v>#REF!</v>
      </c>
      <c r="CR12" s="50" t="e">
        <f t="shared" si="82"/>
        <v>#REF!</v>
      </c>
      <c r="CS12" s="65">
        <v>22700</v>
      </c>
      <c r="CT12" s="65">
        <v>37900</v>
      </c>
      <c r="CU12" s="51">
        <f t="shared" si="32"/>
        <v>60600</v>
      </c>
      <c r="CV12" s="65"/>
      <c r="CW12" s="65"/>
      <c r="CX12" s="64"/>
      <c r="CY12" s="64">
        <f t="shared" si="33"/>
        <v>565526.92000000004</v>
      </c>
      <c r="CZ12" s="65">
        <v>2000</v>
      </c>
      <c r="DA12" s="65">
        <v>1800</v>
      </c>
      <c r="DB12" s="51">
        <v>22000</v>
      </c>
      <c r="DC12" s="51">
        <v>15400</v>
      </c>
      <c r="DD12" s="65">
        <v>300</v>
      </c>
      <c r="DE12" s="65"/>
      <c r="DF12" s="65">
        <v>3000</v>
      </c>
      <c r="DG12" s="65">
        <v>18690</v>
      </c>
      <c r="DH12" s="51">
        <v>12450</v>
      </c>
      <c r="DI12" s="13"/>
      <c r="DJ12" s="51"/>
      <c r="DK12" s="64">
        <f t="shared" si="83"/>
        <v>75640</v>
      </c>
      <c r="DL12" s="51" t="e">
        <f t="shared" si="84"/>
        <v>#REF!</v>
      </c>
      <c r="DM12" s="316" t="e">
        <f t="shared" si="85"/>
        <v>#REF!</v>
      </c>
      <c r="DN12" s="51">
        <v>134407.6</v>
      </c>
      <c r="DO12" s="51" t="e">
        <f t="shared" si="86"/>
        <v>#REF!</v>
      </c>
      <c r="DP12" s="51">
        <v>54000</v>
      </c>
      <c r="DQ12" s="51" t="e">
        <f t="shared" si="34"/>
        <v>#REF!</v>
      </c>
      <c r="DR12" s="64">
        <f t="shared" si="35"/>
        <v>104255.91</v>
      </c>
      <c r="DS12" s="64">
        <f t="shared" si="36"/>
        <v>90161.64</v>
      </c>
      <c r="DT12" s="64">
        <f t="shared" si="37"/>
        <v>369659.83999999997</v>
      </c>
      <c r="DU12" s="64">
        <f t="shared" si="38"/>
        <v>1449.53</v>
      </c>
      <c r="DV12" s="64">
        <f t="shared" si="87"/>
        <v>565526.92000000004</v>
      </c>
      <c r="DW12" s="64" t="e">
        <f t="shared" si="88"/>
        <v>#REF!</v>
      </c>
      <c r="DX12" s="64"/>
      <c r="DY12" s="64">
        <f t="shared" si="39"/>
        <v>60600</v>
      </c>
      <c r="DZ12" s="64">
        <f t="shared" si="40"/>
        <v>75640</v>
      </c>
      <c r="EA12" s="64">
        <f t="shared" si="41"/>
        <v>134407.6</v>
      </c>
      <c r="EB12" s="64" t="e">
        <f t="shared" si="42"/>
        <v>#REF!</v>
      </c>
      <c r="EC12" s="19" t="e">
        <f t="shared" si="43"/>
        <v>#REF!</v>
      </c>
      <c r="ED12" s="19" t="e">
        <f t="shared" si="44"/>
        <v>#REF!</v>
      </c>
      <c r="EE12" s="19" t="e">
        <f t="shared" si="45"/>
        <v>#REF!</v>
      </c>
      <c r="EF12" s="19" t="e">
        <f t="shared" si="46"/>
        <v>#REF!</v>
      </c>
      <c r="EG12" s="19" t="e">
        <f t="shared" si="47"/>
        <v>#REF!</v>
      </c>
      <c r="EH12" s="20" t="e">
        <f t="shared" si="89"/>
        <v>#REF!</v>
      </c>
      <c r="EI12" s="21" t="e">
        <f t="shared" si="48"/>
        <v>#REF!</v>
      </c>
      <c r="EJ12" s="16">
        <f t="shared" si="49"/>
        <v>23.802719178082192</v>
      </c>
      <c r="EK12" s="16">
        <f t="shared" si="50"/>
        <v>20.584849315068492</v>
      </c>
      <c r="EL12" s="16">
        <f t="shared" si="51"/>
        <v>84.397223744292234</v>
      </c>
      <c r="EM12" s="16">
        <f t="shared" si="52"/>
        <v>0.33094292237442924</v>
      </c>
      <c r="EN12" s="16">
        <f t="shared" si="53"/>
        <v>129.11573515981735</v>
      </c>
      <c r="EO12" s="16" t="e">
        <f t="shared" si="54"/>
        <v>#REF!</v>
      </c>
      <c r="EP12" s="16" t="str">
        <f t="shared" si="55"/>
        <v/>
      </c>
      <c r="EQ12" s="16" t="e">
        <f t="shared" si="56"/>
        <v>#REF!</v>
      </c>
      <c r="ER12" s="16">
        <f t="shared" si="57"/>
        <v>129.11573515981735</v>
      </c>
      <c r="ES12" s="2" t="s">
        <v>179</v>
      </c>
      <c r="ET12" s="16">
        <f t="shared" si="58"/>
        <v>13.835616438356164</v>
      </c>
      <c r="EU12" s="16">
        <f t="shared" si="59"/>
        <v>17.269406392694062</v>
      </c>
      <c r="EV12" s="16">
        <f t="shared" si="60"/>
        <v>30.686666666666667</v>
      </c>
      <c r="EW12" s="16" t="e">
        <f t="shared" si="61"/>
        <v>#REF!</v>
      </c>
      <c r="EX12" s="16" t="e">
        <f t="shared" si="62"/>
        <v>#REF!</v>
      </c>
      <c r="EY12" s="16" t="e">
        <f t="shared" si="63"/>
        <v>#REF!</v>
      </c>
      <c r="EZ12" s="16">
        <f t="shared" si="64"/>
        <v>302.63</v>
      </c>
      <c r="FA12" s="16" t="e">
        <f t="shared" si="65"/>
        <v>#REF!</v>
      </c>
      <c r="FB12" s="22">
        <f t="shared" si="66"/>
        <v>0.18333333333333335</v>
      </c>
      <c r="FC12" s="22">
        <f t="shared" si="67"/>
        <v>0.16666666666666666</v>
      </c>
      <c r="FD12" s="22">
        <f t="shared" si="68"/>
        <v>1.1875</v>
      </c>
      <c r="FE12" s="22">
        <f t="shared" si="69"/>
        <v>3.3333333333333335E-3</v>
      </c>
      <c r="FF12" s="22">
        <f t="shared" si="70"/>
        <v>1.5408333333333333</v>
      </c>
      <c r="FG12" s="23">
        <f t="shared" si="71"/>
        <v>5.4545454545454541</v>
      </c>
      <c r="FH12" s="23">
        <f t="shared" si="72"/>
        <v>6</v>
      </c>
      <c r="FI12" s="23">
        <f t="shared" si="73"/>
        <v>0.84210526315789469</v>
      </c>
      <c r="FJ12" s="23">
        <f t="shared" si="74"/>
        <v>300</v>
      </c>
      <c r="FK12" s="23">
        <f t="shared" si="75"/>
        <v>0.64899945916711743</v>
      </c>
    </row>
    <row r="13" spans="1:170" s="24" customFormat="1" x14ac:dyDescent="0.2">
      <c r="A13" s="2" t="s">
        <v>191</v>
      </c>
      <c r="B13" s="2" t="s">
        <v>192</v>
      </c>
      <c r="C13" s="3">
        <v>2503</v>
      </c>
      <c r="D13" s="2" t="s">
        <v>149</v>
      </c>
      <c r="E13" s="61" t="s">
        <v>193</v>
      </c>
      <c r="F13" s="4" t="s">
        <v>151</v>
      </c>
      <c r="G13" s="2" t="s">
        <v>152</v>
      </c>
      <c r="H13" s="5" t="s">
        <v>194</v>
      </c>
      <c r="I13" s="6">
        <v>39629</v>
      </c>
      <c r="J13" s="6">
        <v>40724</v>
      </c>
      <c r="K13" s="6">
        <v>2010</v>
      </c>
      <c r="L13" s="7">
        <v>16</v>
      </c>
      <c r="M13" s="8">
        <f t="shared" si="0"/>
        <v>5840</v>
      </c>
      <c r="N13" s="9">
        <v>89310.24</v>
      </c>
      <c r="O13" s="10">
        <v>186.1</v>
      </c>
      <c r="P13" s="10">
        <v>220.24</v>
      </c>
      <c r="Q13" s="10">
        <v>227.22</v>
      </c>
      <c r="R13" s="10">
        <v>227.22</v>
      </c>
      <c r="S13" s="10" t="e">
        <f t="shared" si="76"/>
        <v>#REF!</v>
      </c>
      <c r="T13" s="11">
        <v>0.85</v>
      </c>
      <c r="U13" s="12">
        <f t="shared" si="1"/>
        <v>4964</v>
      </c>
      <c r="V13" s="13">
        <v>0.1</v>
      </c>
      <c r="W13" s="13">
        <v>1</v>
      </c>
      <c r="X13" s="13">
        <v>1</v>
      </c>
      <c r="Y13" s="13"/>
      <c r="Z13" s="13">
        <v>1</v>
      </c>
      <c r="AA13" s="13"/>
      <c r="AB13" s="13"/>
      <c r="AC13" s="14"/>
      <c r="AD13" s="14">
        <v>1</v>
      </c>
      <c r="AE13" s="14"/>
      <c r="AF13" s="14"/>
      <c r="AG13" s="14">
        <v>1</v>
      </c>
      <c r="AH13" s="14">
        <v>2</v>
      </c>
      <c r="AI13" s="14">
        <v>12.5</v>
      </c>
      <c r="AJ13" s="14">
        <v>1</v>
      </c>
      <c r="AK13" s="14"/>
      <c r="AL13" s="14"/>
      <c r="AM13" s="13">
        <f t="shared" si="2"/>
        <v>20.6</v>
      </c>
      <c r="AN13" s="13">
        <f t="shared" si="3"/>
        <v>2.1</v>
      </c>
      <c r="AO13" s="13">
        <f t="shared" si="4"/>
        <v>2</v>
      </c>
      <c r="AP13" s="13">
        <f t="shared" si="5"/>
        <v>15.5</v>
      </c>
      <c r="AQ13" s="13">
        <f t="shared" si="6"/>
        <v>1</v>
      </c>
      <c r="AR13" s="51">
        <v>7500</v>
      </c>
      <c r="AS13" s="51">
        <v>54247.27</v>
      </c>
      <c r="AT13" s="51">
        <v>38061.480000000003</v>
      </c>
      <c r="AU13" s="51"/>
      <c r="AV13" s="51">
        <v>51137.41</v>
      </c>
      <c r="AW13" s="51"/>
      <c r="AX13" s="51"/>
      <c r="AY13" s="51"/>
      <c r="AZ13" s="70">
        <v>45000</v>
      </c>
      <c r="BA13" s="51"/>
      <c r="BB13" s="51"/>
      <c r="BC13" s="51">
        <v>15897.13</v>
      </c>
      <c r="BD13" s="51">
        <v>79503.350000000006</v>
      </c>
      <c r="BE13" s="51">
        <v>301233.51</v>
      </c>
      <c r="BF13" s="51">
        <v>31902.93</v>
      </c>
      <c r="BG13" s="51"/>
      <c r="BH13" s="51"/>
      <c r="BI13" s="17">
        <f t="shared" si="77"/>
        <v>0</v>
      </c>
      <c r="BJ13" s="50">
        <f t="shared" si="78"/>
        <v>624483.08000000007</v>
      </c>
      <c r="BK13" s="50" t="e">
        <f>#REF!</f>
        <v>#REF!</v>
      </c>
      <c r="BL13" s="50">
        <f t="shared" si="79"/>
        <v>99808.75</v>
      </c>
      <c r="BM13" s="50">
        <f t="shared" si="80"/>
        <v>96137.41</v>
      </c>
      <c r="BN13" s="50">
        <f t="shared" si="7"/>
        <v>396633.99</v>
      </c>
      <c r="BO13" s="50">
        <f t="shared" si="8"/>
        <v>31902.93</v>
      </c>
      <c r="BP13" s="50">
        <f t="shared" si="9"/>
        <v>75000</v>
      </c>
      <c r="BQ13" s="50">
        <f t="shared" si="10"/>
        <v>54247.27</v>
      </c>
      <c r="BR13" s="50">
        <f t="shared" si="11"/>
        <v>38061.480000000003</v>
      </c>
      <c r="BS13" s="50" t="str">
        <f t="shared" si="12"/>
        <v/>
      </c>
      <c r="BT13" s="50">
        <f t="shared" si="13"/>
        <v>51137.41</v>
      </c>
      <c r="BU13" s="50" t="str">
        <f t="shared" si="14"/>
        <v/>
      </c>
      <c r="BV13" s="50" t="str">
        <f t="shared" si="15"/>
        <v/>
      </c>
      <c r="BW13" s="50" t="str">
        <f t="shared" si="16"/>
        <v/>
      </c>
      <c r="BX13" s="50">
        <f t="shared" si="17"/>
        <v>45000</v>
      </c>
      <c r="BY13" s="50" t="str">
        <f t="shared" si="18"/>
        <v/>
      </c>
      <c r="BZ13" s="50" t="str">
        <f t="shared" si="19"/>
        <v/>
      </c>
      <c r="CA13" s="50">
        <f t="shared" si="20"/>
        <v>15897.13</v>
      </c>
      <c r="CB13" s="50">
        <f t="shared" si="21"/>
        <v>39751.675000000003</v>
      </c>
      <c r="CC13" s="50">
        <f t="shared" si="22"/>
        <v>24098.680800000002</v>
      </c>
      <c r="CD13" s="50">
        <f t="shared" si="23"/>
        <v>31902.93</v>
      </c>
      <c r="CE13" s="50" t="str">
        <f t="shared" si="24"/>
        <v/>
      </c>
      <c r="CF13" s="50" t="str">
        <f t="shared" si="25"/>
        <v/>
      </c>
      <c r="CG13" s="50">
        <f t="shared" si="26"/>
        <v>30314.712621359224</v>
      </c>
      <c r="CH13" s="64">
        <f t="shared" si="27"/>
        <v>47527.976190476191</v>
      </c>
      <c r="CI13" s="64">
        <f t="shared" si="28"/>
        <v>48068.705000000002</v>
      </c>
      <c r="CJ13" s="64">
        <f t="shared" si="29"/>
        <v>25589.289677419354</v>
      </c>
      <c r="CK13" s="64">
        <f t="shared" si="30"/>
        <v>31902.93</v>
      </c>
      <c r="CL13" s="65">
        <v>63848.42</v>
      </c>
      <c r="CM13" s="50">
        <v>73489.279999999999</v>
      </c>
      <c r="CN13" s="64">
        <f t="shared" si="31"/>
        <v>137337.70000000001</v>
      </c>
      <c r="CO13" s="19" t="e">
        <f t="shared" si="81"/>
        <v>#REF!</v>
      </c>
      <c r="CP13" s="64" t="e">
        <f t="shared" si="90"/>
        <v>#REF!</v>
      </c>
      <c r="CQ13" s="64" t="e">
        <f t="shared" si="91"/>
        <v>#REF!</v>
      </c>
      <c r="CR13" s="50" t="e">
        <f t="shared" si="82"/>
        <v>#REF!</v>
      </c>
      <c r="CS13" s="65"/>
      <c r="CT13" s="65">
        <v>49470.87</v>
      </c>
      <c r="CU13" s="51">
        <f t="shared" si="32"/>
        <v>49470.87</v>
      </c>
      <c r="CV13" s="65"/>
      <c r="CW13" s="65"/>
      <c r="CX13" s="64"/>
      <c r="CY13" s="64">
        <f t="shared" si="33"/>
        <v>624483.08000000007</v>
      </c>
      <c r="CZ13" s="65">
        <v>1248.8900000000001</v>
      </c>
      <c r="DA13" s="65">
        <v>3137.64</v>
      </c>
      <c r="DB13" s="51">
        <v>44714.57</v>
      </c>
      <c r="DC13" s="51">
        <v>8649.74</v>
      </c>
      <c r="DD13" s="65">
        <v>689.78</v>
      </c>
      <c r="DE13" s="65"/>
      <c r="DF13" s="65"/>
      <c r="DG13" s="65">
        <v>17640.509999999998</v>
      </c>
      <c r="DH13" s="51">
        <v>20750.150000000001</v>
      </c>
      <c r="DI13" s="13"/>
      <c r="DJ13" s="51"/>
      <c r="DK13" s="64">
        <f t="shared" si="83"/>
        <v>96831.28</v>
      </c>
      <c r="DL13" s="51" t="e">
        <f t="shared" si="84"/>
        <v>#REF!</v>
      </c>
      <c r="DM13" s="316" t="e">
        <f t="shared" si="85"/>
        <v>#REF!</v>
      </c>
      <c r="DN13" s="51">
        <v>107925.62</v>
      </c>
      <c r="DO13" s="51" t="e">
        <f t="shared" si="86"/>
        <v>#REF!</v>
      </c>
      <c r="DP13" s="51">
        <v>16793</v>
      </c>
      <c r="DQ13" s="51" t="e">
        <f t="shared" si="34"/>
        <v>#REF!</v>
      </c>
      <c r="DR13" s="64">
        <f t="shared" si="35"/>
        <v>99808.75</v>
      </c>
      <c r="DS13" s="64">
        <f t="shared" si="36"/>
        <v>96137.41</v>
      </c>
      <c r="DT13" s="64">
        <f t="shared" si="37"/>
        <v>396633.99</v>
      </c>
      <c r="DU13" s="64">
        <f t="shared" si="38"/>
        <v>31902.93</v>
      </c>
      <c r="DV13" s="64">
        <f t="shared" si="87"/>
        <v>624483.08000000007</v>
      </c>
      <c r="DW13" s="64" t="e">
        <f t="shared" si="88"/>
        <v>#REF!</v>
      </c>
      <c r="DX13" s="64"/>
      <c r="DY13" s="64">
        <f t="shared" si="39"/>
        <v>49470.87</v>
      </c>
      <c r="DZ13" s="64">
        <f t="shared" si="40"/>
        <v>96831.28</v>
      </c>
      <c r="EA13" s="64">
        <f t="shared" si="41"/>
        <v>107925.62</v>
      </c>
      <c r="EB13" s="64" t="e">
        <f t="shared" si="42"/>
        <v>#REF!</v>
      </c>
      <c r="EC13" s="19" t="e">
        <f t="shared" si="43"/>
        <v>#REF!</v>
      </c>
      <c r="ED13" s="19" t="e">
        <f t="shared" si="44"/>
        <v>#REF!</v>
      </c>
      <c r="EE13" s="19" t="e">
        <f t="shared" si="45"/>
        <v>#REF!</v>
      </c>
      <c r="EF13" s="19" t="e">
        <f t="shared" si="46"/>
        <v>#REF!</v>
      </c>
      <c r="EG13" s="19" t="e">
        <f t="shared" si="47"/>
        <v>#REF!</v>
      </c>
      <c r="EH13" s="20" t="e">
        <f t="shared" si="89"/>
        <v>#REF!</v>
      </c>
      <c r="EI13" s="21" t="e">
        <f t="shared" si="48"/>
        <v>#REF!</v>
      </c>
      <c r="EJ13" s="16">
        <f t="shared" si="49"/>
        <v>17.090539383561644</v>
      </c>
      <c r="EK13" s="16">
        <f t="shared" si="50"/>
        <v>16.461885273972602</v>
      </c>
      <c r="EL13" s="16">
        <f t="shared" si="51"/>
        <v>67.916779109589044</v>
      </c>
      <c r="EM13" s="16">
        <f t="shared" si="52"/>
        <v>5.4628304794520552</v>
      </c>
      <c r="EN13" s="16">
        <f t="shared" si="53"/>
        <v>106.93203424657536</v>
      </c>
      <c r="EO13" s="16" t="e">
        <f t="shared" si="54"/>
        <v>#REF!</v>
      </c>
      <c r="EP13" s="16" t="str">
        <f t="shared" si="55"/>
        <v/>
      </c>
      <c r="EQ13" s="16" t="e">
        <f t="shared" si="56"/>
        <v>#REF!</v>
      </c>
      <c r="ER13" s="16">
        <f t="shared" si="57"/>
        <v>106.93203424657536</v>
      </c>
      <c r="ES13" s="2" t="s">
        <v>152</v>
      </c>
      <c r="ET13" s="16">
        <f t="shared" si="58"/>
        <v>8.471039383561644</v>
      </c>
      <c r="EU13" s="16">
        <f t="shared" si="59"/>
        <v>16.580698630136986</v>
      </c>
      <c r="EV13" s="16">
        <f t="shared" si="60"/>
        <v>18.480414383561644</v>
      </c>
      <c r="EW13" s="16" t="e">
        <f t="shared" si="61"/>
        <v>#REF!</v>
      </c>
      <c r="EX13" s="16" t="e">
        <f t="shared" si="62"/>
        <v>#REF!</v>
      </c>
      <c r="EY13" s="16" t="e">
        <f t="shared" si="63"/>
        <v>#REF!</v>
      </c>
      <c r="EZ13" s="16">
        <f t="shared" si="64"/>
        <v>227.22</v>
      </c>
      <c r="FA13" s="16" t="e">
        <f t="shared" si="65"/>
        <v>#REF!</v>
      </c>
      <c r="FB13" s="22">
        <f t="shared" si="66"/>
        <v>0.13125000000000001</v>
      </c>
      <c r="FC13" s="22">
        <f t="shared" si="67"/>
        <v>0.125</v>
      </c>
      <c r="FD13" s="22">
        <f t="shared" si="68"/>
        <v>0.96875</v>
      </c>
      <c r="FE13" s="22">
        <f t="shared" si="69"/>
        <v>6.25E-2</v>
      </c>
      <c r="FF13" s="22">
        <f t="shared" si="70"/>
        <v>1.2875000000000001</v>
      </c>
      <c r="FG13" s="23">
        <f t="shared" si="71"/>
        <v>7.6190476190476186</v>
      </c>
      <c r="FH13" s="23">
        <f t="shared" si="72"/>
        <v>8</v>
      </c>
      <c r="FI13" s="23">
        <f t="shared" si="73"/>
        <v>1.032258064516129</v>
      </c>
      <c r="FJ13" s="23">
        <f t="shared" si="74"/>
        <v>16</v>
      </c>
      <c r="FK13" s="23">
        <f t="shared" si="75"/>
        <v>0.77669902912621358</v>
      </c>
    </row>
    <row r="14" spans="1:170" s="24" customFormat="1" x14ac:dyDescent="0.2">
      <c r="A14" s="2" t="s">
        <v>181</v>
      </c>
      <c r="B14" s="2" t="s">
        <v>195</v>
      </c>
      <c r="C14" s="3">
        <v>2500</v>
      </c>
      <c r="D14" s="2" t="s">
        <v>171</v>
      </c>
      <c r="E14" s="61" t="s">
        <v>172</v>
      </c>
      <c r="F14" s="4" t="s">
        <v>173</v>
      </c>
      <c r="G14" s="2" t="s">
        <v>163</v>
      </c>
      <c r="H14" s="5" t="s">
        <v>183</v>
      </c>
      <c r="I14" s="6">
        <v>39629</v>
      </c>
      <c r="J14" s="6">
        <v>40724</v>
      </c>
      <c r="K14" s="6"/>
      <c r="L14" s="7">
        <v>20</v>
      </c>
      <c r="M14" s="8">
        <f t="shared" si="0"/>
        <v>7300</v>
      </c>
      <c r="N14" s="10"/>
      <c r="O14" s="10">
        <v>219.18</v>
      </c>
      <c r="P14" s="10"/>
      <c r="Q14" s="10"/>
      <c r="R14" s="10">
        <v>219.18</v>
      </c>
      <c r="S14" s="10" t="e">
        <f t="shared" si="76"/>
        <v>#REF!</v>
      </c>
      <c r="T14" s="11">
        <v>0.9</v>
      </c>
      <c r="U14" s="12">
        <f t="shared" si="1"/>
        <v>6570</v>
      </c>
      <c r="V14" s="13">
        <v>0.43</v>
      </c>
      <c r="W14" s="13">
        <v>1</v>
      </c>
      <c r="X14" s="13">
        <v>1</v>
      </c>
      <c r="Y14" s="13">
        <v>1</v>
      </c>
      <c r="Z14" s="13"/>
      <c r="AA14" s="13"/>
      <c r="AB14" s="13">
        <v>2</v>
      </c>
      <c r="AC14" s="14"/>
      <c r="AD14" s="14"/>
      <c r="AE14" s="14"/>
      <c r="AF14" s="14">
        <v>8</v>
      </c>
      <c r="AG14" s="14"/>
      <c r="AH14" s="14">
        <v>10</v>
      </c>
      <c r="AI14" s="14"/>
      <c r="AJ14" s="14">
        <v>1</v>
      </c>
      <c r="AK14" s="14"/>
      <c r="AL14" s="14"/>
      <c r="AM14" s="13">
        <f t="shared" si="2"/>
        <v>24.43</v>
      </c>
      <c r="AN14" s="13">
        <f t="shared" si="3"/>
        <v>2.4299999999999997</v>
      </c>
      <c r="AO14" s="13">
        <f t="shared" si="4"/>
        <v>3</v>
      </c>
      <c r="AP14" s="13">
        <f t="shared" si="5"/>
        <v>18</v>
      </c>
      <c r="AQ14" s="13">
        <f t="shared" si="6"/>
        <v>1</v>
      </c>
      <c r="AR14" s="51">
        <f>14642+13800</f>
        <v>28442</v>
      </c>
      <c r="AS14" s="51">
        <v>46640</v>
      </c>
      <c r="AT14" s="51">
        <v>41516</v>
      </c>
      <c r="AU14" s="70">
        <v>55000</v>
      </c>
      <c r="AV14" s="51"/>
      <c r="AW14" s="51"/>
      <c r="AX14" s="70">
        <v>90000</v>
      </c>
      <c r="AY14" s="51"/>
      <c r="AZ14" s="51"/>
      <c r="BA14" s="51"/>
      <c r="BB14" s="51">
        <v>246153.16</v>
      </c>
      <c r="BC14" s="51"/>
      <c r="BD14" s="51">
        <v>263419.89</v>
      </c>
      <c r="BE14" s="51"/>
      <c r="BF14" s="51">
        <v>27623.31</v>
      </c>
      <c r="BG14" s="51"/>
      <c r="BH14" s="51">
        <v>74054</v>
      </c>
      <c r="BI14" s="17">
        <f t="shared" si="77"/>
        <v>9.2707214407472774E-2</v>
      </c>
      <c r="BJ14" s="50">
        <f t="shared" si="78"/>
        <v>872848.3600000001</v>
      </c>
      <c r="BK14" s="50" t="e">
        <f>#REF!</f>
        <v>#REF!</v>
      </c>
      <c r="BL14" s="50">
        <f t="shared" si="79"/>
        <v>116598</v>
      </c>
      <c r="BM14" s="50">
        <f t="shared" si="80"/>
        <v>145000</v>
      </c>
      <c r="BN14" s="50">
        <f t="shared" si="7"/>
        <v>509573.05000000005</v>
      </c>
      <c r="BO14" s="50">
        <f t="shared" si="8"/>
        <v>27623.31</v>
      </c>
      <c r="BP14" s="50">
        <f t="shared" si="9"/>
        <v>66144.186046511633</v>
      </c>
      <c r="BQ14" s="50">
        <f t="shared" si="10"/>
        <v>46640</v>
      </c>
      <c r="BR14" s="50">
        <f t="shared" si="11"/>
        <v>41516</v>
      </c>
      <c r="BS14" s="50">
        <f t="shared" si="12"/>
        <v>55000</v>
      </c>
      <c r="BT14" s="50" t="str">
        <f t="shared" si="13"/>
        <v/>
      </c>
      <c r="BU14" s="50" t="str">
        <f t="shared" si="14"/>
        <v/>
      </c>
      <c r="BV14" s="50">
        <f t="shared" si="15"/>
        <v>45000</v>
      </c>
      <c r="BW14" s="50" t="str">
        <f t="shared" si="16"/>
        <v/>
      </c>
      <c r="BX14" s="50" t="str">
        <f t="shared" si="17"/>
        <v/>
      </c>
      <c r="BY14" s="50" t="str">
        <f t="shared" si="18"/>
        <v/>
      </c>
      <c r="BZ14" s="50">
        <f t="shared" si="19"/>
        <v>30769.145</v>
      </c>
      <c r="CA14" s="50" t="str">
        <f t="shared" si="20"/>
        <v/>
      </c>
      <c r="CB14" s="50">
        <f t="shared" si="21"/>
        <v>26341.989000000001</v>
      </c>
      <c r="CC14" s="50" t="str">
        <f t="shared" si="22"/>
        <v/>
      </c>
      <c r="CD14" s="50">
        <f t="shared" si="23"/>
        <v>27623.31</v>
      </c>
      <c r="CE14" s="50" t="str">
        <f t="shared" si="24"/>
        <v/>
      </c>
      <c r="CF14" s="50" t="str">
        <f t="shared" si="25"/>
        <v/>
      </c>
      <c r="CG14" s="50">
        <f t="shared" si="26"/>
        <v>35728.545231273027</v>
      </c>
      <c r="CH14" s="64">
        <f t="shared" si="27"/>
        <v>47982.716049382725</v>
      </c>
      <c r="CI14" s="64">
        <f t="shared" si="28"/>
        <v>48333.333333333336</v>
      </c>
      <c r="CJ14" s="64">
        <f t="shared" si="29"/>
        <v>28309.613888888893</v>
      </c>
      <c r="CK14" s="64">
        <f t="shared" si="30"/>
        <v>27623.31</v>
      </c>
      <c r="CL14" s="65">
        <v>99318.41</v>
      </c>
      <c r="CM14" s="50">
        <v>146306.92000000001</v>
      </c>
      <c r="CN14" s="64">
        <f t="shared" si="31"/>
        <v>245625.33000000002</v>
      </c>
      <c r="CO14" s="19" t="e">
        <f t="shared" si="81"/>
        <v>#REF!</v>
      </c>
      <c r="CP14" s="64" t="e">
        <f t="shared" si="90"/>
        <v>#REF!</v>
      </c>
      <c r="CQ14" s="64" t="e">
        <f t="shared" si="91"/>
        <v>#REF!</v>
      </c>
      <c r="CR14" s="50" t="e">
        <f t="shared" si="82"/>
        <v>#REF!</v>
      </c>
      <c r="CS14" s="65">
        <v>398</v>
      </c>
      <c r="CT14" s="65">
        <v>17256</v>
      </c>
      <c r="CU14" s="51">
        <f t="shared" si="32"/>
        <v>17654</v>
      </c>
      <c r="CV14" s="65">
        <v>7800</v>
      </c>
      <c r="CW14" s="65"/>
      <c r="CX14" s="64">
        <f>SUM(CV14:CW14)</f>
        <v>7800</v>
      </c>
      <c r="CY14" s="64">
        <f t="shared" si="33"/>
        <v>880648.3600000001</v>
      </c>
      <c r="CZ14" s="65">
        <v>1355</v>
      </c>
      <c r="DA14" s="65">
        <v>1761</v>
      </c>
      <c r="DB14" s="51">
        <v>4863</v>
      </c>
      <c r="DC14" s="51">
        <v>8952</v>
      </c>
      <c r="DD14" s="65"/>
      <c r="DE14" s="65">
        <v>827</v>
      </c>
      <c r="DF14" s="65">
        <v>7836</v>
      </c>
      <c r="DG14" s="65">
        <v>8578</v>
      </c>
      <c r="DH14" s="51">
        <v>30277</v>
      </c>
      <c r="DI14" s="13"/>
      <c r="DJ14" s="51"/>
      <c r="DK14" s="64">
        <f t="shared" si="83"/>
        <v>64449</v>
      </c>
      <c r="DL14" s="51" t="e">
        <f t="shared" si="84"/>
        <v>#REF!</v>
      </c>
      <c r="DM14" s="316" t="e">
        <f t="shared" si="85"/>
        <v>#REF!</v>
      </c>
      <c r="DN14" s="51">
        <v>161674</v>
      </c>
      <c r="DO14" s="51" t="e">
        <f t="shared" si="86"/>
        <v>#REF!</v>
      </c>
      <c r="DP14" s="51"/>
      <c r="DQ14" s="51" t="e">
        <f t="shared" si="34"/>
        <v>#REF!</v>
      </c>
      <c r="DR14" s="64">
        <f t="shared" si="35"/>
        <v>116598</v>
      </c>
      <c r="DS14" s="64">
        <f t="shared" si="36"/>
        <v>145000</v>
      </c>
      <c r="DT14" s="64">
        <f t="shared" si="37"/>
        <v>509573.05000000005</v>
      </c>
      <c r="DU14" s="64">
        <f t="shared" si="38"/>
        <v>27623.31</v>
      </c>
      <c r="DV14" s="64">
        <f t="shared" si="87"/>
        <v>872848.3600000001</v>
      </c>
      <c r="DW14" s="64" t="e">
        <f t="shared" si="88"/>
        <v>#REF!</v>
      </c>
      <c r="DX14" s="64">
        <f>CX14</f>
        <v>7800</v>
      </c>
      <c r="DY14" s="64">
        <f t="shared" si="39"/>
        <v>17654</v>
      </c>
      <c r="DZ14" s="64">
        <f t="shared" si="40"/>
        <v>64449</v>
      </c>
      <c r="EA14" s="64">
        <f t="shared" si="41"/>
        <v>161674</v>
      </c>
      <c r="EB14" s="64" t="e">
        <f t="shared" si="42"/>
        <v>#REF!</v>
      </c>
      <c r="EC14" s="19" t="e">
        <f t="shared" si="43"/>
        <v>#REF!</v>
      </c>
      <c r="ED14" s="19" t="e">
        <f t="shared" si="44"/>
        <v>#REF!</v>
      </c>
      <c r="EE14" s="19" t="e">
        <f t="shared" si="45"/>
        <v>#REF!</v>
      </c>
      <c r="EF14" s="19" t="e">
        <f t="shared" si="46"/>
        <v>#REF!</v>
      </c>
      <c r="EG14" s="19" t="e">
        <f t="shared" si="47"/>
        <v>#REF!</v>
      </c>
      <c r="EH14" s="20" t="e">
        <f t="shared" si="89"/>
        <v>#REF!</v>
      </c>
      <c r="EI14" s="21" t="e">
        <f t="shared" si="48"/>
        <v>#REF!</v>
      </c>
      <c r="EJ14" s="16">
        <f t="shared" si="49"/>
        <v>15.972328767123289</v>
      </c>
      <c r="EK14" s="16">
        <f t="shared" si="50"/>
        <v>19.863013698630137</v>
      </c>
      <c r="EL14" s="16">
        <f t="shared" si="51"/>
        <v>69.804527397260287</v>
      </c>
      <c r="EM14" s="16">
        <f t="shared" si="52"/>
        <v>3.7840150684931508</v>
      </c>
      <c r="EN14" s="16">
        <f t="shared" si="53"/>
        <v>119.5682684931507</v>
      </c>
      <c r="EO14" s="16" t="e">
        <f t="shared" si="54"/>
        <v>#REF!</v>
      </c>
      <c r="EP14" s="16">
        <f t="shared" si="55"/>
        <v>1.0684931506849316</v>
      </c>
      <c r="EQ14" s="16" t="e">
        <f t="shared" si="56"/>
        <v>#REF!</v>
      </c>
      <c r="ER14" s="16">
        <f t="shared" si="57"/>
        <v>120.63676164383563</v>
      </c>
      <c r="ES14" s="2" t="s">
        <v>163</v>
      </c>
      <c r="ET14" s="16">
        <f t="shared" si="58"/>
        <v>2.4183561643835616</v>
      </c>
      <c r="EU14" s="16">
        <f t="shared" si="59"/>
        <v>8.8286301369863018</v>
      </c>
      <c r="EV14" s="16">
        <f t="shared" si="60"/>
        <v>22.147123287671231</v>
      </c>
      <c r="EW14" s="16" t="e">
        <f t="shared" si="61"/>
        <v>#REF!</v>
      </c>
      <c r="EX14" s="16" t="e">
        <f t="shared" si="62"/>
        <v>#REF!</v>
      </c>
      <c r="EY14" s="16" t="e">
        <f t="shared" si="63"/>
        <v>#REF!</v>
      </c>
      <c r="EZ14" s="16">
        <f t="shared" si="64"/>
        <v>219.18</v>
      </c>
      <c r="FA14" s="16" t="e">
        <f t="shared" si="65"/>
        <v>#REF!</v>
      </c>
      <c r="FB14" s="22">
        <f t="shared" si="66"/>
        <v>0.12149999999999998</v>
      </c>
      <c r="FC14" s="22">
        <f t="shared" si="67"/>
        <v>0.15</v>
      </c>
      <c r="FD14" s="22">
        <f t="shared" si="68"/>
        <v>0.9</v>
      </c>
      <c r="FE14" s="22">
        <f t="shared" si="69"/>
        <v>0.05</v>
      </c>
      <c r="FF14" s="22">
        <f t="shared" si="70"/>
        <v>1.2215</v>
      </c>
      <c r="FG14" s="23">
        <f t="shared" si="71"/>
        <v>8.230452674897121</v>
      </c>
      <c r="FH14" s="23">
        <f t="shared" si="72"/>
        <v>6.666666666666667</v>
      </c>
      <c r="FI14" s="23">
        <f t="shared" si="73"/>
        <v>1.1111111111111112</v>
      </c>
      <c r="FJ14" s="23">
        <f t="shared" si="74"/>
        <v>20</v>
      </c>
      <c r="FK14" s="23">
        <f t="shared" si="75"/>
        <v>0.81866557511256655</v>
      </c>
    </row>
    <row r="15" spans="1:170" s="24" customFormat="1" x14ac:dyDescent="0.2">
      <c r="A15" s="2" t="s">
        <v>175</v>
      </c>
      <c r="B15" s="2" t="s">
        <v>196</v>
      </c>
      <c r="C15" s="3">
        <v>2503</v>
      </c>
      <c r="D15" s="2" t="s">
        <v>149</v>
      </c>
      <c r="E15" s="61" t="s">
        <v>197</v>
      </c>
      <c r="F15" s="4" t="s">
        <v>173</v>
      </c>
      <c r="G15" s="2" t="s">
        <v>163</v>
      </c>
      <c r="H15" s="5" t="s">
        <v>153</v>
      </c>
      <c r="I15" s="6">
        <v>40359</v>
      </c>
      <c r="J15" s="6">
        <v>41090</v>
      </c>
      <c r="K15" s="6"/>
      <c r="L15" s="7">
        <v>15</v>
      </c>
      <c r="M15" s="8">
        <f t="shared" si="0"/>
        <v>5475</v>
      </c>
      <c r="N15" s="10"/>
      <c r="O15" s="10">
        <v>259.91000000000003</v>
      </c>
      <c r="P15" s="10"/>
      <c r="Q15" s="10"/>
      <c r="R15" s="10">
        <v>259.91000000000003</v>
      </c>
      <c r="S15" s="10" t="e">
        <f t="shared" si="76"/>
        <v>#REF!</v>
      </c>
      <c r="T15" s="11">
        <v>0.9</v>
      </c>
      <c r="U15" s="12">
        <f t="shared" si="1"/>
        <v>4927.5</v>
      </c>
      <c r="V15" s="13">
        <v>0.12</v>
      </c>
      <c r="W15" s="13">
        <v>1</v>
      </c>
      <c r="X15" s="13">
        <v>1</v>
      </c>
      <c r="Y15" s="14"/>
      <c r="Z15" s="14">
        <v>1</v>
      </c>
      <c r="AA15" s="14"/>
      <c r="AB15" s="14"/>
      <c r="AC15" s="14"/>
      <c r="AD15" s="14">
        <v>1</v>
      </c>
      <c r="AE15" s="14"/>
      <c r="AF15" s="14">
        <v>1</v>
      </c>
      <c r="AG15" s="14">
        <v>4</v>
      </c>
      <c r="AH15" s="14">
        <v>4</v>
      </c>
      <c r="AI15" s="14">
        <v>6</v>
      </c>
      <c r="AJ15" s="14">
        <v>1</v>
      </c>
      <c r="AK15" s="14">
        <v>1.3</v>
      </c>
      <c r="AL15" s="14"/>
      <c r="AM15" s="13">
        <f t="shared" si="2"/>
        <v>21.42</v>
      </c>
      <c r="AN15" s="13">
        <f t="shared" si="3"/>
        <v>2.12</v>
      </c>
      <c r="AO15" s="13">
        <f t="shared" si="4"/>
        <v>2</v>
      </c>
      <c r="AP15" s="13">
        <f t="shared" si="5"/>
        <v>15</v>
      </c>
      <c r="AQ15" s="13">
        <f t="shared" si="6"/>
        <v>2.2999999999999998</v>
      </c>
      <c r="AR15" s="51">
        <v>11124</v>
      </c>
      <c r="AS15" s="51">
        <v>56650</v>
      </c>
      <c r="AT15" s="51">
        <v>46350</v>
      </c>
      <c r="AU15" s="51"/>
      <c r="AV15" s="51">
        <v>52530</v>
      </c>
      <c r="AW15" s="51"/>
      <c r="AX15" s="51"/>
      <c r="AY15" s="51"/>
      <c r="AZ15" s="70">
        <v>45000</v>
      </c>
      <c r="BA15" s="51"/>
      <c r="BB15" s="51">
        <v>35785.730000000003</v>
      </c>
      <c r="BC15" s="51">
        <v>128688.78</v>
      </c>
      <c r="BD15" s="51">
        <v>117097.11</v>
      </c>
      <c r="BE15" s="51">
        <v>168257.18</v>
      </c>
      <c r="BF15" s="51">
        <v>27493.38</v>
      </c>
      <c r="BG15" s="51">
        <v>38916.43</v>
      </c>
      <c r="BH15" s="51">
        <v>62976.03</v>
      </c>
      <c r="BI15" s="17">
        <f t="shared" si="77"/>
        <v>8.6518298351730749E-2</v>
      </c>
      <c r="BJ15" s="50">
        <f t="shared" si="78"/>
        <v>790868.64000000013</v>
      </c>
      <c r="BK15" s="50" t="e">
        <f>#REF!</f>
        <v>#REF!</v>
      </c>
      <c r="BL15" s="50">
        <f t="shared" si="79"/>
        <v>114124</v>
      </c>
      <c r="BM15" s="50">
        <f t="shared" si="80"/>
        <v>97530</v>
      </c>
      <c r="BN15" s="50">
        <f t="shared" si="7"/>
        <v>449828.8</v>
      </c>
      <c r="BO15" s="50">
        <f t="shared" si="8"/>
        <v>66409.81</v>
      </c>
      <c r="BP15" s="50">
        <f t="shared" si="9"/>
        <v>92700</v>
      </c>
      <c r="BQ15" s="50">
        <f t="shared" si="10"/>
        <v>56650</v>
      </c>
      <c r="BR15" s="50">
        <f t="shared" si="11"/>
        <v>46350</v>
      </c>
      <c r="BS15" s="50" t="str">
        <f t="shared" si="12"/>
        <v/>
      </c>
      <c r="BT15" s="50">
        <f t="shared" si="13"/>
        <v>52530</v>
      </c>
      <c r="BU15" s="50" t="str">
        <f t="shared" si="14"/>
        <v/>
      </c>
      <c r="BV15" s="50" t="str">
        <f t="shared" si="15"/>
        <v/>
      </c>
      <c r="BW15" s="50" t="str">
        <f t="shared" si="16"/>
        <v/>
      </c>
      <c r="BX15" s="50">
        <f t="shared" si="17"/>
        <v>45000</v>
      </c>
      <c r="BY15" s="50" t="str">
        <f t="shared" si="18"/>
        <v/>
      </c>
      <c r="BZ15" s="50">
        <f t="shared" si="19"/>
        <v>35785.730000000003</v>
      </c>
      <c r="CA15" s="50">
        <f t="shared" si="20"/>
        <v>32172.195</v>
      </c>
      <c r="CB15" s="50">
        <f t="shared" si="21"/>
        <v>29274.2775</v>
      </c>
      <c r="CC15" s="50">
        <f t="shared" si="22"/>
        <v>28042.863333333331</v>
      </c>
      <c r="CD15" s="50">
        <f t="shared" si="23"/>
        <v>27493.38</v>
      </c>
      <c r="CE15" s="50">
        <f t="shared" si="24"/>
        <v>29935.715384615385</v>
      </c>
      <c r="CF15" s="50" t="str">
        <f t="shared" si="25"/>
        <v/>
      </c>
      <c r="CG15" s="50">
        <f t="shared" si="26"/>
        <v>36921.971988795522</v>
      </c>
      <c r="CH15" s="64">
        <f t="shared" si="27"/>
        <v>53832.07547169811</v>
      </c>
      <c r="CI15" s="64">
        <f t="shared" si="28"/>
        <v>48765</v>
      </c>
      <c r="CJ15" s="64">
        <f t="shared" si="29"/>
        <v>29988.586666666666</v>
      </c>
      <c r="CK15" s="64">
        <f t="shared" si="30"/>
        <v>28873.830434782609</v>
      </c>
      <c r="CL15" s="65">
        <v>85172.92</v>
      </c>
      <c r="CM15" s="50">
        <v>109508.04</v>
      </c>
      <c r="CN15" s="64">
        <f t="shared" si="31"/>
        <v>194680.95999999999</v>
      </c>
      <c r="CO15" s="19" t="e">
        <f t="shared" si="81"/>
        <v>#REF!</v>
      </c>
      <c r="CP15" s="64" t="e">
        <f t="shared" si="90"/>
        <v>#REF!</v>
      </c>
      <c r="CQ15" s="64" t="e">
        <f t="shared" si="91"/>
        <v>#REF!</v>
      </c>
      <c r="CR15" s="50" t="e">
        <f t="shared" si="82"/>
        <v>#REF!</v>
      </c>
      <c r="CS15" s="65"/>
      <c r="CT15" s="65">
        <v>62193</v>
      </c>
      <c r="CU15" s="51">
        <f t="shared" si="32"/>
        <v>62193</v>
      </c>
      <c r="CV15" s="65"/>
      <c r="CW15" s="65"/>
      <c r="CX15" s="64"/>
      <c r="CY15" s="64">
        <f t="shared" si="33"/>
        <v>790868.64000000013</v>
      </c>
      <c r="CZ15" s="65">
        <v>3213</v>
      </c>
      <c r="DA15" s="65">
        <v>4406.3999999999996</v>
      </c>
      <c r="DB15" s="51">
        <v>33150</v>
      </c>
      <c r="DC15" s="51">
        <v>12129.84</v>
      </c>
      <c r="DD15" s="65"/>
      <c r="DE15" s="65"/>
      <c r="DF15" s="65"/>
      <c r="DG15" s="65">
        <v>14445</v>
      </c>
      <c r="DH15" s="51">
        <v>27693</v>
      </c>
      <c r="DI15" s="13">
        <v>0.06</v>
      </c>
      <c r="DJ15" s="51">
        <v>3172.4</v>
      </c>
      <c r="DK15" s="64">
        <f t="shared" si="83"/>
        <v>98209.64</v>
      </c>
      <c r="DL15" s="51" t="e">
        <f t="shared" si="84"/>
        <v>#REF!</v>
      </c>
      <c r="DM15" s="316" t="e">
        <f t="shared" si="85"/>
        <v>#REF!</v>
      </c>
      <c r="DN15" s="51">
        <v>139569.82</v>
      </c>
      <c r="DO15" s="51" t="e">
        <f t="shared" si="86"/>
        <v>#REF!</v>
      </c>
      <c r="DP15" s="51">
        <v>22064.25</v>
      </c>
      <c r="DQ15" s="51" t="e">
        <f t="shared" si="34"/>
        <v>#REF!</v>
      </c>
      <c r="DR15" s="64">
        <f t="shared" si="35"/>
        <v>114124</v>
      </c>
      <c r="DS15" s="64">
        <f t="shared" si="36"/>
        <v>97530</v>
      </c>
      <c r="DT15" s="64">
        <f t="shared" si="37"/>
        <v>449828.8</v>
      </c>
      <c r="DU15" s="64">
        <f t="shared" si="38"/>
        <v>66409.81</v>
      </c>
      <c r="DV15" s="64">
        <f t="shared" si="87"/>
        <v>790868.64000000013</v>
      </c>
      <c r="DW15" s="64" t="e">
        <f t="shared" si="88"/>
        <v>#REF!</v>
      </c>
      <c r="DX15" s="64"/>
      <c r="DY15" s="64">
        <f t="shared" si="39"/>
        <v>62193</v>
      </c>
      <c r="DZ15" s="64">
        <f t="shared" si="40"/>
        <v>98209.64</v>
      </c>
      <c r="EA15" s="64">
        <f t="shared" si="41"/>
        <v>139569.82</v>
      </c>
      <c r="EB15" s="64" t="e">
        <f t="shared" si="42"/>
        <v>#REF!</v>
      </c>
      <c r="EC15" s="19" t="e">
        <f t="shared" si="43"/>
        <v>#REF!</v>
      </c>
      <c r="ED15" s="19" t="e">
        <f t="shared" si="44"/>
        <v>#REF!</v>
      </c>
      <c r="EE15" s="19" t="e">
        <f t="shared" si="45"/>
        <v>#REF!</v>
      </c>
      <c r="EF15" s="19" t="e">
        <f t="shared" si="46"/>
        <v>#REF!</v>
      </c>
      <c r="EG15" s="19" t="e">
        <f t="shared" si="47"/>
        <v>#REF!</v>
      </c>
      <c r="EH15" s="20" t="e">
        <f t="shared" si="89"/>
        <v>#REF!</v>
      </c>
      <c r="EI15" s="21" t="e">
        <f t="shared" si="48"/>
        <v>#REF!</v>
      </c>
      <c r="EJ15" s="16">
        <f t="shared" si="49"/>
        <v>20.844566210045663</v>
      </c>
      <c r="EK15" s="16">
        <f t="shared" si="50"/>
        <v>17.813698630136987</v>
      </c>
      <c r="EL15" s="16">
        <f t="shared" si="51"/>
        <v>82.160511415525107</v>
      </c>
      <c r="EM15" s="16">
        <f t="shared" si="52"/>
        <v>12.129645662100456</v>
      </c>
      <c r="EN15" s="16">
        <f t="shared" si="53"/>
        <v>144.45089315068495</v>
      </c>
      <c r="EO15" s="16" t="e">
        <f t="shared" si="54"/>
        <v>#REF!</v>
      </c>
      <c r="EP15" s="16" t="str">
        <f t="shared" si="55"/>
        <v/>
      </c>
      <c r="EQ15" s="16" t="e">
        <f t="shared" si="56"/>
        <v>#REF!</v>
      </c>
      <c r="ER15" s="16">
        <f t="shared" si="57"/>
        <v>144.45089315068495</v>
      </c>
      <c r="ES15" s="2" t="s">
        <v>163</v>
      </c>
      <c r="ET15" s="16">
        <f t="shared" si="58"/>
        <v>11.35945205479452</v>
      </c>
      <c r="EU15" s="16">
        <f t="shared" si="59"/>
        <v>17.937833789954336</v>
      </c>
      <c r="EV15" s="16">
        <f t="shared" si="60"/>
        <v>25.492204566210049</v>
      </c>
      <c r="EW15" s="16" t="e">
        <f t="shared" si="61"/>
        <v>#REF!</v>
      </c>
      <c r="EX15" s="16" t="e">
        <f t="shared" si="62"/>
        <v>#REF!</v>
      </c>
      <c r="EY15" s="16" t="e">
        <f t="shared" si="63"/>
        <v>#REF!</v>
      </c>
      <c r="EZ15" s="16">
        <f t="shared" si="64"/>
        <v>259.91000000000003</v>
      </c>
      <c r="FA15" s="16" t="e">
        <f t="shared" si="65"/>
        <v>#REF!</v>
      </c>
      <c r="FB15" s="22">
        <f t="shared" si="66"/>
        <v>0.14133333333333334</v>
      </c>
      <c r="FC15" s="22">
        <f t="shared" si="67"/>
        <v>0.13333333333333333</v>
      </c>
      <c r="FD15" s="22">
        <f t="shared" si="68"/>
        <v>1</v>
      </c>
      <c r="FE15" s="22">
        <f t="shared" si="69"/>
        <v>0.15333333333333332</v>
      </c>
      <c r="FF15" s="22">
        <f t="shared" si="70"/>
        <v>1.4280000000000002</v>
      </c>
      <c r="FG15" s="23">
        <f t="shared" si="71"/>
        <v>7.0754716981132075</v>
      </c>
      <c r="FH15" s="23">
        <f t="shared" si="72"/>
        <v>7.5</v>
      </c>
      <c r="FI15" s="23">
        <f t="shared" si="73"/>
        <v>1</v>
      </c>
      <c r="FJ15" s="23">
        <f t="shared" si="74"/>
        <v>6.5217391304347831</v>
      </c>
      <c r="FK15" s="23">
        <f t="shared" si="75"/>
        <v>0.70028011204481788</v>
      </c>
    </row>
    <row r="16" spans="1:170" s="24" customFormat="1" x14ac:dyDescent="0.2">
      <c r="A16" s="2" t="s">
        <v>198</v>
      </c>
      <c r="B16" s="2" t="s">
        <v>199</v>
      </c>
      <c r="C16" s="3">
        <v>2503</v>
      </c>
      <c r="D16" s="2" t="s">
        <v>149</v>
      </c>
      <c r="E16" s="61" t="s">
        <v>200</v>
      </c>
      <c r="F16" s="4" t="s">
        <v>173</v>
      </c>
      <c r="G16" s="2" t="s">
        <v>163</v>
      </c>
      <c r="H16" s="5" t="s">
        <v>201</v>
      </c>
      <c r="I16" s="6">
        <v>40359</v>
      </c>
      <c r="J16" s="6">
        <v>41090</v>
      </c>
      <c r="K16" s="6"/>
      <c r="L16" s="7">
        <v>12</v>
      </c>
      <c r="M16" s="8">
        <f t="shared" si="0"/>
        <v>4380</v>
      </c>
      <c r="N16" s="9"/>
      <c r="O16" s="10">
        <v>322.45</v>
      </c>
      <c r="P16" s="10"/>
      <c r="Q16" s="10"/>
      <c r="R16" s="10">
        <v>322.45</v>
      </c>
      <c r="S16" s="10" t="e">
        <f t="shared" si="76"/>
        <v>#REF!</v>
      </c>
      <c r="T16" s="11">
        <v>0.85</v>
      </c>
      <c r="U16" s="12">
        <f t="shared" si="1"/>
        <v>3723</v>
      </c>
      <c r="V16" s="13">
        <v>0.23</v>
      </c>
      <c r="W16" s="13">
        <v>2</v>
      </c>
      <c r="X16" s="13">
        <v>1</v>
      </c>
      <c r="Y16" s="13"/>
      <c r="Z16" s="13"/>
      <c r="AA16" s="13"/>
      <c r="AB16" s="13"/>
      <c r="AC16" s="14">
        <v>1</v>
      </c>
      <c r="AD16" s="14"/>
      <c r="AE16" s="14"/>
      <c r="AF16" s="14"/>
      <c r="AG16" s="14">
        <v>4.46</v>
      </c>
      <c r="AH16" s="14">
        <v>4.2</v>
      </c>
      <c r="AI16" s="14">
        <v>9.8000000000000007</v>
      </c>
      <c r="AJ16" s="14">
        <v>2.1</v>
      </c>
      <c r="AK16" s="14">
        <v>2.1</v>
      </c>
      <c r="AL16" s="14"/>
      <c r="AM16" s="13">
        <f t="shared" si="2"/>
        <v>26.890000000000004</v>
      </c>
      <c r="AN16" s="13">
        <f t="shared" si="3"/>
        <v>3.23</v>
      </c>
      <c r="AO16" s="13">
        <f t="shared" si="4"/>
        <v>1</v>
      </c>
      <c r="AP16" s="13">
        <f t="shared" si="5"/>
        <v>18.46</v>
      </c>
      <c r="AQ16" s="13">
        <f t="shared" si="6"/>
        <v>4.2</v>
      </c>
      <c r="AR16" s="51">
        <v>14500</v>
      </c>
      <c r="AS16" s="51">
        <v>100000</v>
      </c>
      <c r="AT16" s="51">
        <v>52000</v>
      </c>
      <c r="AU16" s="51"/>
      <c r="AV16" s="51"/>
      <c r="AW16" s="51"/>
      <c r="AX16" s="51"/>
      <c r="AY16" s="51">
        <v>42000</v>
      </c>
      <c r="AZ16" s="51"/>
      <c r="BA16" s="51"/>
      <c r="BB16" s="51"/>
      <c r="BC16" s="51">
        <v>151168</v>
      </c>
      <c r="BD16" s="51">
        <v>124777</v>
      </c>
      <c r="BE16" s="51">
        <v>194121</v>
      </c>
      <c r="BF16" s="51">
        <v>31200</v>
      </c>
      <c r="BG16" s="51">
        <v>54080</v>
      </c>
      <c r="BH16" s="51">
        <v>31500</v>
      </c>
      <c r="BI16" s="17">
        <f t="shared" si="77"/>
        <v>4.1238679000740984E-2</v>
      </c>
      <c r="BJ16" s="50">
        <f t="shared" si="78"/>
        <v>795346</v>
      </c>
      <c r="BK16" s="50" t="e">
        <f>#REF!</f>
        <v>#REF!</v>
      </c>
      <c r="BL16" s="50">
        <f t="shared" si="79"/>
        <v>166500</v>
      </c>
      <c r="BM16" s="50">
        <f t="shared" si="80"/>
        <v>42000</v>
      </c>
      <c r="BN16" s="50">
        <f t="shared" si="7"/>
        <v>470066</v>
      </c>
      <c r="BO16" s="50">
        <f t="shared" si="8"/>
        <v>85280</v>
      </c>
      <c r="BP16" s="50">
        <f t="shared" si="9"/>
        <v>63043.47826086956</v>
      </c>
      <c r="BQ16" s="50">
        <f t="shared" si="10"/>
        <v>50000</v>
      </c>
      <c r="BR16" s="50">
        <f t="shared" si="11"/>
        <v>52000</v>
      </c>
      <c r="BS16" s="50" t="str">
        <f t="shared" si="12"/>
        <v/>
      </c>
      <c r="BT16" s="50" t="str">
        <f t="shared" si="13"/>
        <v/>
      </c>
      <c r="BU16" s="50" t="str">
        <f t="shared" si="14"/>
        <v/>
      </c>
      <c r="BV16" s="50" t="str">
        <f t="shared" si="15"/>
        <v/>
      </c>
      <c r="BW16" s="50">
        <f t="shared" si="16"/>
        <v>42000</v>
      </c>
      <c r="BX16" s="50" t="str">
        <f t="shared" si="17"/>
        <v/>
      </c>
      <c r="BY16" s="50" t="str">
        <f t="shared" si="18"/>
        <v/>
      </c>
      <c r="BZ16" s="50" t="str">
        <f t="shared" si="19"/>
        <v/>
      </c>
      <c r="CA16" s="50">
        <f t="shared" si="20"/>
        <v>33894.170403587443</v>
      </c>
      <c r="CB16" s="50">
        <f t="shared" si="21"/>
        <v>29708.809523809523</v>
      </c>
      <c r="CC16" s="50">
        <f t="shared" si="22"/>
        <v>19808.265306122448</v>
      </c>
      <c r="CD16" s="50">
        <f t="shared" si="23"/>
        <v>14857.142857142857</v>
      </c>
      <c r="CE16" s="50">
        <f t="shared" si="24"/>
        <v>25752.38095238095</v>
      </c>
      <c r="CF16" s="50" t="str">
        <f t="shared" si="25"/>
        <v/>
      </c>
      <c r="CG16" s="50">
        <f t="shared" si="26"/>
        <v>29577.761249535139</v>
      </c>
      <c r="CH16" s="64">
        <f t="shared" si="27"/>
        <v>51547.987616099068</v>
      </c>
      <c r="CI16" s="64">
        <f t="shared" si="28"/>
        <v>42000</v>
      </c>
      <c r="CJ16" s="64">
        <f t="shared" si="29"/>
        <v>25464.03033586132</v>
      </c>
      <c r="CK16" s="64">
        <f t="shared" si="30"/>
        <v>20304.761904761905</v>
      </c>
      <c r="CL16" s="65">
        <v>70681</v>
      </c>
      <c r="CM16" s="50">
        <v>125655</v>
      </c>
      <c r="CN16" s="64">
        <f t="shared" si="31"/>
        <v>196336</v>
      </c>
      <c r="CO16" s="19" t="e">
        <f t="shared" si="81"/>
        <v>#REF!</v>
      </c>
      <c r="CP16" s="64" t="e">
        <f t="shared" si="90"/>
        <v>#REF!</v>
      </c>
      <c r="CQ16" s="64" t="e">
        <f t="shared" si="91"/>
        <v>#REF!</v>
      </c>
      <c r="CR16" s="50" t="e">
        <f t="shared" si="82"/>
        <v>#REF!</v>
      </c>
      <c r="CS16" s="65"/>
      <c r="CT16" s="65">
        <v>23000</v>
      </c>
      <c r="CU16" s="51">
        <f t="shared" si="32"/>
        <v>23000</v>
      </c>
      <c r="CV16" s="65">
        <v>9750</v>
      </c>
      <c r="CW16" s="65">
        <v>13000</v>
      </c>
      <c r="CX16" s="64">
        <f>SUM(CV16:CW16)</f>
        <v>22750</v>
      </c>
      <c r="CY16" s="64">
        <f t="shared" si="33"/>
        <v>818096</v>
      </c>
      <c r="CZ16" s="65">
        <v>2500</v>
      </c>
      <c r="DA16" s="65">
        <v>4200</v>
      </c>
      <c r="DB16" s="51">
        <v>28080</v>
      </c>
      <c r="DC16" s="51"/>
      <c r="DD16" s="65">
        <v>2250</v>
      </c>
      <c r="DE16" s="65"/>
      <c r="DF16" s="65">
        <v>3120</v>
      </c>
      <c r="DG16" s="65">
        <v>12480</v>
      </c>
      <c r="DH16" s="51">
        <v>35100</v>
      </c>
      <c r="DI16" s="13"/>
      <c r="DJ16" s="51"/>
      <c r="DK16" s="64">
        <f t="shared" si="83"/>
        <v>87730</v>
      </c>
      <c r="DL16" s="51" t="e">
        <f t="shared" si="84"/>
        <v>#REF!</v>
      </c>
      <c r="DM16" s="316" t="e">
        <f t="shared" si="85"/>
        <v>#REF!</v>
      </c>
      <c r="DN16" s="51">
        <v>99488</v>
      </c>
      <c r="DO16" s="51" t="e">
        <f t="shared" si="86"/>
        <v>#REF!</v>
      </c>
      <c r="DP16" s="51">
        <v>14180</v>
      </c>
      <c r="DQ16" s="51" t="e">
        <f t="shared" si="34"/>
        <v>#REF!</v>
      </c>
      <c r="DR16" s="64">
        <f t="shared" si="35"/>
        <v>166500</v>
      </c>
      <c r="DS16" s="64">
        <f t="shared" si="36"/>
        <v>42000</v>
      </c>
      <c r="DT16" s="64">
        <f t="shared" si="37"/>
        <v>470066</v>
      </c>
      <c r="DU16" s="64">
        <f t="shared" si="38"/>
        <v>85280</v>
      </c>
      <c r="DV16" s="64">
        <f t="shared" si="87"/>
        <v>795346</v>
      </c>
      <c r="DW16" s="64" t="e">
        <f t="shared" si="88"/>
        <v>#REF!</v>
      </c>
      <c r="DX16" s="64">
        <f>CX16</f>
        <v>22750</v>
      </c>
      <c r="DY16" s="64">
        <f t="shared" si="39"/>
        <v>23000</v>
      </c>
      <c r="DZ16" s="64">
        <f t="shared" si="40"/>
        <v>87730</v>
      </c>
      <c r="EA16" s="64">
        <f t="shared" si="41"/>
        <v>99488</v>
      </c>
      <c r="EB16" s="64" t="e">
        <f t="shared" si="42"/>
        <v>#REF!</v>
      </c>
      <c r="EC16" s="19" t="e">
        <f t="shared" si="43"/>
        <v>#REF!</v>
      </c>
      <c r="ED16" s="19" t="e">
        <f t="shared" si="44"/>
        <v>#REF!</v>
      </c>
      <c r="EE16" s="19" t="e">
        <f t="shared" si="45"/>
        <v>#REF!</v>
      </c>
      <c r="EF16" s="19" t="e">
        <f t="shared" si="46"/>
        <v>#REF!</v>
      </c>
      <c r="EG16" s="19" t="e">
        <f t="shared" si="47"/>
        <v>#REF!</v>
      </c>
      <c r="EH16" s="20" t="e">
        <f t="shared" si="89"/>
        <v>#REF!</v>
      </c>
      <c r="EI16" s="21" t="e">
        <f t="shared" si="48"/>
        <v>#REF!</v>
      </c>
      <c r="EJ16" s="16">
        <f t="shared" si="49"/>
        <v>38.013698630136986</v>
      </c>
      <c r="EK16" s="16">
        <f t="shared" si="50"/>
        <v>9.5890410958904102</v>
      </c>
      <c r="EL16" s="16">
        <f t="shared" si="51"/>
        <v>107.32100456621005</v>
      </c>
      <c r="EM16" s="16">
        <f t="shared" si="52"/>
        <v>19.470319634703195</v>
      </c>
      <c r="EN16" s="16">
        <f t="shared" si="53"/>
        <v>181.58584474885845</v>
      </c>
      <c r="EO16" s="16" t="e">
        <f t="shared" si="54"/>
        <v>#REF!</v>
      </c>
      <c r="EP16" s="16">
        <f t="shared" si="55"/>
        <v>5.1940639269406397</v>
      </c>
      <c r="EQ16" s="16" t="e">
        <f t="shared" si="56"/>
        <v>#REF!</v>
      </c>
      <c r="ER16" s="16">
        <f t="shared" si="57"/>
        <v>186.77990867579908</v>
      </c>
      <c r="ES16" s="2" t="s">
        <v>163</v>
      </c>
      <c r="ET16" s="16">
        <f t="shared" si="58"/>
        <v>5.2511415525114158</v>
      </c>
      <c r="EU16" s="16">
        <f t="shared" si="59"/>
        <v>20.029680365296805</v>
      </c>
      <c r="EV16" s="16">
        <f t="shared" si="60"/>
        <v>22.714155251141552</v>
      </c>
      <c r="EW16" s="16" t="e">
        <f t="shared" si="61"/>
        <v>#REF!</v>
      </c>
      <c r="EX16" s="16" t="e">
        <f t="shared" si="62"/>
        <v>#REF!</v>
      </c>
      <c r="EY16" s="16" t="e">
        <f t="shared" si="63"/>
        <v>#REF!</v>
      </c>
      <c r="EZ16" s="16">
        <f t="shared" si="64"/>
        <v>322.45</v>
      </c>
      <c r="FA16" s="16" t="e">
        <f t="shared" si="65"/>
        <v>#REF!</v>
      </c>
      <c r="FB16" s="22">
        <f t="shared" si="66"/>
        <v>0.26916666666666667</v>
      </c>
      <c r="FC16" s="22">
        <f t="shared" si="67"/>
        <v>8.3333333333333329E-2</v>
      </c>
      <c r="FD16" s="22">
        <f t="shared" si="68"/>
        <v>1.5383333333333333</v>
      </c>
      <c r="FE16" s="22">
        <f t="shared" si="69"/>
        <v>0.35000000000000003</v>
      </c>
      <c r="FF16" s="22">
        <f t="shared" si="70"/>
        <v>2.2408333333333337</v>
      </c>
      <c r="FG16" s="23">
        <f t="shared" si="71"/>
        <v>3.7151702786377707</v>
      </c>
      <c r="FH16" s="23">
        <f t="shared" si="72"/>
        <v>12</v>
      </c>
      <c r="FI16" s="23">
        <f t="shared" si="73"/>
        <v>0.65005417118093167</v>
      </c>
      <c r="FJ16" s="23">
        <f t="shared" si="74"/>
        <v>2.8571428571428572</v>
      </c>
      <c r="FK16" s="23">
        <f t="shared" si="75"/>
        <v>0.44626255113425056</v>
      </c>
    </row>
    <row r="17" spans="1:189" s="24" customFormat="1" x14ac:dyDescent="0.2">
      <c r="A17" s="2" t="s">
        <v>198</v>
      </c>
      <c r="B17" s="2" t="s">
        <v>202</v>
      </c>
      <c r="C17" s="3">
        <v>2503</v>
      </c>
      <c r="D17" s="2" t="s">
        <v>149</v>
      </c>
      <c r="E17" s="61" t="s">
        <v>203</v>
      </c>
      <c r="F17" s="4" t="s">
        <v>190</v>
      </c>
      <c r="G17" s="2" t="s">
        <v>152</v>
      </c>
      <c r="H17" s="5" t="s">
        <v>153</v>
      </c>
      <c r="I17" s="6">
        <v>40359</v>
      </c>
      <c r="J17" s="6">
        <v>41090</v>
      </c>
      <c r="K17" s="6" t="s">
        <v>159</v>
      </c>
      <c r="L17" s="7">
        <v>15</v>
      </c>
      <c r="M17" s="8">
        <f t="shared" si="0"/>
        <v>5475</v>
      </c>
      <c r="N17" s="10"/>
      <c r="O17" s="10">
        <v>225.66</v>
      </c>
      <c r="P17" s="10"/>
      <c r="Q17" s="10">
        <v>293.95999999999998</v>
      </c>
      <c r="R17" s="10">
        <v>293.95999999999998</v>
      </c>
      <c r="S17" s="10">
        <f t="shared" si="76"/>
        <v>253.71453196347031</v>
      </c>
      <c r="T17" s="11">
        <v>0.8</v>
      </c>
      <c r="U17" s="12">
        <f t="shared" si="1"/>
        <v>4380</v>
      </c>
      <c r="V17" s="13">
        <v>0.23</v>
      </c>
      <c r="W17" s="13">
        <v>2</v>
      </c>
      <c r="X17" s="14"/>
      <c r="Y17" s="14"/>
      <c r="Z17" s="14"/>
      <c r="AA17" s="14"/>
      <c r="AB17" s="14"/>
      <c r="AC17" s="14">
        <v>1</v>
      </c>
      <c r="AD17" s="14"/>
      <c r="AE17" s="14"/>
      <c r="AF17" s="14"/>
      <c r="AG17" s="14">
        <v>3.96</v>
      </c>
      <c r="AH17" s="14"/>
      <c r="AI17" s="14">
        <v>12</v>
      </c>
      <c r="AJ17" s="14">
        <v>1</v>
      </c>
      <c r="AK17" s="14"/>
      <c r="AL17" s="14"/>
      <c r="AM17" s="13">
        <f t="shared" si="2"/>
        <v>20.189999999999998</v>
      </c>
      <c r="AN17" s="13">
        <f t="shared" si="3"/>
        <v>2.23</v>
      </c>
      <c r="AO17" s="13">
        <f t="shared" si="4"/>
        <v>1</v>
      </c>
      <c r="AP17" s="13">
        <f t="shared" si="5"/>
        <v>15.96</v>
      </c>
      <c r="AQ17" s="13">
        <f t="shared" si="6"/>
        <v>1</v>
      </c>
      <c r="AR17" s="51">
        <v>14500</v>
      </c>
      <c r="AS17" s="51">
        <v>102000</v>
      </c>
      <c r="AT17" s="51"/>
      <c r="AU17" s="51"/>
      <c r="AV17" s="51"/>
      <c r="AW17" s="51"/>
      <c r="AX17" s="51"/>
      <c r="AY17" s="51">
        <v>42000</v>
      </c>
      <c r="AZ17" s="51"/>
      <c r="BA17" s="51"/>
      <c r="BB17" s="51"/>
      <c r="BC17" s="51">
        <v>132930</v>
      </c>
      <c r="BD17" s="51"/>
      <c r="BE17" s="51">
        <v>321000</v>
      </c>
      <c r="BF17" s="51">
        <v>25000</v>
      </c>
      <c r="BG17" s="51"/>
      <c r="BH17" s="51"/>
      <c r="BI17" s="17">
        <f t="shared" si="77"/>
        <v>0</v>
      </c>
      <c r="BJ17" s="50">
        <f t="shared" si="78"/>
        <v>637430</v>
      </c>
      <c r="BK17" s="50"/>
      <c r="BL17" s="50">
        <f t="shared" si="79"/>
        <v>116500</v>
      </c>
      <c r="BM17" s="50">
        <f t="shared" si="80"/>
        <v>42000</v>
      </c>
      <c r="BN17" s="50">
        <f t="shared" si="7"/>
        <v>453930</v>
      </c>
      <c r="BO17" s="50">
        <f t="shared" si="8"/>
        <v>25000</v>
      </c>
      <c r="BP17" s="50">
        <f t="shared" si="9"/>
        <v>63043.47826086956</v>
      </c>
      <c r="BQ17" s="50">
        <f t="shared" si="10"/>
        <v>51000</v>
      </c>
      <c r="BR17" s="50" t="str">
        <f t="shared" si="11"/>
        <v/>
      </c>
      <c r="BS17" s="50" t="str">
        <f t="shared" si="12"/>
        <v/>
      </c>
      <c r="BT17" s="50" t="str">
        <f t="shared" si="13"/>
        <v/>
      </c>
      <c r="BU17" s="50" t="str">
        <f t="shared" si="14"/>
        <v/>
      </c>
      <c r="BV17" s="50" t="str">
        <f t="shared" si="15"/>
        <v/>
      </c>
      <c r="BW17" s="50">
        <f t="shared" si="16"/>
        <v>42000</v>
      </c>
      <c r="BX17" s="50" t="str">
        <f t="shared" si="17"/>
        <v/>
      </c>
      <c r="BY17" s="50" t="str">
        <f t="shared" si="18"/>
        <v/>
      </c>
      <c r="BZ17" s="50" t="str">
        <f t="shared" si="19"/>
        <v/>
      </c>
      <c r="CA17" s="50">
        <f t="shared" si="20"/>
        <v>33568.181818181816</v>
      </c>
      <c r="CB17" s="50" t="str">
        <f t="shared" si="21"/>
        <v/>
      </c>
      <c r="CC17" s="50">
        <f t="shared" si="22"/>
        <v>26750</v>
      </c>
      <c r="CD17" s="50">
        <f t="shared" si="23"/>
        <v>25000</v>
      </c>
      <c r="CE17" s="50" t="str">
        <f t="shared" si="24"/>
        <v/>
      </c>
      <c r="CF17" s="50" t="str">
        <f t="shared" si="25"/>
        <v/>
      </c>
      <c r="CG17" s="50">
        <f t="shared" si="26"/>
        <v>31571.570084200102</v>
      </c>
      <c r="CH17" s="64">
        <f t="shared" si="27"/>
        <v>52242.152466367712</v>
      </c>
      <c r="CI17" s="64">
        <f t="shared" si="28"/>
        <v>42000</v>
      </c>
      <c r="CJ17" s="64">
        <f t="shared" si="29"/>
        <v>28441.729323308267</v>
      </c>
      <c r="CK17" s="64">
        <f t="shared" si="30"/>
        <v>25000</v>
      </c>
      <c r="CL17" s="65">
        <v>74054.3</v>
      </c>
      <c r="CM17" s="50">
        <v>106450.2</v>
      </c>
      <c r="CN17" s="64">
        <f t="shared" si="31"/>
        <v>180504.5</v>
      </c>
      <c r="CO17" s="19">
        <f t="shared" si="81"/>
        <v>0.28317540749572501</v>
      </c>
      <c r="CP17" s="64" t="str">
        <f t="shared" si="90"/>
        <v/>
      </c>
      <c r="CQ17" s="64">
        <f t="shared" si="91"/>
        <v>180504.5</v>
      </c>
      <c r="CR17" s="50">
        <f t="shared" si="82"/>
        <v>817934.5</v>
      </c>
      <c r="CS17" s="65"/>
      <c r="CT17" s="65">
        <v>56400</v>
      </c>
      <c r="CU17" s="51">
        <f t="shared" si="32"/>
        <v>56400</v>
      </c>
      <c r="CV17" s="65">
        <v>12800</v>
      </c>
      <c r="CW17" s="65"/>
      <c r="CX17" s="64">
        <f>SUM(CV17:CW17)</f>
        <v>12800</v>
      </c>
      <c r="CY17" s="64">
        <f t="shared" si="33"/>
        <v>650230</v>
      </c>
      <c r="CZ17" s="65">
        <v>2250</v>
      </c>
      <c r="DA17" s="65">
        <v>4800</v>
      </c>
      <c r="DB17" s="51">
        <v>56160</v>
      </c>
      <c r="DC17" s="51"/>
      <c r="DD17" s="65">
        <v>3000</v>
      </c>
      <c r="DE17" s="65"/>
      <c r="DF17" s="65">
        <v>4680</v>
      </c>
      <c r="DG17" s="65">
        <v>18760</v>
      </c>
      <c r="DH17" s="51">
        <v>34800</v>
      </c>
      <c r="DI17" s="14"/>
      <c r="DJ17" s="51"/>
      <c r="DK17" s="64">
        <f t="shared" si="83"/>
        <v>124450</v>
      </c>
      <c r="DL17" s="51">
        <f t="shared" si="84"/>
        <v>1011584.5</v>
      </c>
      <c r="DM17" s="316">
        <f t="shared" si="85"/>
        <v>9.8543571990278606E-2</v>
      </c>
      <c r="DN17" s="51">
        <v>99685.15</v>
      </c>
      <c r="DO17" s="51">
        <f t="shared" si="86"/>
        <v>1111269.6499999999</v>
      </c>
      <c r="DP17" s="51">
        <v>18905</v>
      </c>
      <c r="DQ17" s="51">
        <f t="shared" si="34"/>
        <v>1092364.6499999999</v>
      </c>
      <c r="DR17" s="64">
        <f t="shared" si="35"/>
        <v>116500</v>
      </c>
      <c r="DS17" s="64">
        <f t="shared" si="36"/>
        <v>42000</v>
      </c>
      <c r="DT17" s="64">
        <f t="shared" si="37"/>
        <v>453930</v>
      </c>
      <c r="DU17" s="64">
        <f t="shared" si="38"/>
        <v>25000</v>
      </c>
      <c r="DV17" s="64">
        <f t="shared" si="87"/>
        <v>637430</v>
      </c>
      <c r="DW17" s="64">
        <f t="shared" si="88"/>
        <v>180504.5</v>
      </c>
      <c r="DX17" s="64">
        <f>CX17</f>
        <v>12800</v>
      </c>
      <c r="DY17" s="64">
        <f t="shared" si="39"/>
        <v>56400</v>
      </c>
      <c r="DZ17" s="64">
        <f t="shared" si="40"/>
        <v>124450</v>
      </c>
      <c r="EA17" s="64">
        <f t="shared" si="41"/>
        <v>99685.15</v>
      </c>
      <c r="EB17" s="64">
        <f t="shared" si="42"/>
        <v>1111269.6499999999</v>
      </c>
      <c r="EC17" s="19">
        <f t="shared" si="43"/>
        <v>0.57360515514843768</v>
      </c>
      <c r="ED17" s="19">
        <f t="shared" si="44"/>
        <v>0.1624308735508074</v>
      </c>
      <c r="EE17" s="19">
        <f t="shared" si="45"/>
        <v>1.1518356503302327E-2</v>
      </c>
      <c r="EF17" s="19">
        <f t="shared" si="46"/>
        <v>5.0752758342675883E-2</v>
      </c>
      <c r="EG17" s="19">
        <f t="shared" si="47"/>
        <v>0.11198902084656052</v>
      </c>
      <c r="EH17" s="20">
        <f t="shared" si="89"/>
        <v>8.9703835608216251E-2</v>
      </c>
      <c r="EI17" s="21">
        <f t="shared" si="48"/>
        <v>1</v>
      </c>
      <c r="EJ17" s="16">
        <f t="shared" si="49"/>
        <v>21.278538812785389</v>
      </c>
      <c r="EK17" s="16">
        <f t="shared" si="50"/>
        <v>7.6712328767123283</v>
      </c>
      <c r="EL17" s="16">
        <f t="shared" si="51"/>
        <v>82.909589041095884</v>
      </c>
      <c r="EM17" s="16">
        <f t="shared" si="52"/>
        <v>4.5662100456621006</v>
      </c>
      <c r="EN17" s="16">
        <f t="shared" si="53"/>
        <v>116.42557077625571</v>
      </c>
      <c r="EO17" s="16">
        <f t="shared" si="54"/>
        <v>32.968858447488586</v>
      </c>
      <c r="EP17" s="16">
        <f t="shared" si="55"/>
        <v>2.3378995433789953</v>
      </c>
      <c r="EQ17" s="16">
        <f t="shared" si="56"/>
        <v>149.39442922374428</v>
      </c>
      <c r="ER17" s="16">
        <f t="shared" si="57"/>
        <v>118.76347031963471</v>
      </c>
      <c r="ES17" s="2" t="s">
        <v>152</v>
      </c>
      <c r="ET17" s="16">
        <f t="shared" si="58"/>
        <v>10.301369863013699</v>
      </c>
      <c r="EU17" s="317">
        <f t="shared" si="59"/>
        <v>22.730593607305938</v>
      </c>
      <c r="EV17" s="16">
        <f t="shared" si="60"/>
        <v>18.207333333333331</v>
      </c>
      <c r="EW17" s="16">
        <f t="shared" si="61"/>
        <v>32.968858447488586</v>
      </c>
      <c r="EX17" s="16">
        <f t="shared" si="62"/>
        <v>202.97162557077624</v>
      </c>
      <c r="EY17" s="16">
        <f t="shared" si="63"/>
        <v>253.71453196347028</v>
      </c>
      <c r="EZ17" s="16">
        <f t="shared" si="64"/>
        <v>293.95999999999998</v>
      </c>
      <c r="FA17" s="16">
        <f t="shared" si="65"/>
        <v>-90.98837442922374</v>
      </c>
      <c r="FB17" s="22">
        <f t="shared" si="66"/>
        <v>0.14866666666666667</v>
      </c>
      <c r="FC17" s="22">
        <f t="shared" si="67"/>
        <v>6.6666666666666666E-2</v>
      </c>
      <c r="FD17" s="22">
        <f t="shared" si="68"/>
        <v>1.0640000000000001</v>
      </c>
      <c r="FE17" s="22">
        <f t="shared" si="69"/>
        <v>6.6666666666666666E-2</v>
      </c>
      <c r="FF17" s="22">
        <f t="shared" si="70"/>
        <v>1.3459999999999999</v>
      </c>
      <c r="FG17" s="23">
        <f t="shared" si="71"/>
        <v>6.7264573991031389</v>
      </c>
      <c r="FH17" s="23">
        <f t="shared" si="72"/>
        <v>15</v>
      </c>
      <c r="FI17" s="23">
        <f t="shared" si="73"/>
        <v>0.93984962406015038</v>
      </c>
      <c r="FJ17" s="23">
        <f t="shared" si="74"/>
        <v>15</v>
      </c>
      <c r="FK17" s="23">
        <f t="shared" si="75"/>
        <v>0.74294205052005957</v>
      </c>
    </row>
    <row r="18" spans="1:189" s="24" customFormat="1" x14ac:dyDescent="0.2">
      <c r="A18" s="2" t="s">
        <v>154</v>
      </c>
      <c r="B18" s="2" t="s">
        <v>204</v>
      </c>
      <c r="C18" s="3">
        <v>2503</v>
      </c>
      <c r="D18" s="2" t="s">
        <v>149</v>
      </c>
      <c r="E18" s="61" t="s">
        <v>167</v>
      </c>
      <c r="F18" s="4" t="s">
        <v>157</v>
      </c>
      <c r="G18" s="2" t="s">
        <v>152</v>
      </c>
      <c r="H18" s="5" t="s">
        <v>158</v>
      </c>
      <c r="I18" s="6">
        <v>39629</v>
      </c>
      <c r="J18" s="6">
        <v>40724</v>
      </c>
      <c r="K18" s="6" t="s">
        <v>205</v>
      </c>
      <c r="L18" s="7">
        <v>16</v>
      </c>
      <c r="M18" s="8">
        <f t="shared" si="0"/>
        <v>5840</v>
      </c>
      <c r="N18" s="9">
        <f>43922+35791.5</f>
        <v>79713.5</v>
      </c>
      <c r="O18" s="10">
        <v>314.77</v>
      </c>
      <c r="P18" s="10">
        <v>303.54000000000002</v>
      </c>
      <c r="Q18" s="10">
        <v>283.39999999999998</v>
      </c>
      <c r="R18" s="10">
        <v>283.39999999999998</v>
      </c>
      <c r="S18" s="10">
        <f t="shared" si="76"/>
        <v>239.18640410958909</v>
      </c>
      <c r="T18" s="11">
        <v>0.9</v>
      </c>
      <c r="U18" s="12">
        <f t="shared" si="1"/>
        <v>5256</v>
      </c>
      <c r="V18" s="13"/>
      <c r="W18" s="13">
        <v>1</v>
      </c>
      <c r="X18" s="13">
        <v>1</v>
      </c>
      <c r="Y18" s="13">
        <v>1</v>
      </c>
      <c r="Z18" s="13"/>
      <c r="AA18" s="13"/>
      <c r="AB18" s="13"/>
      <c r="AC18" s="14">
        <v>1.33</v>
      </c>
      <c r="AD18" s="13"/>
      <c r="AE18" s="13"/>
      <c r="AF18" s="14">
        <v>2</v>
      </c>
      <c r="AG18" s="13"/>
      <c r="AH18" s="14">
        <v>8</v>
      </c>
      <c r="AI18" s="14">
        <v>5</v>
      </c>
      <c r="AJ18" s="14">
        <v>1</v>
      </c>
      <c r="AK18" s="14">
        <v>1.25</v>
      </c>
      <c r="AL18" s="14">
        <v>2.84</v>
      </c>
      <c r="AM18" s="13">
        <f t="shared" si="2"/>
        <v>24.419999999999998</v>
      </c>
      <c r="AN18" s="13">
        <f t="shared" si="3"/>
        <v>2</v>
      </c>
      <c r="AO18" s="13">
        <f t="shared" si="4"/>
        <v>2.33</v>
      </c>
      <c r="AP18" s="13">
        <f t="shared" si="5"/>
        <v>15</v>
      </c>
      <c r="AQ18" s="13">
        <f t="shared" si="6"/>
        <v>2.25</v>
      </c>
      <c r="AR18" s="51"/>
      <c r="AS18" s="51">
        <v>55425.66</v>
      </c>
      <c r="AT18" s="51">
        <v>43709</v>
      </c>
      <c r="AU18" s="51">
        <v>51500</v>
      </c>
      <c r="AV18" s="51"/>
      <c r="AW18" s="51"/>
      <c r="AX18" s="51"/>
      <c r="AY18" s="51">
        <f>21855+29126.52</f>
        <v>50981.520000000004</v>
      </c>
      <c r="AZ18" s="51"/>
      <c r="BA18" s="51"/>
      <c r="BB18" s="51">
        <v>58848.9</v>
      </c>
      <c r="BC18" s="51"/>
      <c r="BD18" s="51">
        <v>176461.54</v>
      </c>
      <c r="BE18" s="51">
        <v>133600.60999999999</v>
      </c>
      <c r="BF18" s="51">
        <v>33955.300000000003</v>
      </c>
      <c r="BG18" s="51">
        <f>27056.9+8659.76</f>
        <v>35716.660000000003</v>
      </c>
      <c r="BH18" s="51">
        <v>27171.42</v>
      </c>
      <c r="BI18" s="17">
        <f t="shared" si="77"/>
        <v>4.244213429885782E-2</v>
      </c>
      <c r="BJ18" s="50">
        <f t="shared" si="78"/>
        <v>667370.6100000001</v>
      </c>
      <c r="BK18" s="50"/>
      <c r="BL18" s="50">
        <f t="shared" si="79"/>
        <v>99134.66</v>
      </c>
      <c r="BM18" s="50">
        <f t="shared" si="80"/>
        <v>102481.52</v>
      </c>
      <c r="BN18" s="50">
        <f t="shared" si="7"/>
        <v>368911.05</v>
      </c>
      <c r="BO18" s="50">
        <f t="shared" si="8"/>
        <v>69671.960000000006</v>
      </c>
      <c r="BP18" s="50" t="str">
        <f t="shared" si="9"/>
        <v/>
      </c>
      <c r="BQ18" s="50">
        <f t="shared" si="10"/>
        <v>55425.66</v>
      </c>
      <c r="BR18" s="50">
        <f t="shared" si="11"/>
        <v>43709</v>
      </c>
      <c r="BS18" s="50">
        <f t="shared" si="12"/>
        <v>51500</v>
      </c>
      <c r="BT18" s="50" t="str">
        <f t="shared" si="13"/>
        <v/>
      </c>
      <c r="BU18" s="50" t="str">
        <f t="shared" si="14"/>
        <v/>
      </c>
      <c r="BV18" s="50" t="str">
        <f t="shared" si="15"/>
        <v/>
      </c>
      <c r="BW18" s="50">
        <f t="shared" si="16"/>
        <v>38331.969924812031</v>
      </c>
      <c r="BX18" s="50" t="str">
        <f t="shared" si="17"/>
        <v/>
      </c>
      <c r="BY18" s="50" t="str">
        <f t="shared" si="18"/>
        <v/>
      </c>
      <c r="BZ18" s="50">
        <f t="shared" si="19"/>
        <v>29424.45</v>
      </c>
      <c r="CA18" s="50" t="str">
        <f t="shared" si="20"/>
        <v/>
      </c>
      <c r="CB18" s="50">
        <f t="shared" si="21"/>
        <v>22057.692500000001</v>
      </c>
      <c r="CC18" s="50">
        <f t="shared" si="22"/>
        <v>26720.121999999996</v>
      </c>
      <c r="CD18" s="50">
        <f t="shared" si="23"/>
        <v>33955.300000000003</v>
      </c>
      <c r="CE18" s="50">
        <f t="shared" si="24"/>
        <v>28573.328000000001</v>
      </c>
      <c r="CF18" s="50">
        <f t="shared" si="25"/>
        <v>9567.4014084507035</v>
      </c>
      <c r="CG18" s="50">
        <f t="shared" si="26"/>
        <v>27328.853808353815</v>
      </c>
      <c r="CH18" s="64">
        <f t="shared" si="27"/>
        <v>49567.33</v>
      </c>
      <c r="CI18" s="64">
        <f t="shared" si="28"/>
        <v>43983.484978540771</v>
      </c>
      <c r="CJ18" s="64">
        <f t="shared" si="29"/>
        <v>24594.07</v>
      </c>
      <c r="CK18" s="64">
        <f t="shared" si="30"/>
        <v>30965.315555555557</v>
      </c>
      <c r="CL18" s="65">
        <v>97269</v>
      </c>
      <c r="CM18" s="50">
        <v>161843</v>
      </c>
      <c r="CN18" s="64">
        <f t="shared" si="31"/>
        <v>259112</v>
      </c>
      <c r="CO18" s="324">
        <f t="shared" si="81"/>
        <v>0.38825803251959201</v>
      </c>
      <c r="CP18" s="64" t="str">
        <f t="shared" si="90"/>
        <v/>
      </c>
      <c r="CQ18" s="64">
        <f t="shared" si="91"/>
        <v>259112</v>
      </c>
      <c r="CR18" s="50">
        <f t="shared" si="82"/>
        <v>926482.6100000001</v>
      </c>
      <c r="CS18" s="65">
        <v>14378</v>
      </c>
      <c r="CT18" s="65">
        <v>43242</v>
      </c>
      <c r="CU18" s="51">
        <f t="shared" si="32"/>
        <v>57620</v>
      </c>
      <c r="CV18" s="65">
        <v>13903</v>
      </c>
      <c r="CW18" s="65"/>
      <c r="CX18" s="64">
        <f>SUM(CV18:CW18)</f>
        <v>13903</v>
      </c>
      <c r="CY18" s="64">
        <f t="shared" si="33"/>
        <v>681273.6100000001</v>
      </c>
      <c r="CZ18" s="65">
        <v>3773</v>
      </c>
      <c r="DA18" s="65">
        <v>3790</v>
      </c>
      <c r="DB18" s="51">
        <v>30096</v>
      </c>
      <c r="DC18" s="51">
        <v>4210</v>
      </c>
      <c r="DD18" s="65"/>
      <c r="DE18" s="65">
        <v>175</v>
      </c>
      <c r="DF18" s="65">
        <v>628</v>
      </c>
      <c r="DG18" s="65">
        <v>8482</v>
      </c>
      <c r="DH18" s="51">
        <v>21375</v>
      </c>
      <c r="DI18" s="13"/>
      <c r="DJ18" s="51"/>
      <c r="DK18" s="64">
        <f t="shared" si="83"/>
        <v>72529</v>
      </c>
      <c r="DL18" s="51">
        <f t="shared" si="84"/>
        <v>1070534.6100000001</v>
      </c>
      <c r="DM18" s="316">
        <f t="shared" si="85"/>
        <v>0.17433264488291508</v>
      </c>
      <c r="DN18" s="51">
        <v>186629.13</v>
      </c>
      <c r="DO18" s="51">
        <f t="shared" si="86"/>
        <v>1257163.7400000002</v>
      </c>
      <c r="DP18" s="51">
        <v>18537</v>
      </c>
      <c r="DQ18" s="51">
        <f t="shared" si="34"/>
        <v>1238626.7400000002</v>
      </c>
      <c r="DR18" s="64">
        <f t="shared" si="35"/>
        <v>99134.66</v>
      </c>
      <c r="DS18" s="64">
        <f t="shared" si="36"/>
        <v>102481.52</v>
      </c>
      <c r="DT18" s="64">
        <f t="shared" si="37"/>
        <v>368911.05</v>
      </c>
      <c r="DU18" s="64">
        <f t="shared" si="38"/>
        <v>69671.960000000006</v>
      </c>
      <c r="DV18" s="64">
        <f t="shared" si="87"/>
        <v>667370.6100000001</v>
      </c>
      <c r="DW18" s="64">
        <f t="shared" si="88"/>
        <v>259112</v>
      </c>
      <c r="DX18" s="64">
        <f>CX18</f>
        <v>13903</v>
      </c>
      <c r="DY18" s="64">
        <f t="shared" si="39"/>
        <v>57620</v>
      </c>
      <c r="DZ18" s="64">
        <f t="shared" si="40"/>
        <v>72529</v>
      </c>
      <c r="EA18" s="64">
        <f t="shared" si="41"/>
        <v>186629.13</v>
      </c>
      <c r="EB18" s="64">
        <f t="shared" si="42"/>
        <v>1257163.7400000002</v>
      </c>
      <c r="EC18" s="19">
        <f t="shared" si="43"/>
        <v>0.53085416701566657</v>
      </c>
      <c r="ED18" s="19">
        <f t="shared" si="44"/>
        <v>0.20610839444032958</v>
      </c>
      <c r="EE18" s="19">
        <f t="shared" si="45"/>
        <v>1.1059020840037908E-2</v>
      </c>
      <c r="EF18" s="19">
        <f t="shared" si="46"/>
        <v>4.5833329554987E-2</v>
      </c>
      <c r="EG18" s="19">
        <f t="shared" si="47"/>
        <v>5.7692564375106767E-2</v>
      </c>
      <c r="EH18" s="20">
        <f t="shared" si="89"/>
        <v>0.14845252377387211</v>
      </c>
      <c r="EI18" s="21">
        <f t="shared" si="48"/>
        <v>0.99999999999999989</v>
      </c>
      <c r="EJ18" s="16">
        <f t="shared" si="49"/>
        <v>16.975113013698632</v>
      </c>
      <c r="EK18" s="16">
        <f t="shared" si="50"/>
        <v>17.548205479452054</v>
      </c>
      <c r="EL18" s="16">
        <f t="shared" si="51"/>
        <v>63.169700342465752</v>
      </c>
      <c r="EM18" s="16">
        <f t="shared" si="52"/>
        <v>11.930130136986303</v>
      </c>
      <c r="EN18" s="16">
        <f t="shared" si="53"/>
        <v>114.27578938356166</v>
      </c>
      <c r="EO18" s="16">
        <f t="shared" si="54"/>
        <v>44.368493150684934</v>
      </c>
      <c r="EP18" s="16">
        <f t="shared" si="55"/>
        <v>2.3806506849315068</v>
      </c>
      <c r="EQ18" s="16">
        <f t="shared" si="56"/>
        <v>158.6442825342466</v>
      </c>
      <c r="ER18" s="16">
        <f t="shared" si="57"/>
        <v>116.65644006849317</v>
      </c>
      <c r="ES18" s="2" t="s">
        <v>152</v>
      </c>
      <c r="ET18" s="16">
        <f t="shared" si="58"/>
        <v>9.8664383561643838</v>
      </c>
      <c r="EU18" s="16">
        <f t="shared" si="59"/>
        <v>12.419349315068493</v>
      </c>
      <c r="EV18" s="16">
        <f t="shared" si="60"/>
        <v>31.957042808219178</v>
      </c>
      <c r="EW18" s="16">
        <f t="shared" si="61"/>
        <v>44.368493150684934</v>
      </c>
      <c r="EX18" s="16">
        <f t="shared" si="62"/>
        <v>215.26776369863018</v>
      </c>
      <c r="EY18" s="16">
        <f t="shared" si="63"/>
        <v>239.18640410958909</v>
      </c>
      <c r="EZ18" s="16">
        <f t="shared" si="64"/>
        <v>283.39999999999998</v>
      </c>
      <c r="FA18" s="16">
        <f t="shared" si="65"/>
        <v>-68.132236301369801</v>
      </c>
      <c r="FB18" s="22">
        <f t="shared" si="66"/>
        <v>0.125</v>
      </c>
      <c r="FC18" s="22">
        <f t="shared" si="67"/>
        <v>0.145625</v>
      </c>
      <c r="FD18" s="22">
        <f t="shared" si="68"/>
        <v>0.9375</v>
      </c>
      <c r="FE18" s="22">
        <f t="shared" si="69"/>
        <v>0.140625</v>
      </c>
      <c r="FF18" s="22">
        <f t="shared" si="70"/>
        <v>1.5262499999999999</v>
      </c>
      <c r="FG18" s="23">
        <f t="shared" si="71"/>
        <v>8</v>
      </c>
      <c r="FH18" s="23">
        <f t="shared" si="72"/>
        <v>6.866952789699571</v>
      </c>
      <c r="FI18" s="23">
        <f t="shared" si="73"/>
        <v>1.0666666666666667</v>
      </c>
      <c r="FJ18" s="23">
        <f t="shared" si="74"/>
        <v>7.1111111111111107</v>
      </c>
      <c r="FK18" s="23">
        <f t="shared" si="75"/>
        <v>0.65520065520065529</v>
      </c>
    </row>
    <row r="19" spans="1:189" s="24" customFormat="1" x14ac:dyDescent="0.2">
      <c r="A19" s="2" t="s">
        <v>154</v>
      </c>
      <c r="B19" s="2" t="s">
        <v>206</v>
      </c>
      <c r="C19" s="3">
        <v>2512</v>
      </c>
      <c r="D19" s="2" t="s">
        <v>149</v>
      </c>
      <c r="E19" s="61" t="s">
        <v>207</v>
      </c>
      <c r="F19" s="4" t="s">
        <v>157</v>
      </c>
      <c r="G19" s="2" t="s">
        <v>152</v>
      </c>
      <c r="H19" s="5" t="s">
        <v>208</v>
      </c>
      <c r="I19" s="6">
        <v>40359</v>
      </c>
      <c r="J19" s="6">
        <v>41090</v>
      </c>
      <c r="K19" s="6" t="s">
        <v>205</v>
      </c>
      <c r="L19" s="7">
        <v>20</v>
      </c>
      <c r="M19" s="8">
        <f t="shared" si="0"/>
        <v>7300</v>
      </c>
      <c r="N19" s="9">
        <f>110351+40457.36</f>
        <v>150808.35999999999</v>
      </c>
      <c r="O19" s="10">
        <v>304.77</v>
      </c>
      <c r="P19" s="10">
        <v>418.3</v>
      </c>
      <c r="Q19" s="10">
        <v>341.18</v>
      </c>
      <c r="R19" s="10">
        <v>341.18</v>
      </c>
      <c r="S19" s="10" t="e">
        <f t="shared" si="76"/>
        <v>#REF!</v>
      </c>
      <c r="T19" s="11">
        <v>0.9</v>
      </c>
      <c r="U19" s="12">
        <f t="shared" si="1"/>
        <v>6570</v>
      </c>
      <c r="V19" s="13"/>
      <c r="W19" s="13">
        <v>1</v>
      </c>
      <c r="X19" s="13">
        <v>1</v>
      </c>
      <c r="Y19" s="13">
        <v>1</v>
      </c>
      <c r="Z19" s="13"/>
      <c r="AA19" s="13"/>
      <c r="AB19" s="13"/>
      <c r="AC19" s="14">
        <v>1.58</v>
      </c>
      <c r="AD19" s="13"/>
      <c r="AE19" s="13"/>
      <c r="AF19" s="14">
        <v>2</v>
      </c>
      <c r="AG19" s="13"/>
      <c r="AH19" s="14">
        <v>8.5</v>
      </c>
      <c r="AI19" s="14">
        <v>5</v>
      </c>
      <c r="AJ19" s="14">
        <v>1</v>
      </c>
      <c r="AK19" s="14">
        <v>1.5</v>
      </c>
      <c r="AL19" s="14">
        <v>1.98</v>
      </c>
      <c r="AM19" s="13">
        <f t="shared" si="2"/>
        <v>24.56</v>
      </c>
      <c r="AN19" s="13">
        <f t="shared" si="3"/>
        <v>2</v>
      </c>
      <c r="AO19" s="13">
        <f t="shared" si="4"/>
        <v>2.58</v>
      </c>
      <c r="AP19" s="13">
        <f t="shared" si="5"/>
        <v>15.5</v>
      </c>
      <c r="AQ19" s="13">
        <f t="shared" si="6"/>
        <v>2.5</v>
      </c>
      <c r="AR19" s="51"/>
      <c r="AS19" s="51">
        <v>64154</v>
      </c>
      <c r="AT19" s="51">
        <v>41200</v>
      </c>
      <c r="AU19" s="51">
        <v>56275</v>
      </c>
      <c r="AV19" s="51"/>
      <c r="AW19" s="51"/>
      <c r="AX19" s="51"/>
      <c r="AY19" s="51">
        <f>75594.95+26847.14</f>
        <v>102442.09</v>
      </c>
      <c r="AZ19" s="51"/>
      <c r="BA19" s="51"/>
      <c r="BB19" s="51">
        <v>58361.8</v>
      </c>
      <c r="BC19" s="51"/>
      <c r="BD19" s="51">
        <v>211777.03</v>
      </c>
      <c r="BE19" s="51">
        <v>128578.31</v>
      </c>
      <c r="BF19" s="51">
        <v>34612.92</v>
      </c>
      <c r="BG19" s="51">
        <f>23180.67+13119</f>
        <v>36299.67</v>
      </c>
      <c r="BH19" s="51">
        <v>20532.990000000002</v>
      </c>
      <c r="BI19" s="17">
        <f t="shared" si="77"/>
        <v>2.7985507771410151E-2</v>
      </c>
      <c r="BJ19" s="50">
        <f t="shared" si="78"/>
        <v>754233.81</v>
      </c>
      <c r="BK19" s="50" t="e">
        <f>#REF!</f>
        <v>#REF!</v>
      </c>
      <c r="BL19" s="50">
        <f t="shared" si="79"/>
        <v>105354</v>
      </c>
      <c r="BM19" s="50">
        <f t="shared" si="80"/>
        <v>158717.09</v>
      </c>
      <c r="BN19" s="50">
        <f t="shared" si="7"/>
        <v>398717.14</v>
      </c>
      <c r="BO19" s="50">
        <f t="shared" si="8"/>
        <v>70912.59</v>
      </c>
      <c r="BP19" s="50" t="str">
        <f t="shared" si="9"/>
        <v/>
      </c>
      <c r="BQ19" s="50">
        <f t="shared" si="10"/>
        <v>64154</v>
      </c>
      <c r="BR19" s="50">
        <f t="shared" si="11"/>
        <v>41200</v>
      </c>
      <c r="BS19" s="50">
        <f t="shared" si="12"/>
        <v>56275</v>
      </c>
      <c r="BT19" s="50" t="str">
        <f t="shared" si="13"/>
        <v/>
      </c>
      <c r="BU19" s="50" t="str">
        <f t="shared" si="14"/>
        <v/>
      </c>
      <c r="BV19" s="50" t="str">
        <f t="shared" si="15"/>
        <v/>
      </c>
      <c r="BW19" s="50">
        <f t="shared" si="16"/>
        <v>64836.765822784808</v>
      </c>
      <c r="BX19" s="50" t="str">
        <f t="shared" si="17"/>
        <v/>
      </c>
      <c r="BY19" s="50" t="str">
        <f t="shared" si="18"/>
        <v/>
      </c>
      <c r="BZ19" s="50">
        <f t="shared" si="19"/>
        <v>29180.9</v>
      </c>
      <c r="CA19" s="50" t="str">
        <f t="shared" si="20"/>
        <v/>
      </c>
      <c r="CB19" s="50">
        <f t="shared" si="21"/>
        <v>24914.944705882353</v>
      </c>
      <c r="CC19" s="50">
        <f t="shared" si="22"/>
        <v>25715.662</v>
      </c>
      <c r="CD19" s="50">
        <f t="shared" si="23"/>
        <v>34612.92</v>
      </c>
      <c r="CE19" s="50">
        <f t="shared" si="24"/>
        <v>24199.78</v>
      </c>
      <c r="CF19" s="50">
        <f t="shared" si="25"/>
        <v>10370.19696969697</v>
      </c>
      <c r="CG19" s="50">
        <f t="shared" si="26"/>
        <v>30709.845684039094</v>
      </c>
      <c r="CH19" s="64">
        <f t="shared" si="27"/>
        <v>52677</v>
      </c>
      <c r="CI19" s="318">
        <f t="shared" si="28"/>
        <v>61518.251937984496</v>
      </c>
      <c r="CJ19" s="64">
        <f t="shared" si="29"/>
        <v>25723.686451612903</v>
      </c>
      <c r="CK19" s="64">
        <f t="shared" si="30"/>
        <v>28365.036</v>
      </c>
      <c r="CL19" s="65">
        <v>115691</v>
      </c>
      <c r="CM19" s="50">
        <v>273918</v>
      </c>
      <c r="CN19" s="64">
        <f t="shared" si="31"/>
        <v>389609</v>
      </c>
      <c r="CO19" s="325" t="e">
        <f t="shared" si="81"/>
        <v>#REF!</v>
      </c>
      <c r="CP19" s="64" t="e">
        <f t="shared" si="90"/>
        <v>#REF!</v>
      </c>
      <c r="CQ19" s="64" t="e">
        <f t="shared" si="91"/>
        <v>#REF!</v>
      </c>
      <c r="CR19" s="50" t="e">
        <f t="shared" si="82"/>
        <v>#REF!</v>
      </c>
      <c r="CS19" s="65">
        <v>38180</v>
      </c>
      <c r="CT19" s="65">
        <v>82818</v>
      </c>
      <c r="CU19" s="51">
        <f t="shared" si="32"/>
        <v>120998</v>
      </c>
      <c r="CV19" s="65">
        <v>13903</v>
      </c>
      <c r="CW19" s="65"/>
      <c r="CX19" s="64">
        <f>SUM(CV19:CW19)</f>
        <v>13903</v>
      </c>
      <c r="CY19" s="64">
        <f t="shared" si="33"/>
        <v>768136.81</v>
      </c>
      <c r="CZ19" s="65">
        <v>3757</v>
      </c>
      <c r="DA19" s="65">
        <v>3443</v>
      </c>
      <c r="DB19" s="51">
        <v>40243</v>
      </c>
      <c r="DC19" s="51">
        <v>8120</v>
      </c>
      <c r="DD19" s="65"/>
      <c r="DE19" s="65">
        <v>1771</v>
      </c>
      <c r="DF19" s="65">
        <v>462</v>
      </c>
      <c r="DG19" s="65">
        <v>11743</v>
      </c>
      <c r="DH19" s="51">
        <v>25721</v>
      </c>
      <c r="DI19" s="13"/>
      <c r="DJ19" s="51"/>
      <c r="DK19" s="64">
        <f t="shared" si="83"/>
        <v>95260</v>
      </c>
      <c r="DL19" s="51" t="e">
        <f t="shared" si="84"/>
        <v>#REF!</v>
      </c>
      <c r="DM19" s="316" t="e">
        <f t="shared" si="85"/>
        <v>#REF!</v>
      </c>
      <c r="DN19" s="51">
        <v>218391.46</v>
      </c>
      <c r="DO19" s="51" t="e">
        <f t="shared" si="86"/>
        <v>#REF!</v>
      </c>
      <c r="DP19" s="51">
        <v>26434</v>
      </c>
      <c r="DQ19" s="51" t="e">
        <f t="shared" si="34"/>
        <v>#REF!</v>
      </c>
      <c r="DR19" s="64">
        <f t="shared" si="35"/>
        <v>105354</v>
      </c>
      <c r="DS19" s="64">
        <f t="shared" si="36"/>
        <v>158717.09</v>
      </c>
      <c r="DT19" s="64">
        <f t="shared" si="37"/>
        <v>398717.14</v>
      </c>
      <c r="DU19" s="64">
        <f t="shared" si="38"/>
        <v>70912.59</v>
      </c>
      <c r="DV19" s="64">
        <f t="shared" si="87"/>
        <v>754233.81</v>
      </c>
      <c r="DW19" s="64" t="e">
        <f t="shared" si="88"/>
        <v>#REF!</v>
      </c>
      <c r="DX19" s="64">
        <f>CX19</f>
        <v>13903</v>
      </c>
      <c r="DY19" s="64">
        <f t="shared" si="39"/>
        <v>120998</v>
      </c>
      <c r="DZ19" s="64">
        <f t="shared" si="40"/>
        <v>95260</v>
      </c>
      <c r="EA19" s="64">
        <f t="shared" si="41"/>
        <v>218391.46</v>
      </c>
      <c r="EB19" s="64" t="e">
        <f t="shared" si="42"/>
        <v>#REF!</v>
      </c>
      <c r="EC19" s="19" t="e">
        <f t="shared" si="43"/>
        <v>#REF!</v>
      </c>
      <c r="ED19" s="19" t="e">
        <f t="shared" si="44"/>
        <v>#REF!</v>
      </c>
      <c r="EE19" s="19" t="e">
        <f t="shared" si="45"/>
        <v>#REF!</v>
      </c>
      <c r="EF19" s="19" t="e">
        <f t="shared" si="46"/>
        <v>#REF!</v>
      </c>
      <c r="EG19" s="19" t="e">
        <f t="shared" si="47"/>
        <v>#REF!</v>
      </c>
      <c r="EH19" s="20" t="e">
        <f t="shared" si="89"/>
        <v>#REF!</v>
      </c>
      <c r="EI19" s="21" t="e">
        <f t="shared" si="48"/>
        <v>#REF!</v>
      </c>
      <c r="EJ19" s="16">
        <f t="shared" si="49"/>
        <v>14.432054794520548</v>
      </c>
      <c r="EK19" s="16">
        <f t="shared" si="50"/>
        <v>21.742067123287672</v>
      </c>
      <c r="EL19" s="16">
        <f t="shared" si="51"/>
        <v>54.618786301369866</v>
      </c>
      <c r="EM19" s="16">
        <f t="shared" si="52"/>
        <v>9.7140534246575339</v>
      </c>
      <c r="EN19" s="16">
        <f t="shared" si="53"/>
        <v>103.31970000000001</v>
      </c>
      <c r="EO19" s="16" t="e">
        <f t="shared" si="54"/>
        <v>#REF!</v>
      </c>
      <c r="EP19" s="16">
        <f t="shared" si="55"/>
        <v>1.9045205479452054</v>
      </c>
      <c r="EQ19" s="16" t="e">
        <f t="shared" si="56"/>
        <v>#REF!</v>
      </c>
      <c r="ER19" s="16">
        <f t="shared" si="57"/>
        <v>105.22422054794521</v>
      </c>
      <c r="ES19" s="2" t="s">
        <v>152</v>
      </c>
      <c r="ET19" s="16">
        <f t="shared" si="58"/>
        <v>16.575068493150685</v>
      </c>
      <c r="EU19" s="16">
        <f t="shared" si="59"/>
        <v>13.049315068493151</v>
      </c>
      <c r="EV19" s="16">
        <f t="shared" si="60"/>
        <v>29.916638356164384</v>
      </c>
      <c r="EW19" s="16" t="e">
        <f t="shared" si="61"/>
        <v>#REF!</v>
      </c>
      <c r="EX19" s="16" t="e">
        <f t="shared" si="62"/>
        <v>#REF!</v>
      </c>
      <c r="EY19" s="16" t="e">
        <f t="shared" si="63"/>
        <v>#REF!</v>
      </c>
      <c r="EZ19" s="16">
        <f t="shared" si="64"/>
        <v>341.18</v>
      </c>
      <c r="FA19" s="16" t="e">
        <f t="shared" si="65"/>
        <v>#REF!</v>
      </c>
      <c r="FB19" s="22">
        <f t="shared" si="66"/>
        <v>0.1</v>
      </c>
      <c r="FC19" s="22">
        <f t="shared" si="67"/>
        <v>0.129</v>
      </c>
      <c r="FD19" s="22">
        <f t="shared" si="68"/>
        <v>0.77500000000000002</v>
      </c>
      <c r="FE19" s="22">
        <f t="shared" si="69"/>
        <v>0.125</v>
      </c>
      <c r="FF19" s="22">
        <f t="shared" si="70"/>
        <v>1.228</v>
      </c>
      <c r="FG19" s="23">
        <f t="shared" si="71"/>
        <v>10</v>
      </c>
      <c r="FH19" s="23">
        <f t="shared" si="72"/>
        <v>7.7519379844961236</v>
      </c>
      <c r="FI19" s="23">
        <f t="shared" si="73"/>
        <v>1.2903225806451613</v>
      </c>
      <c r="FJ19" s="23">
        <f t="shared" si="74"/>
        <v>8</v>
      </c>
      <c r="FK19" s="23">
        <f t="shared" si="75"/>
        <v>0.81433224755700329</v>
      </c>
    </row>
    <row r="20" spans="1:189" s="24" customFormat="1" x14ac:dyDescent="0.2">
      <c r="A20" s="2" t="s">
        <v>147</v>
      </c>
      <c r="B20" s="24" t="s">
        <v>209</v>
      </c>
      <c r="C20" s="3">
        <v>2503</v>
      </c>
      <c r="D20" s="2" t="s">
        <v>149</v>
      </c>
      <c r="E20" s="62" t="s">
        <v>210</v>
      </c>
      <c r="F20" s="4" t="s">
        <v>173</v>
      </c>
      <c r="G20" s="2" t="s">
        <v>152</v>
      </c>
      <c r="H20" s="5" t="s">
        <v>211</v>
      </c>
      <c r="I20" s="6">
        <v>40724</v>
      </c>
      <c r="J20" s="6">
        <v>41455</v>
      </c>
      <c r="K20" s="29"/>
      <c r="L20" s="30">
        <v>16</v>
      </c>
      <c r="M20" s="8">
        <f t="shared" si="0"/>
        <v>5840</v>
      </c>
      <c r="N20" s="9"/>
      <c r="O20" s="31">
        <v>224.86</v>
      </c>
      <c r="P20" s="31"/>
      <c r="Q20" s="31"/>
      <c r="R20" s="31">
        <v>224.86</v>
      </c>
      <c r="S20" s="10">
        <f t="shared" si="76"/>
        <v>228.41487823439874</v>
      </c>
      <c r="T20" s="19">
        <v>0.9</v>
      </c>
      <c r="U20" s="12">
        <f t="shared" si="1"/>
        <v>5256</v>
      </c>
      <c r="V20" s="13">
        <v>0.1</v>
      </c>
      <c r="W20" s="13">
        <v>1</v>
      </c>
      <c r="X20" s="13">
        <v>1</v>
      </c>
      <c r="Y20" s="13"/>
      <c r="Z20" s="13"/>
      <c r="AA20" s="13"/>
      <c r="AB20" s="13"/>
      <c r="AC20" s="14">
        <v>2</v>
      </c>
      <c r="AD20" s="13"/>
      <c r="AE20" s="13"/>
      <c r="AF20" s="13"/>
      <c r="AG20" s="14">
        <v>3</v>
      </c>
      <c r="AH20" s="14">
        <v>3</v>
      </c>
      <c r="AI20" s="14">
        <v>8.8000000000000007</v>
      </c>
      <c r="AJ20" s="14">
        <v>0.8</v>
      </c>
      <c r="AK20" s="14">
        <v>1</v>
      </c>
      <c r="AL20" s="14"/>
      <c r="AM20" s="13">
        <f t="shared" si="2"/>
        <v>20.7</v>
      </c>
      <c r="AN20" s="13">
        <f t="shared" si="3"/>
        <v>2.1</v>
      </c>
      <c r="AO20" s="13">
        <f t="shared" si="4"/>
        <v>2</v>
      </c>
      <c r="AP20" s="13">
        <f t="shared" si="5"/>
        <v>14.8</v>
      </c>
      <c r="AQ20" s="13">
        <f t="shared" si="6"/>
        <v>1.8</v>
      </c>
      <c r="AR20" s="51">
        <v>10000</v>
      </c>
      <c r="AS20" s="51">
        <v>55000</v>
      </c>
      <c r="AT20" s="51">
        <v>45000</v>
      </c>
      <c r="AU20" s="51"/>
      <c r="AV20" s="51"/>
      <c r="AW20" s="51"/>
      <c r="AX20" s="51"/>
      <c r="AY20" s="51">
        <v>100000</v>
      </c>
      <c r="AZ20" s="51"/>
      <c r="BA20" s="51"/>
      <c r="BB20" s="51"/>
      <c r="BC20" s="51">
        <v>92700</v>
      </c>
      <c r="BD20" s="51">
        <v>86520</v>
      </c>
      <c r="BE20" s="51">
        <v>235664</v>
      </c>
      <c r="BF20" s="51">
        <v>19200</v>
      </c>
      <c r="BG20" s="51">
        <v>24000</v>
      </c>
      <c r="BH20" s="51">
        <v>53280</v>
      </c>
      <c r="BI20" s="17">
        <f t="shared" si="77"/>
        <v>7.9750450542147397E-2</v>
      </c>
      <c r="BJ20" s="50">
        <f t="shared" si="78"/>
        <v>721364</v>
      </c>
      <c r="BK20" s="50"/>
      <c r="BL20" s="50">
        <f t="shared" si="79"/>
        <v>110000</v>
      </c>
      <c r="BM20" s="50">
        <f t="shared" si="80"/>
        <v>100000</v>
      </c>
      <c r="BN20" s="50">
        <f t="shared" si="7"/>
        <v>414884</v>
      </c>
      <c r="BO20" s="50">
        <f t="shared" si="8"/>
        <v>43200</v>
      </c>
      <c r="BP20" s="50">
        <f t="shared" si="9"/>
        <v>100000</v>
      </c>
      <c r="BQ20" s="50">
        <f t="shared" si="10"/>
        <v>55000</v>
      </c>
      <c r="BR20" s="50">
        <f t="shared" si="11"/>
        <v>45000</v>
      </c>
      <c r="BS20" s="50" t="str">
        <f t="shared" si="12"/>
        <v/>
      </c>
      <c r="BT20" s="50" t="str">
        <f t="shared" si="13"/>
        <v/>
      </c>
      <c r="BU20" s="50" t="str">
        <f t="shared" si="14"/>
        <v/>
      </c>
      <c r="BV20" s="50" t="str">
        <f t="shared" si="15"/>
        <v/>
      </c>
      <c r="BW20" s="50">
        <f t="shared" si="16"/>
        <v>50000</v>
      </c>
      <c r="BX20" s="50" t="str">
        <f t="shared" si="17"/>
        <v/>
      </c>
      <c r="BY20" s="50" t="str">
        <f t="shared" si="18"/>
        <v/>
      </c>
      <c r="BZ20" s="50" t="str">
        <f t="shared" si="19"/>
        <v/>
      </c>
      <c r="CA20" s="50">
        <f t="shared" si="20"/>
        <v>30900</v>
      </c>
      <c r="CB20" s="50">
        <f t="shared" si="21"/>
        <v>28840</v>
      </c>
      <c r="CC20" s="50">
        <f t="shared" si="22"/>
        <v>26779.999999999996</v>
      </c>
      <c r="CD20" s="50">
        <f t="shared" si="23"/>
        <v>24000</v>
      </c>
      <c r="CE20" s="50">
        <f t="shared" si="24"/>
        <v>24000</v>
      </c>
      <c r="CF20" s="50" t="str">
        <f t="shared" si="25"/>
        <v/>
      </c>
      <c r="CG20" s="50">
        <f t="shared" si="26"/>
        <v>34848.502415458941</v>
      </c>
      <c r="CH20" s="64">
        <f t="shared" si="27"/>
        <v>52380.952380952382</v>
      </c>
      <c r="CI20" s="64">
        <f t="shared" si="28"/>
        <v>50000</v>
      </c>
      <c r="CJ20" s="64">
        <f t="shared" si="29"/>
        <v>28032.7027027027</v>
      </c>
      <c r="CK20" s="64">
        <f t="shared" si="30"/>
        <v>24000</v>
      </c>
      <c r="CL20" s="65">
        <v>72136.399999999994</v>
      </c>
      <c r="CM20" s="50">
        <v>119025.06</v>
      </c>
      <c r="CN20" s="64">
        <f t="shared" si="31"/>
        <v>191161.46</v>
      </c>
      <c r="CO20" s="19">
        <f t="shared" si="81"/>
        <v>0.26500000000000001</v>
      </c>
      <c r="CP20" s="64" t="str">
        <f t="shared" si="90"/>
        <v/>
      </c>
      <c r="CQ20" s="64">
        <f t="shared" si="91"/>
        <v>191161.46</v>
      </c>
      <c r="CR20" s="50">
        <f t="shared" si="82"/>
        <v>912525.46</v>
      </c>
      <c r="CS20" s="68">
        <v>21417</v>
      </c>
      <c r="CT20" s="68">
        <v>38500</v>
      </c>
      <c r="CU20" s="51">
        <f t="shared" si="32"/>
        <v>59917</v>
      </c>
      <c r="CV20" s="68">
        <v>5000</v>
      </c>
      <c r="CW20" s="68"/>
      <c r="CX20" s="64">
        <f>SUM(CV20:CW20)</f>
        <v>5000</v>
      </c>
      <c r="CY20" s="64">
        <f t="shared" si="33"/>
        <v>726364</v>
      </c>
      <c r="CZ20" s="68">
        <v>5000</v>
      </c>
      <c r="DA20" s="68">
        <v>2500</v>
      </c>
      <c r="DB20" s="51">
        <v>37350</v>
      </c>
      <c r="DC20" s="51">
        <f>4800+7173.96</f>
        <v>11973.96</v>
      </c>
      <c r="DD20" s="65">
        <v>1000</v>
      </c>
      <c r="DE20" s="65"/>
      <c r="DF20" s="65"/>
      <c r="DG20" s="65">
        <v>17500</v>
      </c>
      <c r="DH20" s="51">
        <v>21550</v>
      </c>
      <c r="DI20" s="13"/>
      <c r="DJ20" s="51"/>
      <c r="DK20" s="64">
        <f t="shared" si="83"/>
        <v>96873.959999999992</v>
      </c>
      <c r="DL20" s="51">
        <f t="shared" si="84"/>
        <v>1074316.42</v>
      </c>
      <c r="DM20" s="316">
        <f t="shared" si="85"/>
        <v>0.1175000006050359</v>
      </c>
      <c r="DN20" s="51">
        <v>126232.18</v>
      </c>
      <c r="DO20" s="51">
        <f t="shared" si="86"/>
        <v>1200548.5999999999</v>
      </c>
      <c r="DP20" s="51">
        <v>18658.810000000001</v>
      </c>
      <c r="DQ20" s="51">
        <f t="shared" si="34"/>
        <v>1181889.7899999998</v>
      </c>
      <c r="DR20" s="64">
        <f t="shared" si="35"/>
        <v>110000</v>
      </c>
      <c r="DS20" s="64">
        <f t="shared" si="36"/>
        <v>100000</v>
      </c>
      <c r="DT20" s="64">
        <f t="shared" si="37"/>
        <v>414884</v>
      </c>
      <c r="DU20" s="64">
        <f t="shared" si="38"/>
        <v>43200</v>
      </c>
      <c r="DV20" s="64">
        <f t="shared" si="87"/>
        <v>721364</v>
      </c>
      <c r="DW20" s="64">
        <f t="shared" si="88"/>
        <v>191161.46</v>
      </c>
      <c r="DX20" s="64">
        <f>CX20</f>
        <v>5000</v>
      </c>
      <c r="DY20" s="64">
        <f t="shared" si="39"/>
        <v>59917</v>
      </c>
      <c r="DZ20" s="64">
        <f t="shared" si="40"/>
        <v>96873.959999999992</v>
      </c>
      <c r="EA20" s="64">
        <f t="shared" si="41"/>
        <v>126232.18</v>
      </c>
      <c r="EB20" s="64">
        <f t="shared" si="42"/>
        <v>1200548.5999999999</v>
      </c>
      <c r="EC20" s="19">
        <f t="shared" si="43"/>
        <v>0.60086197260152574</v>
      </c>
      <c r="ED20" s="19">
        <f t="shared" si="44"/>
        <v>0.15922842273940432</v>
      </c>
      <c r="EE20" s="19">
        <f t="shared" si="45"/>
        <v>4.1647626759966239E-3</v>
      </c>
      <c r="EF20" s="19">
        <f t="shared" si="46"/>
        <v>4.9908017051537946E-2</v>
      </c>
      <c r="EG20" s="19">
        <f t="shared" si="47"/>
        <v>8.0691410576797976E-2</v>
      </c>
      <c r="EH20" s="20">
        <f t="shared" si="89"/>
        <v>0.1051454143547375</v>
      </c>
      <c r="EI20" s="21">
        <f t="shared" si="48"/>
        <v>1</v>
      </c>
      <c r="EJ20" s="16">
        <f t="shared" si="49"/>
        <v>18.835616438356166</v>
      </c>
      <c r="EK20" s="16">
        <f t="shared" si="50"/>
        <v>17.123287671232877</v>
      </c>
      <c r="EL20" s="16">
        <f t="shared" si="51"/>
        <v>71.041780821917811</v>
      </c>
      <c r="EM20" s="16">
        <f t="shared" si="52"/>
        <v>7.397260273972603</v>
      </c>
      <c r="EN20" s="16">
        <f t="shared" si="53"/>
        <v>123.52123287671233</v>
      </c>
      <c r="EO20" s="16">
        <f t="shared" si="54"/>
        <v>32.733126712328769</v>
      </c>
      <c r="EP20" s="16">
        <f t="shared" si="55"/>
        <v>0.85616438356164382</v>
      </c>
      <c r="EQ20" s="16">
        <f t="shared" si="56"/>
        <v>156.25435958904109</v>
      </c>
      <c r="ER20" s="16">
        <f t="shared" si="57"/>
        <v>124.37739726027397</v>
      </c>
      <c r="ES20" s="2" t="s">
        <v>152</v>
      </c>
      <c r="ET20" s="16">
        <f t="shared" si="58"/>
        <v>10.259760273972603</v>
      </c>
      <c r="EU20" s="16">
        <f t="shared" si="59"/>
        <v>16.588006849315068</v>
      </c>
      <c r="EV20" s="16">
        <f t="shared" si="60"/>
        <v>21.615099315068491</v>
      </c>
      <c r="EW20" s="16">
        <f t="shared" si="61"/>
        <v>32.733126712328769</v>
      </c>
      <c r="EX20" s="16">
        <f t="shared" si="62"/>
        <v>205.57339041095889</v>
      </c>
      <c r="EY20" s="16">
        <f t="shared" si="63"/>
        <v>228.41487823439877</v>
      </c>
      <c r="EZ20" s="16">
        <f t="shared" si="64"/>
        <v>224.86</v>
      </c>
      <c r="FA20" s="16">
        <f t="shared" si="65"/>
        <v>-19.28660958904112</v>
      </c>
      <c r="FB20" s="22">
        <f t="shared" si="66"/>
        <v>0.13125000000000001</v>
      </c>
      <c r="FC20" s="22">
        <f t="shared" si="67"/>
        <v>0.125</v>
      </c>
      <c r="FD20" s="22">
        <f t="shared" si="68"/>
        <v>0.92500000000000004</v>
      </c>
      <c r="FE20" s="22">
        <f t="shared" si="69"/>
        <v>0.1125</v>
      </c>
      <c r="FF20" s="22">
        <f t="shared" si="70"/>
        <v>1.29375</v>
      </c>
      <c r="FG20" s="23">
        <f t="shared" si="71"/>
        <v>7.6190476190476186</v>
      </c>
      <c r="FH20" s="23">
        <f t="shared" si="72"/>
        <v>8</v>
      </c>
      <c r="FI20" s="23">
        <f t="shared" si="73"/>
        <v>1.0810810810810809</v>
      </c>
      <c r="FJ20" s="23">
        <f t="shared" si="74"/>
        <v>8.8888888888888893</v>
      </c>
      <c r="FK20" s="23">
        <f t="shared" si="75"/>
        <v>0.77294685990338163</v>
      </c>
    </row>
    <row r="21" spans="1:189" s="24" customFormat="1" x14ac:dyDescent="0.2">
      <c r="A21" s="2" t="s">
        <v>191</v>
      </c>
      <c r="B21" s="2" t="s">
        <v>212</v>
      </c>
      <c r="C21" s="3">
        <v>2503</v>
      </c>
      <c r="D21" s="2" t="s">
        <v>149</v>
      </c>
      <c r="E21" s="61" t="s">
        <v>200</v>
      </c>
      <c r="F21" s="4" t="s">
        <v>173</v>
      </c>
      <c r="G21" s="2" t="s">
        <v>163</v>
      </c>
      <c r="H21" s="5" t="s">
        <v>213</v>
      </c>
      <c r="I21" s="6">
        <v>39629</v>
      </c>
      <c r="J21" s="6">
        <v>40724</v>
      </c>
      <c r="K21" s="6"/>
      <c r="L21" s="7">
        <v>15</v>
      </c>
      <c r="M21" s="8">
        <f t="shared" si="0"/>
        <v>5475</v>
      </c>
      <c r="N21" s="9"/>
      <c r="O21" s="10">
        <v>251.38</v>
      </c>
      <c r="P21" s="10"/>
      <c r="Q21" s="10"/>
      <c r="R21" s="10">
        <v>251.38</v>
      </c>
      <c r="S21" s="10" t="e">
        <f t="shared" si="76"/>
        <v>#REF!</v>
      </c>
      <c r="T21" s="11">
        <v>0.9</v>
      </c>
      <c r="U21" s="12">
        <f t="shared" si="1"/>
        <v>4927.5</v>
      </c>
      <c r="V21" s="13">
        <v>0.17</v>
      </c>
      <c r="W21" s="13">
        <v>1</v>
      </c>
      <c r="X21" s="13">
        <v>1</v>
      </c>
      <c r="Y21" s="13"/>
      <c r="Z21" s="13">
        <v>1</v>
      </c>
      <c r="AA21" s="13">
        <v>1</v>
      </c>
      <c r="AB21" s="13"/>
      <c r="AC21" s="14"/>
      <c r="AD21" s="14"/>
      <c r="AE21" s="14"/>
      <c r="AF21" s="14"/>
      <c r="AG21" s="14">
        <v>3</v>
      </c>
      <c r="AH21" s="14">
        <v>3</v>
      </c>
      <c r="AI21" s="14">
        <v>11</v>
      </c>
      <c r="AJ21" s="14">
        <v>1</v>
      </c>
      <c r="AK21" s="14">
        <v>2.5</v>
      </c>
      <c r="AL21" s="14"/>
      <c r="AM21" s="13">
        <f t="shared" si="2"/>
        <v>24.67</v>
      </c>
      <c r="AN21" s="13">
        <f t="shared" si="3"/>
        <v>2.17</v>
      </c>
      <c r="AO21" s="13">
        <f t="shared" si="4"/>
        <v>2</v>
      </c>
      <c r="AP21" s="13">
        <f t="shared" si="5"/>
        <v>17</v>
      </c>
      <c r="AQ21" s="13">
        <f t="shared" si="6"/>
        <v>3.5</v>
      </c>
      <c r="AR21" s="51">
        <v>11000</v>
      </c>
      <c r="AS21" s="51">
        <v>44786</v>
      </c>
      <c r="AT21" s="51">
        <v>38532.18</v>
      </c>
      <c r="AU21" s="51"/>
      <c r="AV21" s="51">
        <v>55000</v>
      </c>
      <c r="AW21" s="70">
        <v>45000</v>
      </c>
      <c r="AX21" s="51"/>
      <c r="AY21" s="51"/>
      <c r="AZ21" s="51"/>
      <c r="BA21" s="51"/>
      <c r="BB21" s="51"/>
      <c r="BC21" s="51">
        <v>106346.04</v>
      </c>
      <c r="BD21" s="51">
        <v>90569.58</v>
      </c>
      <c r="BE21" s="51">
        <v>288088.08</v>
      </c>
      <c r="BF21" s="51">
        <v>29339.45</v>
      </c>
      <c r="BG21" s="51">
        <v>54834.32</v>
      </c>
      <c r="BH21" s="51">
        <v>23462</v>
      </c>
      <c r="BI21" s="17">
        <f t="shared" si="77"/>
        <v>3.0729710116881481E-2</v>
      </c>
      <c r="BJ21" s="50">
        <f t="shared" si="78"/>
        <v>786957.64999999991</v>
      </c>
      <c r="BK21" s="50" t="e">
        <f>#REF!</f>
        <v>#REF!</v>
      </c>
      <c r="BL21" s="50">
        <f t="shared" si="79"/>
        <v>94318.18</v>
      </c>
      <c r="BM21" s="50">
        <f t="shared" si="80"/>
        <v>100000</v>
      </c>
      <c r="BN21" s="50">
        <f t="shared" si="7"/>
        <v>485003.7</v>
      </c>
      <c r="BO21" s="50">
        <f t="shared" si="8"/>
        <v>84173.77</v>
      </c>
      <c r="BP21" s="50">
        <f t="shared" si="9"/>
        <v>64705.882352941175</v>
      </c>
      <c r="BQ21" s="50">
        <f t="shared" si="10"/>
        <v>44786</v>
      </c>
      <c r="BR21" s="50">
        <f t="shared" si="11"/>
        <v>38532.18</v>
      </c>
      <c r="BS21" s="50" t="str">
        <f t="shared" si="12"/>
        <v/>
      </c>
      <c r="BT21" s="50">
        <f t="shared" si="13"/>
        <v>55000</v>
      </c>
      <c r="BU21" s="50">
        <f t="shared" si="14"/>
        <v>45000</v>
      </c>
      <c r="BV21" s="50" t="str">
        <f t="shared" si="15"/>
        <v/>
      </c>
      <c r="BW21" s="50" t="str">
        <f t="shared" si="16"/>
        <v/>
      </c>
      <c r="BX21" s="50" t="str">
        <f t="shared" si="17"/>
        <v/>
      </c>
      <c r="BY21" s="50" t="str">
        <f t="shared" si="18"/>
        <v/>
      </c>
      <c r="BZ21" s="50" t="str">
        <f t="shared" si="19"/>
        <v/>
      </c>
      <c r="CA21" s="50">
        <f t="shared" si="20"/>
        <v>35448.68</v>
      </c>
      <c r="CB21" s="50">
        <f t="shared" si="21"/>
        <v>30189.86</v>
      </c>
      <c r="CC21" s="50">
        <f t="shared" si="22"/>
        <v>26189.825454545455</v>
      </c>
      <c r="CD21" s="50">
        <f t="shared" si="23"/>
        <v>29339.45</v>
      </c>
      <c r="CE21" s="50">
        <f t="shared" si="24"/>
        <v>21933.727999999999</v>
      </c>
      <c r="CF21" s="50" t="str">
        <f t="shared" si="25"/>
        <v/>
      </c>
      <c r="CG21" s="50">
        <f t="shared" si="26"/>
        <v>31899.377786785564</v>
      </c>
      <c r="CH21" s="64">
        <f t="shared" si="27"/>
        <v>43464.599078341009</v>
      </c>
      <c r="CI21" s="64">
        <f t="shared" si="28"/>
        <v>50000</v>
      </c>
      <c r="CJ21" s="64">
        <f t="shared" si="29"/>
        <v>28529.629411764705</v>
      </c>
      <c r="CK21" s="64">
        <f t="shared" si="30"/>
        <v>24049.648571428574</v>
      </c>
      <c r="CL21" s="65">
        <v>84943.27</v>
      </c>
      <c r="CM21" s="50">
        <v>71762.5</v>
      </c>
      <c r="CN21" s="64">
        <f t="shared" si="31"/>
        <v>156705.77000000002</v>
      </c>
      <c r="CO21" s="19" t="e">
        <f t="shared" si="81"/>
        <v>#REF!</v>
      </c>
      <c r="CP21" s="64" t="e">
        <f t="shared" si="90"/>
        <v>#REF!</v>
      </c>
      <c r="CQ21" s="64" t="e">
        <f t="shared" si="91"/>
        <v>#REF!</v>
      </c>
      <c r="CR21" s="50" t="e">
        <f t="shared" si="82"/>
        <v>#REF!</v>
      </c>
      <c r="CS21" s="65"/>
      <c r="CT21" s="65">
        <v>47000</v>
      </c>
      <c r="CU21" s="51">
        <f t="shared" si="32"/>
        <v>47000</v>
      </c>
      <c r="CV21" s="65"/>
      <c r="CW21" s="65"/>
      <c r="CX21" s="64"/>
      <c r="CY21" s="64">
        <f t="shared" si="33"/>
        <v>786957.64999999991</v>
      </c>
      <c r="CZ21" s="65">
        <v>1000</v>
      </c>
      <c r="DA21" s="65">
        <v>2600</v>
      </c>
      <c r="DB21" s="51">
        <v>50000</v>
      </c>
      <c r="DC21" s="51">
        <v>8250</v>
      </c>
      <c r="DD21" s="65">
        <v>1000</v>
      </c>
      <c r="DE21" s="65"/>
      <c r="DF21" s="65"/>
      <c r="DG21" s="65">
        <v>22980</v>
      </c>
      <c r="DH21" s="51">
        <f>32424+8800</f>
        <v>41224</v>
      </c>
      <c r="DI21" s="13"/>
      <c r="DJ21" s="51"/>
      <c r="DK21" s="64">
        <f t="shared" si="83"/>
        <v>127054</v>
      </c>
      <c r="DL21" s="51" t="e">
        <f t="shared" si="84"/>
        <v>#REF!</v>
      </c>
      <c r="DM21" s="316" t="e">
        <f t="shared" si="85"/>
        <v>#REF!</v>
      </c>
      <c r="DN21" s="51">
        <v>125982</v>
      </c>
      <c r="DO21" s="51" t="e">
        <f t="shared" si="86"/>
        <v>#REF!</v>
      </c>
      <c r="DP21" s="51"/>
      <c r="DQ21" s="51" t="e">
        <f t="shared" si="34"/>
        <v>#REF!</v>
      </c>
      <c r="DR21" s="64">
        <f t="shared" si="35"/>
        <v>94318.18</v>
      </c>
      <c r="DS21" s="64">
        <f t="shared" si="36"/>
        <v>100000</v>
      </c>
      <c r="DT21" s="64">
        <f t="shared" si="37"/>
        <v>485003.7</v>
      </c>
      <c r="DU21" s="64">
        <f t="shared" si="38"/>
        <v>84173.77</v>
      </c>
      <c r="DV21" s="64">
        <f t="shared" si="87"/>
        <v>786957.64999999991</v>
      </c>
      <c r="DW21" s="64" t="e">
        <f t="shared" si="88"/>
        <v>#REF!</v>
      </c>
      <c r="DX21" s="64"/>
      <c r="DY21" s="64">
        <f t="shared" si="39"/>
        <v>47000</v>
      </c>
      <c r="DZ21" s="64">
        <f t="shared" si="40"/>
        <v>127054</v>
      </c>
      <c r="EA21" s="64">
        <f t="shared" si="41"/>
        <v>125982</v>
      </c>
      <c r="EB21" s="64" t="e">
        <f t="shared" si="42"/>
        <v>#REF!</v>
      </c>
      <c r="EC21" s="19" t="e">
        <f t="shared" si="43"/>
        <v>#REF!</v>
      </c>
      <c r="ED21" s="19" t="e">
        <f t="shared" si="44"/>
        <v>#REF!</v>
      </c>
      <c r="EE21" s="19" t="e">
        <f t="shared" si="45"/>
        <v>#REF!</v>
      </c>
      <c r="EF21" s="19" t="e">
        <f t="shared" si="46"/>
        <v>#REF!</v>
      </c>
      <c r="EG21" s="19" t="e">
        <f t="shared" si="47"/>
        <v>#REF!</v>
      </c>
      <c r="EH21" s="20" t="e">
        <f t="shared" si="89"/>
        <v>#REF!</v>
      </c>
      <c r="EI21" s="21" t="e">
        <f t="shared" si="48"/>
        <v>#REF!</v>
      </c>
      <c r="EJ21" s="16">
        <f t="shared" si="49"/>
        <v>17.227064840182646</v>
      </c>
      <c r="EK21" s="16">
        <f t="shared" si="50"/>
        <v>18.264840182648403</v>
      </c>
      <c r="EL21" s="16">
        <f t="shared" si="51"/>
        <v>88.585150684931506</v>
      </c>
      <c r="EM21" s="16">
        <f t="shared" si="52"/>
        <v>15.374204566210047</v>
      </c>
      <c r="EN21" s="16">
        <f t="shared" si="53"/>
        <v>143.73655707762555</v>
      </c>
      <c r="EO21" s="16" t="e">
        <f t="shared" si="54"/>
        <v>#REF!</v>
      </c>
      <c r="EP21" s="16" t="str">
        <f t="shared" si="55"/>
        <v/>
      </c>
      <c r="EQ21" s="16" t="e">
        <f t="shared" si="56"/>
        <v>#REF!</v>
      </c>
      <c r="ER21" s="16">
        <f t="shared" si="57"/>
        <v>143.73655707762555</v>
      </c>
      <c r="ES21" s="2" t="s">
        <v>163</v>
      </c>
      <c r="ET21" s="16">
        <f t="shared" si="58"/>
        <v>8.5844748858447488</v>
      </c>
      <c r="EU21" s="16">
        <f t="shared" si="59"/>
        <v>23.2062100456621</v>
      </c>
      <c r="EV21" s="16">
        <f t="shared" si="60"/>
        <v>23.01041095890411</v>
      </c>
      <c r="EW21" s="16" t="e">
        <f t="shared" si="61"/>
        <v>#REF!</v>
      </c>
      <c r="EX21" s="16" t="e">
        <f t="shared" si="62"/>
        <v>#REF!</v>
      </c>
      <c r="EY21" s="16" t="e">
        <f t="shared" si="63"/>
        <v>#REF!</v>
      </c>
      <c r="EZ21" s="16">
        <f t="shared" si="64"/>
        <v>251.38</v>
      </c>
      <c r="FA21" s="16" t="e">
        <f t="shared" si="65"/>
        <v>#REF!</v>
      </c>
      <c r="FB21" s="22">
        <f t="shared" si="66"/>
        <v>0.14466666666666667</v>
      </c>
      <c r="FC21" s="22">
        <f t="shared" si="67"/>
        <v>0.13333333333333333</v>
      </c>
      <c r="FD21" s="22">
        <f t="shared" si="68"/>
        <v>1.1333333333333333</v>
      </c>
      <c r="FE21" s="22">
        <f t="shared" si="69"/>
        <v>0.23333333333333334</v>
      </c>
      <c r="FF21" s="22">
        <f t="shared" si="70"/>
        <v>1.6446666666666667</v>
      </c>
      <c r="FG21" s="23">
        <f t="shared" si="71"/>
        <v>6.9124423963133639</v>
      </c>
      <c r="FH21" s="23">
        <f t="shared" si="72"/>
        <v>7.5</v>
      </c>
      <c r="FI21" s="23">
        <f t="shared" si="73"/>
        <v>0.88235294117647056</v>
      </c>
      <c r="FJ21" s="23">
        <f t="shared" si="74"/>
        <v>4.2857142857142856</v>
      </c>
      <c r="FK21" s="23">
        <f t="shared" si="75"/>
        <v>0.60802594244021069</v>
      </c>
    </row>
    <row r="22" spans="1:189" s="24" customFormat="1" x14ac:dyDescent="0.2">
      <c r="A22" s="2" t="s">
        <v>160</v>
      </c>
      <c r="B22" s="2" t="s">
        <v>214</v>
      </c>
      <c r="C22" s="3">
        <v>2516</v>
      </c>
      <c r="D22" s="2" t="s">
        <v>215</v>
      </c>
      <c r="E22" s="61" t="s">
        <v>216</v>
      </c>
      <c r="F22" s="4" t="s">
        <v>151</v>
      </c>
      <c r="G22" s="2" t="s">
        <v>179</v>
      </c>
      <c r="H22" s="5" t="s">
        <v>217</v>
      </c>
      <c r="I22" s="6">
        <v>40359</v>
      </c>
      <c r="J22" s="6">
        <v>41090</v>
      </c>
      <c r="K22" s="6" t="s">
        <v>159</v>
      </c>
      <c r="L22" s="7">
        <v>12</v>
      </c>
      <c r="M22" s="8">
        <f t="shared" si="0"/>
        <v>4380</v>
      </c>
      <c r="N22" s="10">
        <v>84030.6</v>
      </c>
      <c r="O22" s="10">
        <v>241.19</v>
      </c>
      <c r="P22" s="10">
        <v>326.93</v>
      </c>
      <c r="Q22" s="10">
        <v>255.53</v>
      </c>
      <c r="R22" s="10">
        <v>255.53</v>
      </c>
      <c r="S22" s="10">
        <f t="shared" si="76"/>
        <v>255.38544184797206</v>
      </c>
      <c r="T22" s="11">
        <v>0.85</v>
      </c>
      <c r="U22" s="12">
        <f t="shared" si="1"/>
        <v>3723</v>
      </c>
      <c r="V22" s="13">
        <v>0.15</v>
      </c>
      <c r="W22" s="13">
        <v>1</v>
      </c>
      <c r="X22" s="13">
        <v>1</v>
      </c>
      <c r="Y22" s="13"/>
      <c r="Z22" s="13"/>
      <c r="AA22" s="13">
        <v>0.5</v>
      </c>
      <c r="AB22" s="13"/>
      <c r="AC22" s="13">
        <v>1</v>
      </c>
      <c r="AD22" s="14"/>
      <c r="AE22" s="14"/>
      <c r="AF22" s="14">
        <v>3</v>
      </c>
      <c r="AG22" s="14">
        <v>1</v>
      </c>
      <c r="AH22" s="14">
        <v>3</v>
      </c>
      <c r="AI22" s="14">
        <v>3.9</v>
      </c>
      <c r="AJ22" s="14"/>
      <c r="AK22" s="14">
        <v>1</v>
      </c>
      <c r="AL22" s="14"/>
      <c r="AM22" s="13">
        <f t="shared" si="2"/>
        <v>15.55</v>
      </c>
      <c r="AN22" s="13">
        <f t="shared" si="3"/>
        <v>2.15</v>
      </c>
      <c r="AO22" s="13">
        <f t="shared" si="4"/>
        <v>1.5</v>
      </c>
      <c r="AP22" s="13">
        <f t="shared" si="5"/>
        <v>10.9</v>
      </c>
      <c r="AQ22" s="13">
        <f t="shared" si="6"/>
        <v>1</v>
      </c>
      <c r="AR22" s="51">
        <v>14300</v>
      </c>
      <c r="AS22" s="51">
        <v>57000</v>
      </c>
      <c r="AT22" s="51">
        <v>42000</v>
      </c>
      <c r="AU22" s="51"/>
      <c r="AV22" s="51"/>
      <c r="AW22" s="51">
        <v>20000</v>
      </c>
      <c r="AX22" s="51"/>
      <c r="AY22" s="51">
        <v>50000</v>
      </c>
      <c r="AZ22" s="51"/>
      <c r="BA22" s="51"/>
      <c r="BB22" s="51">
        <v>96500</v>
      </c>
      <c r="BC22" s="51">
        <v>39000</v>
      </c>
      <c r="BD22" s="51">
        <v>55000</v>
      </c>
      <c r="BE22" s="51">
        <v>88800</v>
      </c>
      <c r="BF22" s="51"/>
      <c r="BG22" s="51">
        <v>29000</v>
      </c>
      <c r="BH22" s="51"/>
      <c r="BI22" s="17">
        <f t="shared" si="77"/>
        <v>0</v>
      </c>
      <c r="BJ22" s="50">
        <f t="shared" si="78"/>
        <v>491600</v>
      </c>
      <c r="BK22" s="50"/>
      <c r="BL22" s="50">
        <f t="shared" si="79"/>
        <v>113300</v>
      </c>
      <c r="BM22" s="50">
        <f t="shared" si="80"/>
        <v>70000</v>
      </c>
      <c r="BN22" s="50">
        <f t="shared" si="7"/>
        <v>279300</v>
      </c>
      <c r="BO22" s="50">
        <f t="shared" si="8"/>
        <v>29000</v>
      </c>
      <c r="BP22" s="50">
        <f t="shared" si="9"/>
        <v>95333.333333333343</v>
      </c>
      <c r="BQ22" s="50">
        <f t="shared" si="10"/>
        <v>57000</v>
      </c>
      <c r="BR22" s="50">
        <f t="shared" si="11"/>
        <v>42000</v>
      </c>
      <c r="BS22" s="50" t="str">
        <f t="shared" si="12"/>
        <v/>
      </c>
      <c r="BT22" s="50" t="str">
        <f t="shared" si="13"/>
        <v/>
      </c>
      <c r="BU22" s="50">
        <f t="shared" si="14"/>
        <v>40000</v>
      </c>
      <c r="BV22" s="50" t="str">
        <f t="shared" si="15"/>
        <v/>
      </c>
      <c r="BW22" s="50">
        <f t="shared" si="16"/>
        <v>50000</v>
      </c>
      <c r="BX22" s="50" t="str">
        <f t="shared" si="17"/>
        <v/>
      </c>
      <c r="BY22" s="50" t="str">
        <f t="shared" si="18"/>
        <v/>
      </c>
      <c r="BZ22" s="50">
        <f t="shared" si="19"/>
        <v>32166.666666666668</v>
      </c>
      <c r="CA22" s="50">
        <f t="shared" si="20"/>
        <v>39000</v>
      </c>
      <c r="CB22" s="50">
        <f t="shared" si="21"/>
        <v>18333.333333333332</v>
      </c>
      <c r="CC22" s="50">
        <f t="shared" si="22"/>
        <v>22769.23076923077</v>
      </c>
      <c r="CD22" s="50" t="str">
        <f t="shared" si="23"/>
        <v/>
      </c>
      <c r="CE22" s="50">
        <f t="shared" si="24"/>
        <v>29000</v>
      </c>
      <c r="CF22" s="50" t="str">
        <f t="shared" si="25"/>
        <v/>
      </c>
      <c r="CG22" s="50">
        <f t="shared" si="26"/>
        <v>31614.147909967844</v>
      </c>
      <c r="CH22" s="64">
        <f t="shared" si="27"/>
        <v>52697.674418604656</v>
      </c>
      <c r="CI22" s="64">
        <f t="shared" si="28"/>
        <v>46666.666666666664</v>
      </c>
      <c r="CJ22" s="64">
        <f t="shared" si="29"/>
        <v>25623.853211009173</v>
      </c>
      <c r="CK22" s="64">
        <f t="shared" si="30"/>
        <v>29000</v>
      </c>
      <c r="CL22" s="65">
        <v>56500</v>
      </c>
      <c r="CM22" s="50">
        <v>69500</v>
      </c>
      <c r="CN22" s="64">
        <f t="shared" si="31"/>
        <v>126000</v>
      </c>
      <c r="CO22" s="19">
        <f t="shared" si="81"/>
        <v>0.2563059397884459</v>
      </c>
      <c r="CP22" s="64" t="str">
        <f t="shared" si="90"/>
        <v/>
      </c>
      <c r="CQ22" s="64">
        <f t="shared" si="91"/>
        <v>126000</v>
      </c>
      <c r="CR22" s="50">
        <f t="shared" si="82"/>
        <v>617600</v>
      </c>
      <c r="CS22" s="65">
        <v>100000</v>
      </c>
      <c r="CT22" s="65">
        <v>30000</v>
      </c>
      <c r="CU22" s="51">
        <f t="shared" si="32"/>
        <v>130000</v>
      </c>
      <c r="CV22" s="65"/>
      <c r="CW22" s="65">
        <v>13200</v>
      </c>
      <c r="CX22" s="64">
        <f>SUM(CV22:CW22)</f>
        <v>13200</v>
      </c>
      <c r="CY22" s="64">
        <f t="shared" si="33"/>
        <v>504800</v>
      </c>
      <c r="CZ22" s="65">
        <v>2000</v>
      </c>
      <c r="DA22" s="65">
        <v>3000</v>
      </c>
      <c r="DB22" s="51">
        <v>30000</v>
      </c>
      <c r="DC22" s="51">
        <v>8400</v>
      </c>
      <c r="DD22" s="65"/>
      <c r="DE22" s="65">
        <v>1000</v>
      </c>
      <c r="DF22" s="65">
        <v>24000</v>
      </c>
      <c r="DG22" s="65">
        <v>26000</v>
      </c>
      <c r="DH22" s="51">
        <v>15300</v>
      </c>
      <c r="DI22" s="13"/>
      <c r="DJ22" s="51"/>
      <c r="DK22" s="64">
        <f t="shared" si="83"/>
        <v>109700</v>
      </c>
      <c r="DL22" s="51">
        <f t="shared" si="84"/>
        <v>870500</v>
      </c>
      <c r="DM22" s="316">
        <f t="shared" si="85"/>
        <v>9.2245835726593908E-2</v>
      </c>
      <c r="DN22" s="51">
        <v>80300</v>
      </c>
      <c r="DO22" s="51">
        <f t="shared" si="86"/>
        <v>950800</v>
      </c>
      <c r="DP22" s="51"/>
      <c r="DQ22" s="51">
        <f t="shared" si="34"/>
        <v>950800</v>
      </c>
      <c r="DR22" s="64">
        <f t="shared" si="35"/>
        <v>113300</v>
      </c>
      <c r="DS22" s="64">
        <f t="shared" si="36"/>
        <v>70000</v>
      </c>
      <c r="DT22" s="64">
        <f t="shared" si="37"/>
        <v>279300</v>
      </c>
      <c r="DU22" s="64">
        <f t="shared" si="38"/>
        <v>29000</v>
      </c>
      <c r="DV22" s="64">
        <f t="shared" si="87"/>
        <v>491600</v>
      </c>
      <c r="DW22" s="64">
        <f t="shared" si="88"/>
        <v>126000</v>
      </c>
      <c r="DX22" s="64">
        <f>CX22</f>
        <v>13200</v>
      </c>
      <c r="DY22" s="64">
        <f t="shared" si="39"/>
        <v>130000</v>
      </c>
      <c r="DZ22" s="64">
        <f t="shared" si="40"/>
        <v>109700</v>
      </c>
      <c r="EA22" s="64">
        <f t="shared" si="41"/>
        <v>80300</v>
      </c>
      <c r="EB22" s="64">
        <f t="shared" si="42"/>
        <v>950800</v>
      </c>
      <c r="EC22" s="19">
        <f t="shared" si="43"/>
        <v>0.51703828355069414</v>
      </c>
      <c r="ED22" s="19">
        <f t="shared" si="44"/>
        <v>0.13251998317206562</v>
      </c>
      <c r="EE22" s="19">
        <f t="shared" si="45"/>
        <v>1.3883045856121162E-2</v>
      </c>
      <c r="EF22" s="19">
        <f t="shared" si="46"/>
        <v>0.13672696676482962</v>
      </c>
      <c r="EG22" s="19">
        <f t="shared" si="47"/>
        <v>0.11537652503155238</v>
      </c>
      <c r="EH22" s="20">
        <f t="shared" si="89"/>
        <v>8.4455195624737064E-2</v>
      </c>
      <c r="EI22" s="21">
        <f t="shared" si="48"/>
        <v>1</v>
      </c>
      <c r="EJ22" s="16">
        <f t="shared" si="49"/>
        <v>25.8675799086758</v>
      </c>
      <c r="EK22" s="16">
        <f t="shared" si="50"/>
        <v>15.981735159817351</v>
      </c>
      <c r="EL22" s="16">
        <f t="shared" si="51"/>
        <v>63.767123287671232</v>
      </c>
      <c r="EM22" s="16">
        <f t="shared" si="52"/>
        <v>6.6210045662100461</v>
      </c>
      <c r="EN22" s="16">
        <f t="shared" si="53"/>
        <v>112.23744292237443</v>
      </c>
      <c r="EO22" s="16">
        <f t="shared" si="54"/>
        <v>28.767123287671232</v>
      </c>
      <c r="EP22" s="16">
        <f t="shared" si="55"/>
        <v>3.0136986301369864</v>
      </c>
      <c r="EQ22" s="16">
        <f t="shared" si="56"/>
        <v>141.00456621004565</v>
      </c>
      <c r="ER22" s="16">
        <f t="shared" si="57"/>
        <v>115.25114155251141</v>
      </c>
      <c r="ES22" s="2" t="s">
        <v>179</v>
      </c>
      <c r="ET22" s="16">
        <f t="shared" si="58"/>
        <v>29.680365296803654</v>
      </c>
      <c r="EU22" s="16">
        <f t="shared" si="59"/>
        <v>25.045662100456621</v>
      </c>
      <c r="EV22" s="16">
        <f t="shared" si="60"/>
        <v>18.333333333333332</v>
      </c>
      <c r="EW22" s="16">
        <f t="shared" si="61"/>
        <v>28.767123287671232</v>
      </c>
      <c r="EX22" s="16">
        <f t="shared" si="62"/>
        <v>217.07762557077626</v>
      </c>
      <c r="EY22" s="16">
        <f t="shared" si="63"/>
        <v>255.38544184797209</v>
      </c>
      <c r="EZ22" s="16">
        <f t="shared" si="64"/>
        <v>255.53</v>
      </c>
      <c r="FA22" s="16">
        <f t="shared" si="65"/>
        <v>-38.452374429223738</v>
      </c>
      <c r="FB22" s="22">
        <f t="shared" si="66"/>
        <v>0.17916666666666667</v>
      </c>
      <c r="FC22" s="22">
        <f t="shared" si="67"/>
        <v>0.125</v>
      </c>
      <c r="FD22" s="22">
        <f t="shared" si="68"/>
        <v>0.90833333333333333</v>
      </c>
      <c r="FE22" s="22">
        <f t="shared" si="69"/>
        <v>8.3333333333333329E-2</v>
      </c>
      <c r="FF22" s="22">
        <f t="shared" si="70"/>
        <v>1.2958333333333334</v>
      </c>
      <c r="FG22" s="23">
        <f t="shared" si="71"/>
        <v>5.5813953488372094</v>
      </c>
      <c r="FH22" s="23">
        <f t="shared" si="72"/>
        <v>8</v>
      </c>
      <c r="FI22" s="23">
        <f t="shared" si="73"/>
        <v>1.1009174311926606</v>
      </c>
      <c r="FJ22" s="23">
        <f t="shared" si="74"/>
        <v>12</v>
      </c>
      <c r="FK22" s="23">
        <f t="shared" si="75"/>
        <v>0.77170418006430863</v>
      </c>
      <c r="FM22" s="52"/>
      <c r="FN22" s="46"/>
    </row>
    <row r="23" spans="1:189" s="44" customFormat="1" x14ac:dyDescent="0.2">
      <c r="A23" s="2" t="s">
        <v>223</v>
      </c>
      <c r="B23" s="2" t="s">
        <v>230</v>
      </c>
      <c r="C23" s="60">
        <v>2503</v>
      </c>
      <c r="D23" s="2" t="s">
        <v>149</v>
      </c>
      <c r="E23" s="58" t="s">
        <v>189</v>
      </c>
      <c r="F23" s="58" t="s">
        <v>241</v>
      </c>
      <c r="G23" s="34" t="s">
        <v>152</v>
      </c>
      <c r="H23" s="3" t="s">
        <v>153</v>
      </c>
      <c r="I23" s="6">
        <v>40359</v>
      </c>
      <c r="J23" s="6">
        <v>41090</v>
      </c>
      <c r="K23" s="59" t="s">
        <v>159</v>
      </c>
      <c r="L23" s="7">
        <v>15</v>
      </c>
      <c r="M23" s="8">
        <f t="shared" si="0"/>
        <v>5475</v>
      </c>
      <c r="N23" s="7"/>
      <c r="O23" s="10">
        <v>276.85000000000002</v>
      </c>
      <c r="P23" s="10"/>
      <c r="Q23" s="10"/>
      <c r="R23" s="10">
        <v>276.85000000000002</v>
      </c>
      <c r="S23" s="10" t="e">
        <f t="shared" si="76"/>
        <v>#REF!</v>
      </c>
      <c r="T23" s="17">
        <v>0.9</v>
      </c>
      <c r="U23" s="12">
        <f t="shared" si="1"/>
        <v>4927.5</v>
      </c>
      <c r="V23" s="53"/>
      <c r="W23" s="53">
        <v>0.25</v>
      </c>
      <c r="X23" s="54">
        <v>1</v>
      </c>
      <c r="Y23" s="63">
        <v>0.2</v>
      </c>
      <c r="Z23" s="37"/>
      <c r="AA23" s="57"/>
      <c r="AB23" s="57"/>
      <c r="AC23" s="57">
        <v>2</v>
      </c>
      <c r="AD23" s="57"/>
      <c r="AE23" s="57">
        <v>1</v>
      </c>
      <c r="AF23" s="57">
        <v>2</v>
      </c>
      <c r="AG23" s="57"/>
      <c r="AH23" s="56">
        <v>3</v>
      </c>
      <c r="AI23" s="56">
        <v>9</v>
      </c>
      <c r="AJ23" s="56"/>
      <c r="AK23" s="56">
        <v>2</v>
      </c>
      <c r="AL23" s="56">
        <v>2</v>
      </c>
      <c r="AM23" s="13">
        <f t="shared" si="2"/>
        <v>22.45</v>
      </c>
      <c r="AN23" s="13">
        <f t="shared" si="3"/>
        <v>1.25</v>
      </c>
      <c r="AO23" s="13">
        <f t="shared" si="4"/>
        <v>2.2000000000000002</v>
      </c>
      <c r="AP23" s="13">
        <f t="shared" si="5"/>
        <v>15</v>
      </c>
      <c r="AQ23" s="13">
        <f t="shared" si="6"/>
        <v>2</v>
      </c>
      <c r="AR23" s="48"/>
      <c r="AS23" s="48">
        <v>18000</v>
      </c>
      <c r="AT23" s="49">
        <v>50000</v>
      </c>
      <c r="AU23" s="49">
        <v>12000</v>
      </c>
      <c r="AV23" s="51"/>
      <c r="AW23" s="51"/>
      <c r="AX23" s="51"/>
      <c r="AY23" s="51">
        <v>90000</v>
      </c>
      <c r="AZ23" s="51"/>
      <c r="BA23" s="51">
        <v>35000</v>
      </c>
      <c r="BB23" s="51">
        <v>64000</v>
      </c>
      <c r="BC23" s="50"/>
      <c r="BD23" s="50">
        <v>87000</v>
      </c>
      <c r="BE23" s="50">
        <v>234000</v>
      </c>
      <c r="BF23" s="50"/>
      <c r="BG23" s="50">
        <v>50000</v>
      </c>
      <c r="BH23" s="50">
        <v>43680</v>
      </c>
      <c r="BI23" s="17">
        <f t="shared" si="77"/>
        <v>6.8250000000000005E-2</v>
      </c>
      <c r="BJ23" s="50">
        <f t="shared" si="78"/>
        <v>683680</v>
      </c>
      <c r="BK23" s="50" t="e">
        <f>#REF!</f>
        <v>#REF!</v>
      </c>
      <c r="BL23" s="50">
        <f t="shared" si="79"/>
        <v>68000</v>
      </c>
      <c r="BM23" s="50">
        <f t="shared" si="80"/>
        <v>102000</v>
      </c>
      <c r="BN23" s="50">
        <f t="shared" si="7"/>
        <v>420000</v>
      </c>
      <c r="BO23" s="50">
        <f t="shared" si="8"/>
        <v>50000</v>
      </c>
      <c r="BP23" s="50" t="str">
        <f t="shared" si="9"/>
        <v/>
      </c>
      <c r="BQ23" s="50">
        <f t="shared" si="10"/>
        <v>72000</v>
      </c>
      <c r="BR23" s="50">
        <f t="shared" si="11"/>
        <v>50000</v>
      </c>
      <c r="BS23" s="50">
        <f t="shared" si="12"/>
        <v>60000</v>
      </c>
      <c r="BT23" s="50" t="str">
        <f t="shared" si="13"/>
        <v/>
      </c>
      <c r="BU23" s="50" t="str">
        <f t="shared" si="14"/>
        <v/>
      </c>
      <c r="BV23" s="50" t="str">
        <f t="shared" si="15"/>
        <v/>
      </c>
      <c r="BW23" s="50">
        <f t="shared" si="16"/>
        <v>45000</v>
      </c>
      <c r="BX23" s="50" t="str">
        <f t="shared" si="17"/>
        <v/>
      </c>
      <c r="BY23" s="50">
        <f t="shared" si="18"/>
        <v>35000</v>
      </c>
      <c r="BZ23" s="50">
        <f t="shared" si="19"/>
        <v>32000</v>
      </c>
      <c r="CA23" s="50" t="str">
        <f t="shared" si="20"/>
        <v/>
      </c>
      <c r="CB23" s="50">
        <f t="shared" si="21"/>
        <v>29000</v>
      </c>
      <c r="CC23" s="50">
        <f t="shared" si="22"/>
        <v>26000</v>
      </c>
      <c r="CD23" s="50" t="str">
        <f t="shared" si="23"/>
        <v/>
      </c>
      <c r="CE23" s="50">
        <f t="shared" si="24"/>
        <v>25000</v>
      </c>
      <c r="CF23" s="50">
        <f t="shared" si="25"/>
        <v>21840</v>
      </c>
      <c r="CG23" s="50">
        <f t="shared" si="26"/>
        <v>30453.452115812917</v>
      </c>
      <c r="CH23" s="64">
        <f t="shared" si="27"/>
        <v>54400</v>
      </c>
      <c r="CI23" s="64">
        <f t="shared" si="28"/>
        <v>46363.63636363636</v>
      </c>
      <c r="CJ23" s="64">
        <f t="shared" si="29"/>
        <v>28000</v>
      </c>
      <c r="CK23" s="64">
        <f t="shared" si="30"/>
        <v>25000</v>
      </c>
      <c r="CL23" s="50">
        <v>74127.8</v>
      </c>
      <c r="CM23" s="50">
        <v>151919.09</v>
      </c>
      <c r="CN23" s="64">
        <f t="shared" si="31"/>
        <v>226046.89</v>
      </c>
      <c r="CO23" s="19" t="e">
        <f t="shared" si="81"/>
        <v>#REF!</v>
      </c>
      <c r="CP23" s="64" t="e">
        <f t="shared" si="90"/>
        <v>#REF!</v>
      </c>
      <c r="CQ23" s="64" t="e">
        <f t="shared" si="91"/>
        <v>#REF!</v>
      </c>
      <c r="CR23" s="50" t="e">
        <f t="shared" si="82"/>
        <v>#REF!</v>
      </c>
      <c r="CS23" s="50">
        <v>96000</v>
      </c>
      <c r="CT23" s="50">
        <v>67800</v>
      </c>
      <c r="CU23" s="51">
        <f t="shared" si="32"/>
        <v>163800</v>
      </c>
      <c r="CV23" s="50"/>
      <c r="CW23" s="50"/>
      <c r="CX23" s="64"/>
      <c r="CY23" s="64">
        <f t="shared" si="33"/>
        <v>683680</v>
      </c>
      <c r="CZ23" s="64">
        <v>3500</v>
      </c>
      <c r="DA23" s="64">
        <v>5500</v>
      </c>
      <c r="DB23" s="64">
        <v>30000</v>
      </c>
      <c r="DC23" s="64">
        <v>15774</v>
      </c>
      <c r="DD23" s="67"/>
      <c r="DE23" s="65"/>
      <c r="DF23" s="67"/>
      <c r="DG23" s="50">
        <v>9000</v>
      </c>
      <c r="DH23" s="65">
        <v>24999</v>
      </c>
      <c r="DI23" s="55"/>
      <c r="DJ23" s="49"/>
      <c r="DK23" s="64">
        <f t="shared" si="83"/>
        <v>88773</v>
      </c>
      <c r="DL23" s="51" t="e">
        <f t="shared" si="84"/>
        <v>#REF!</v>
      </c>
      <c r="DM23" s="316" t="e">
        <f t="shared" si="85"/>
        <v>#REF!</v>
      </c>
      <c r="DN23" s="65">
        <v>145000.85999999999</v>
      </c>
      <c r="DO23" s="51" t="e">
        <f t="shared" si="86"/>
        <v>#REF!</v>
      </c>
      <c r="DP23" s="64">
        <v>13687.8</v>
      </c>
      <c r="DQ23" s="51" t="e">
        <f t="shared" si="34"/>
        <v>#REF!</v>
      </c>
      <c r="DR23" s="64">
        <f t="shared" si="35"/>
        <v>68000</v>
      </c>
      <c r="DS23" s="64">
        <f t="shared" si="36"/>
        <v>102000</v>
      </c>
      <c r="DT23" s="64">
        <f t="shared" si="37"/>
        <v>420000</v>
      </c>
      <c r="DU23" s="64">
        <f t="shared" si="38"/>
        <v>50000</v>
      </c>
      <c r="DV23" s="64">
        <f t="shared" si="87"/>
        <v>683680</v>
      </c>
      <c r="DW23" s="64" t="e">
        <f t="shared" si="88"/>
        <v>#REF!</v>
      </c>
      <c r="DX23" s="64"/>
      <c r="DY23" s="64">
        <f t="shared" si="39"/>
        <v>163800</v>
      </c>
      <c r="DZ23" s="64">
        <f t="shared" si="40"/>
        <v>88773</v>
      </c>
      <c r="EA23" s="64">
        <f t="shared" si="41"/>
        <v>145000.85999999999</v>
      </c>
      <c r="EB23" s="64" t="e">
        <f t="shared" si="42"/>
        <v>#REF!</v>
      </c>
      <c r="EC23" s="19" t="e">
        <f t="shared" si="43"/>
        <v>#REF!</v>
      </c>
      <c r="ED23" s="19" t="e">
        <f t="shared" si="44"/>
        <v>#REF!</v>
      </c>
      <c r="EE23" s="19" t="e">
        <f t="shared" si="45"/>
        <v>#REF!</v>
      </c>
      <c r="EF23" s="19" t="e">
        <f t="shared" si="46"/>
        <v>#REF!</v>
      </c>
      <c r="EG23" s="19" t="e">
        <f t="shared" si="47"/>
        <v>#REF!</v>
      </c>
      <c r="EH23" s="20" t="e">
        <f t="shared" si="89"/>
        <v>#REF!</v>
      </c>
      <c r="EI23" s="21" t="e">
        <f t="shared" si="48"/>
        <v>#REF!</v>
      </c>
      <c r="EJ23" s="16">
        <f t="shared" si="49"/>
        <v>12.420091324200913</v>
      </c>
      <c r="EK23" s="16">
        <f t="shared" si="50"/>
        <v>18.63013698630137</v>
      </c>
      <c r="EL23" s="16">
        <f t="shared" si="51"/>
        <v>76.712328767123282</v>
      </c>
      <c r="EM23" s="16">
        <f t="shared" si="52"/>
        <v>9.1324200913242013</v>
      </c>
      <c r="EN23" s="16">
        <f t="shared" si="53"/>
        <v>124.87305936073059</v>
      </c>
      <c r="EO23" s="16" t="e">
        <f t="shared" si="54"/>
        <v>#REF!</v>
      </c>
      <c r="EP23" s="16" t="str">
        <f t="shared" si="55"/>
        <v/>
      </c>
      <c r="EQ23" s="16" t="e">
        <f t="shared" si="56"/>
        <v>#REF!</v>
      </c>
      <c r="ER23" s="16">
        <f t="shared" si="57"/>
        <v>124.87305936073059</v>
      </c>
      <c r="ES23" s="34" t="s">
        <v>152</v>
      </c>
      <c r="ET23" s="16">
        <f t="shared" si="58"/>
        <v>29.917808219178081</v>
      </c>
      <c r="EU23" s="16">
        <f t="shared" si="59"/>
        <v>16.214246575342464</v>
      </c>
      <c r="EV23" s="16">
        <f t="shared" si="60"/>
        <v>26.48417534246575</v>
      </c>
      <c r="EW23" s="16" t="e">
        <f t="shared" si="61"/>
        <v>#REF!</v>
      </c>
      <c r="EX23" s="16" t="e">
        <f t="shared" si="62"/>
        <v>#REF!</v>
      </c>
      <c r="EY23" s="16" t="e">
        <f t="shared" si="63"/>
        <v>#REF!</v>
      </c>
      <c r="EZ23" s="16">
        <f t="shared" si="64"/>
        <v>276.85000000000002</v>
      </c>
      <c r="FA23" s="16" t="e">
        <f t="shared" si="65"/>
        <v>#REF!</v>
      </c>
      <c r="FB23" s="22">
        <f t="shared" si="66"/>
        <v>8.3333333333333329E-2</v>
      </c>
      <c r="FC23" s="22">
        <f t="shared" si="67"/>
        <v>0.14666666666666667</v>
      </c>
      <c r="FD23" s="22">
        <f t="shared" si="68"/>
        <v>1</v>
      </c>
      <c r="FE23" s="22">
        <f t="shared" si="69"/>
        <v>0.13333333333333333</v>
      </c>
      <c r="FF23" s="22">
        <f t="shared" si="70"/>
        <v>1.4966666666666666</v>
      </c>
      <c r="FG23" s="23">
        <f t="shared" si="71"/>
        <v>12</v>
      </c>
      <c r="FH23" s="23">
        <f t="shared" si="72"/>
        <v>6.8181818181818175</v>
      </c>
      <c r="FI23" s="23">
        <f t="shared" si="73"/>
        <v>1</v>
      </c>
      <c r="FJ23" s="23">
        <f t="shared" si="74"/>
        <v>7.5</v>
      </c>
      <c r="FK23" s="23">
        <f t="shared" si="75"/>
        <v>0.66815144766146994</v>
      </c>
      <c r="FM23" s="55"/>
      <c r="FN23" s="49"/>
    </row>
    <row r="24" spans="1:189" x14ac:dyDescent="0.2">
      <c r="A24" s="34" t="s">
        <v>320</v>
      </c>
      <c r="B24" s="34" t="s">
        <v>321</v>
      </c>
      <c r="C24" s="244">
        <v>2501</v>
      </c>
      <c r="D24" s="34" t="s">
        <v>324</v>
      </c>
      <c r="E24" s="34" t="s">
        <v>322</v>
      </c>
      <c r="F24" s="245" t="s">
        <v>242</v>
      </c>
      <c r="G24" s="2" t="s">
        <v>152</v>
      </c>
      <c r="H24" s="34" t="s">
        <v>323</v>
      </c>
      <c r="I24" s="35">
        <v>39994</v>
      </c>
      <c r="J24" s="35">
        <v>40724</v>
      </c>
      <c r="K24" s="36" t="s">
        <v>205</v>
      </c>
      <c r="L24" s="251">
        <v>16</v>
      </c>
      <c r="M24" s="8">
        <f t="shared" si="0"/>
        <v>5840</v>
      </c>
      <c r="N24" s="252">
        <v>21944.959999999999</v>
      </c>
      <c r="O24" s="252">
        <v>315.81</v>
      </c>
      <c r="P24" s="10"/>
      <c r="Q24" s="10"/>
      <c r="R24" s="252">
        <v>315.81</v>
      </c>
      <c r="S24" s="10" t="e">
        <f t="shared" si="76"/>
        <v>#REF!</v>
      </c>
      <c r="T24" s="253">
        <v>0.85</v>
      </c>
      <c r="U24" s="12"/>
      <c r="V24" s="254">
        <v>0.15</v>
      </c>
      <c r="W24" s="254">
        <v>1</v>
      </c>
      <c r="X24" s="254">
        <v>1</v>
      </c>
      <c r="Y24" s="13"/>
      <c r="Z24" s="256">
        <v>1</v>
      </c>
      <c r="AA24" s="256">
        <v>1</v>
      </c>
      <c r="AB24" s="13"/>
      <c r="AC24" s="14"/>
      <c r="AD24" s="13"/>
      <c r="AE24" s="256">
        <v>1</v>
      </c>
      <c r="AF24" s="256">
        <v>4</v>
      </c>
      <c r="AG24" s="13"/>
      <c r="AH24" s="14"/>
      <c r="AI24" s="256">
        <v>11.4</v>
      </c>
      <c r="AJ24" s="256">
        <v>0.5</v>
      </c>
      <c r="AK24" s="256">
        <v>1</v>
      </c>
      <c r="AL24" s="13"/>
      <c r="AM24" s="13">
        <f t="shared" si="2"/>
        <v>22.05</v>
      </c>
      <c r="AN24" s="13">
        <f t="shared" si="3"/>
        <v>2.15</v>
      </c>
      <c r="AO24" s="13">
        <f t="shared" si="4"/>
        <v>2</v>
      </c>
      <c r="AP24" s="13">
        <f t="shared" si="5"/>
        <v>16.399999999999999</v>
      </c>
      <c r="AQ24" s="13">
        <f t="shared" si="6"/>
        <v>1.5</v>
      </c>
      <c r="AR24" s="257">
        <v>12180</v>
      </c>
      <c r="AS24" s="257">
        <v>52780</v>
      </c>
      <c r="AT24" s="257">
        <v>40070</v>
      </c>
      <c r="AU24" s="51"/>
      <c r="AV24" s="257">
        <v>50000</v>
      </c>
      <c r="AW24" s="257">
        <v>40000</v>
      </c>
      <c r="AX24" s="51"/>
      <c r="AY24" s="51"/>
      <c r="AZ24" s="51"/>
      <c r="BA24" s="257">
        <v>30650.5</v>
      </c>
      <c r="BB24" s="257">
        <v>120493.5</v>
      </c>
      <c r="BC24" s="51"/>
      <c r="BD24" s="51"/>
      <c r="BE24" s="257">
        <v>296240.52</v>
      </c>
      <c r="BF24" s="257">
        <v>16400</v>
      </c>
      <c r="BG24" s="257">
        <v>39585</v>
      </c>
      <c r="BH24" s="257">
        <v>43017</v>
      </c>
      <c r="BI24" s="17">
        <f t="shared" si="77"/>
        <v>5.1595251236261415E-2</v>
      </c>
      <c r="BJ24" s="50">
        <v>876756.52</v>
      </c>
      <c r="BK24" s="50" t="e">
        <f>#REF!</f>
        <v>#REF!</v>
      </c>
      <c r="BL24" s="50">
        <f t="shared" si="79"/>
        <v>105030</v>
      </c>
      <c r="BM24" s="50">
        <f t="shared" si="80"/>
        <v>90000</v>
      </c>
      <c r="BN24" s="50">
        <f t="shared" si="7"/>
        <v>447384.52</v>
      </c>
      <c r="BO24" s="50">
        <f t="shared" si="8"/>
        <v>55985</v>
      </c>
      <c r="BP24" s="50">
        <f t="shared" si="9"/>
        <v>81200</v>
      </c>
      <c r="BQ24" s="50">
        <f t="shared" si="10"/>
        <v>52780</v>
      </c>
      <c r="BR24" s="50">
        <f t="shared" si="11"/>
        <v>40070</v>
      </c>
      <c r="BS24" s="50" t="str">
        <f t="shared" si="12"/>
        <v/>
      </c>
      <c r="BT24" s="50">
        <f t="shared" si="13"/>
        <v>50000</v>
      </c>
      <c r="BU24" s="50">
        <f t="shared" si="14"/>
        <v>40000</v>
      </c>
      <c r="BV24" s="50" t="str">
        <f t="shared" si="15"/>
        <v/>
      </c>
      <c r="BW24" s="50" t="str">
        <f t="shared" si="16"/>
        <v/>
      </c>
      <c r="BX24" s="50" t="str">
        <f t="shared" si="17"/>
        <v/>
      </c>
      <c r="BY24" s="50">
        <f t="shared" si="18"/>
        <v>30650.5</v>
      </c>
      <c r="BZ24" s="50">
        <f t="shared" si="19"/>
        <v>30123.375</v>
      </c>
      <c r="CA24" s="50" t="str">
        <f t="shared" si="20"/>
        <v/>
      </c>
      <c r="CB24" s="50" t="str">
        <f t="shared" si="21"/>
        <v/>
      </c>
      <c r="CC24" s="50">
        <f t="shared" si="22"/>
        <v>25986.010526315789</v>
      </c>
      <c r="CD24" s="50">
        <f t="shared" si="23"/>
        <v>32800</v>
      </c>
      <c r="CE24" s="50">
        <f t="shared" si="24"/>
        <v>39585</v>
      </c>
      <c r="CF24" s="50" t="str">
        <f t="shared" si="25"/>
        <v/>
      </c>
      <c r="CG24" s="50">
        <f t="shared" si="26"/>
        <v>39762.200453514735</v>
      </c>
      <c r="CH24" s="64">
        <f t="shared" si="27"/>
        <v>48851.162790697679</v>
      </c>
      <c r="CI24" s="64">
        <f t="shared" si="28"/>
        <v>45000</v>
      </c>
      <c r="CJ24" s="64">
        <f t="shared" si="29"/>
        <v>27279.543902439029</v>
      </c>
      <c r="CK24" s="64">
        <f t="shared" si="30"/>
        <v>37323.333333333336</v>
      </c>
      <c r="CL24" s="65">
        <v>110561.45</v>
      </c>
      <c r="CM24" s="50">
        <v>114891.23</v>
      </c>
      <c r="CN24" s="64">
        <f t="shared" si="31"/>
        <v>225452.68</v>
      </c>
      <c r="CO24" s="19" t="e">
        <f t="shared" si="81"/>
        <v>#REF!</v>
      </c>
      <c r="CP24" s="64" t="e">
        <f t="shared" si="90"/>
        <v>#REF!</v>
      </c>
      <c r="CQ24" s="64" t="e">
        <f t="shared" si="91"/>
        <v>#REF!</v>
      </c>
      <c r="CR24" s="50" t="e">
        <f t="shared" si="82"/>
        <v>#REF!</v>
      </c>
      <c r="CS24" s="65">
        <v>131140</v>
      </c>
      <c r="CT24" s="65">
        <v>55988</v>
      </c>
      <c r="CU24" s="51">
        <f t="shared" si="32"/>
        <v>187128</v>
      </c>
      <c r="CV24" s="18"/>
      <c r="CW24" s="18"/>
      <c r="CX24" s="15"/>
      <c r="CY24" s="64">
        <f t="shared" si="33"/>
        <v>876756.52</v>
      </c>
      <c r="CZ24" s="65">
        <v>2500</v>
      </c>
      <c r="DA24" s="65">
        <v>3700</v>
      </c>
      <c r="DB24" s="51">
        <v>22000</v>
      </c>
      <c r="DC24" s="257">
        <v>10382</v>
      </c>
      <c r="DD24" s="257">
        <v>500</v>
      </c>
      <c r="DE24" s="257"/>
      <c r="DF24" s="257">
        <v>15700</v>
      </c>
      <c r="DG24" s="257">
        <v>9000</v>
      </c>
      <c r="DH24" s="257">
        <v>25760</v>
      </c>
      <c r="DI24" s="13"/>
      <c r="DJ24" s="15"/>
      <c r="DK24" s="64">
        <f t="shared" si="83"/>
        <v>89542</v>
      </c>
      <c r="DL24" s="51" t="e">
        <f t="shared" si="84"/>
        <v>#REF!</v>
      </c>
      <c r="DM24" s="316" t="e">
        <f t="shared" si="85"/>
        <v>#REF!</v>
      </c>
      <c r="DN24" s="255">
        <v>206820.42</v>
      </c>
      <c r="DO24" s="51" t="e">
        <f t="shared" si="86"/>
        <v>#REF!</v>
      </c>
      <c r="DP24" s="51">
        <v>18000</v>
      </c>
      <c r="DQ24" s="51">
        <v>1567699.62</v>
      </c>
      <c r="DR24" s="64">
        <f t="shared" si="35"/>
        <v>105030</v>
      </c>
      <c r="DS24" s="64">
        <f t="shared" si="36"/>
        <v>90000</v>
      </c>
      <c r="DT24" s="64">
        <f t="shared" si="37"/>
        <v>447384.52</v>
      </c>
      <c r="DU24" s="64">
        <f t="shared" si="38"/>
        <v>55985</v>
      </c>
      <c r="DV24" s="64">
        <f t="shared" si="87"/>
        <v>876756.52</v>
      </c>
      <c r="DW24" s="64" t="e">
        <f t="shared" si="88"/>
        <v>#REF!</v>
      </c>
      <c r="DX24" s="64">
        <f>CX24</f>
        <v>0</v>
      </c>
      <c r="DY24" s="64">
        <f t="shared" si="39"/>
        <v>187128</v>
      </c>
      <c r="DZ24" s="64">
        <f t="shared" si="40"/>
        <v>89542</v>
      </c>
      <c r="EA24" s="64">
        <f t="shared" si="41"/>
        <v>206820.42</v>
      </c>
      <c r="EB24" s="64" t="e">
        <f t="shared" si="42"/>
        <v>#REF!</v>
      </c>
      <c r="EC24" s="19" t="e">
        <f t="shared" si="43"/>
        <v>#REF!</v>
      </c>
      <c r="ED24" s="19" t="e">
        <f t="shared" si="44"/>
        <v>#REF!</v>
      </c>
      <c r="EE24" s="19" t="e">
        <f t="shared" si="45"/>
        <v>#REF!</v>
      </c>
      <c r="EF24" s="19" t="e">
        <f t="shared" si="46"/>
        <v>#REF!</v>
      </c>
      <c r="EG24" s="19" t="e">
        <f t="shared" si="47"/>
        <v>#REF!</v>
      </c>
      <c r="EH24" s="20" t="e">
        <f t="shared" si="89"/>
        <v>#REF!</v>
      </c>
      <c r="EI24" s="21" t="e">
        <f t="shared" si="48"/>
        <v>#REF!</v>
      </c>
      <c r="EJ24" s="16">
        <f t="shared" si="49"/>
        <v>17.984589041095891</v>
      </c>
      <c r="EK24" s="16">
        <f t="shared" si="50"/>
        <v>15.41095890410959</v>
      </c>
      <c r="EL24" s="16">
        <f t="shared" si="51"/>
        <v>76.606938356164392</v>
      </c>
      <c r="EM24" s="16">
        <f t="shared" si="52"/>
        <v>9.5864726027397253</v>
      </c>
      <c r="EN24" s="16">
        <f t="shared" si="53"/>
        <v>150.1295410958904</v>
      </c>
      <c r="EO24" s="16" t="e">
        <f t="shared" si="54"/>
        <v>#REF!</v>
      </c>
      <c r="EP24" s="16">
        <f t="shared" si="55"/>
        <v>0</v>
      </c>
      <c r="EQ24" s="16" t="e">
        <f t="shared" si="56"/>
        <v>#REF!</v>
      </c>
      <c r="ER24" s="16">
        <f t="shared" si="57"/>
        <v>150.1295410958904</v>
      </c>
      <c r="ES24" s="2" t="s">
        <v>152</v>
      </c>
      <c r="ET24" s="16">
        <f t="shared" si="58"/>
        <v>32.042465753424658</v>
      </c>
      <c r="EU24" s="16">
        <f t="shared" si="59"/>
        <v>15.332534246575342</v>
      </c>
      <c r="EV24" s="16">
        <f t="shared" si="60"/>
        <v>35.414455479452059</v>
      </c>
      <c r="EW24" s="16" t="e">
        <f t="shared" si="61"/>
        <v>#REF!</v>
      </c>
      <c r="EX24" s="16" t="e">
        <f t="shared" si="62"/>
        <v>#REF!</v>
      </c>
      <c r="EY24" s="16" t="e">
        <f t="shared" si="63"/>
        <v>#REF!</v>
      </c>
      <c r="EZ24" s="16">
        <f t="shared" si="64"/>
        <v>315.81</v>
      </c>
      <c r="FA24" s="16" t="e">
        <f t="shared" si="65"/>
        <v>#REF!</v>
      </c>
      <c r="FB24" s="22">
        <f t="shared" si="66"/>
        <v>0.13437499999999999</v>
      </c>
      <c r="FC24" s="22">
        <f t="shared" si="67"/>
        <v>0.125</v>
      </c>
      <c r="FD24" s="22">
        <f t="shared" si="68"/>
        <v>1.0249999999999999</v>
      </c>
      <c r="FE24" s="22">
        <f t="shared" si="69"/>
        <v>9.375E-2</v>
      </c>
      <c r="FF24" s="22">
        <f t="shared" si="70"/>
        <v>1.378125</v>
      </c>
      <c r="FG24" s="23">
        <f t="shared" si="71"/>
        <v>7.441860465116279</v>
      </c>
      <c r="FH24" s="23">
        <f t="shared" si="72"/>
        <v>8</v>
      </c>
      <c r="FI24" s="23">
        <f t="shared" si="73"/>
        <v>0.97560975609756106</v>
      </c>
      <c r="FJ24" s="23">
        <f t="shared" si="74"/>
        <v>10.666666666666666</v>
      </c>
      <c r="FK24" s="23">
        <f t="shared" si="75"/>
        <v>0.7256235827664399</v>
      </c>
      <c r="FM24" s="256"/>
      <c r="FN24" s="255"/>
      <c r="GG24" s="55"/>
    </row>
    <row r="25" spans="1:189" s="24" customFormat="1" x14ac:dyDescent="0.2">
      <c r="A25" s="2" t="s">
        <v>181</v>
      </c>
      <c r="B25" s="2" t="s">
        <v>218</v>
      </c>
      <c r="C25" s="3">
        <v>2503</v>
      </c>
      <c r="D25" s="2" t="s">
        <v>149</v>
      </c>
      <c r="E25" s="61" t="s">
        <v>219</v>
      </c>
      <c r="F25" s="4" t="s">
        <v>190</v>
      </c>
      <c r="G25" s="2" t="s">
        <v>179</v>
      </c>
      <c r="H25" s="5" t="s">
        <v>220</v>
      </c>
      <c r="I25" s="6">
        <v>40359</v>
      </c>
      <c r="J25" s="6">
        <v>41090</v>
      </c>
      <c r="K25" s="6" t="s">
        <v>159</v>
      </c>
      <c r="L25" s="7">
        <v>16</v>
      </c>
      <c r="M25" s="8">
        <f t="shared" si="0"/>
        <v>5840</v>
      </c>
      <c r="N25" s="9">
        <v>91682.01</v>
      </c>
      <c r="O25" s="10">
        <v>299.44</v>
      </c>
      <c r="P25" s="10">
        <v>347.77</v>
      </c>
      <c r="Q25" s="10">
        <v>336.81</v>
      </c>
      <c r="R25" s="10">
        <v>336.81</v>
      </c>
      <c r="S25" s="10" t="e">
        <f t="shared" si="76"/>
        <v>#REF!</v>
      </c>
      <c r="T25" s="11">
        <v>0.8</v>
      </c>
      <c r="U25" s="12">
        <f>M25*T25</f>
        <v>4672</v>
      </c>
      <c r="V25" s="13">
        <v>0.33</v>
      </c>
      <c r="W25" s="13">
        <v>1</v>
      </c>
      <c r="X25" s="13">
        <v>1</v>
      </c>
      <c r="Y25" s="13"/>
      <c r="Z25" s="13">
        <v>1</v>
      </c>
      <c r="AA25" s="13">
        <v>1</v>
      </c>
      <c r="AB25" s="13"/>
      <c r="AC25" s="14"/>
      <c r="AD25" s="14"/>
      <c r="AE25" s="14"/>
      <c r="AF25" s="14">
        <v>6</v>
      </c>
      <c r="AG25" s="14"/>
      <c r="AH25" s="14">
        <v>9.8000000000000007</v>
      </c>
      <c r="AI25" s="14"/>
      <c r="AJ25" s="14">
        <v>1</v>
      </c>
      <c r="AK25" s="14">
        <v>1</v>
      </c>
      <c r="AL25" s="14"/>
      <c r="AM25" s="13">
        <f t="shared" si="2"/>
        <v>22.130000000000003</v>
      </c>
      <c r="AN25" s="13">
        <f t="shared" si="3"/>
        <v>2.33</v>
      </c>
      <c r="AO25" s="13">
        <f t="shared" si="4"/>
        <v>2</v>
      </c>
      <c r="AP25" s="13">
        <f t="shared" si="5"/>
        <v>15.8</v>
      </c>
      <c r="AQ25" s="13">
        <f t="shared" si="6"/>
        <v>2</v>
      </c>
      <c r="AR25" s="51">
        <v>24922</v>
      </c>
      <c r="AS25" s="51">
        <v>50000</v>
      </c>
      <c r="AT25" s="51">
        <v>40000</v>
      </c>
      <c r="AU25" s="51"/>
      <c r="AV25" s="51">
        <v>50000</v>
      </c>
      <c r="AW25" s="70">
        <v>45000</v>
      </c>
      <c r="AX25" s="51"/>
      <c r="AY25" s="51"/>
      <c r="AZ25" s="51"/>
      <c r="BA25" s="51"/>
      <c r="BB25" s="51">
        <v>172300</v>
      </c>
      <c r="BC25" s="51"/>
      <c r="BD25" s="51">
        <v>254800</v>
      </c>
      <c r="BE25" s="51"/>
      <c r="BF25" s="51">
        <v>30000</v>
      </c>
      <c r="BG25" s="51">
        <v>34580</v>
      </c>
      <c r="BH25" s="51">
        <v>68208</v>
      </c>
      <c r="BI25" s="17">
        <f t="shared" si="77"/>
        <v>9.7217510782466418E-2</v>
      </c>
      <c r="BJ25" s="50">
        <f>SUM(AR25:BH25)</f>
        <v>769810</v>
      </c>
      <c r="BK25" s="50" t="e">
        <f>#REF!</f>
        <v>#REF!</v>
      </c>
      <c r="BL25" s="50">
        <f t="shared" si="79"/>
        <v>114922</v>
      </c>
      <c r="BM25" s="50">
        <f t="shared" si="80"/>
        <v>95000</v>
      </c>
      <c r="BN25" s="50">
        <f t="shared" si="7"/>
        <v>427100</v>
      </c>
      <c r="BO25" s="50">
        <f t="shared" si="8"/>
        <v>64580</v>
      </c>
      <c r="BP25" s="50">
        <f t="shared" si="9"/>
        <v>75521.212121212113</v>
      </c>
      <c r="BQ25" s="50">
        <f t="shared" si="10"/>
        <v>50000</v>
      </c>
      <c r="BR25" s="50">
        <f t="shared" si="11"/>
        <v>40000</v>
      </c>
      <c r="BS25" s="50" t="str">
        <f t="shared" si="12"/>
        <v/>
      </c>
      <c r="BT25" s="50">
        <f t="shared" si="13"/>
        <v>50000</v>
      </c>
      <c r="BU25" s="50">
        <f t="shared" si="14"/>
        <v>45000</v>
      </c>
      <c r="BV25" s="50" t="str">
        <f t="shared" si="15"/>
        <v/>
      </c>
      <c r="BW25" s="50" t="str">
        <f t="shared" si="16"/>
        <v/>
      </c>
      <c r="BX25" s="50" t="str">
        <f t="shared" si="17"/>
        <v/>
      </c>
      <c r="BY25" s="50" t="str">
        <f t="shared" si="18"/>
        <v/>
      </c>
      <c r="BZ25" s="50">
        <f t="shared" si="19"/>
        <v>28716.666666666668</v>
      </c>
      <c r="CA25" s="50" t="str">
        <f t="shared" si="20"/>
        <v/>
      </c>
      <c r="CB25" s="50">
        <f t="shared" si="21"/>
        <v>25999.999999999996</v>
      </c>
      <c r="CC25" s="50" t="str">
        <f t="shared" si="22"/>
        <v/>
      </c>
      <c r="CD25" s="50">
        <f t="shared" si="23"/>
        <v>30000</v>
      </c>
      <c r="CE25" s="50">
        <f t="shared" si="24"/>
        <v>34580</v>
      </c>
      <c r="CF25" s="50" t="str">
        <f t="shared" si="25"/>
        <v/>
      </c>
      <c r="CG25" s="50">
        <f t="shared" si="26"/>
        <v>34785.811116131947</v>
      </c>
      <c r="CH25" s="64">
        <f t="shared" si="27"/>
        <v>49322.746781115879</v>
      </c>
      <c r="CI25" s="64">
        <f t="shared" si="28"/>
        <v>47500</v>
      </c>
      <c r="CJ25" s="64">
        <f t="shared" si="29"/>
        <v>27031.64556962025</v>
      </c>
      <c r="CK25" s="64">
        <f t="shared" si="30"/>
        <v>32290</v>
      </c>
      <c r="CL25" s="65">
        <v>94247.6</v>
      </c>
      <c r="CM25" s="50">
        <v>108694.28</v>
      </c>
      <c r="CN25" s="64">
        <f t="shared" si="31"/>
        <v>202941.88</v>
      </c>
      <c r="CO25" s="19" t="e">
        <f t="shared" si="81"/>
        <v>#REF!</v>
      </c>
      <c r="CP25" s="64" t="e">
        <f t="shared" si="90"/>
        <v>#REF!</v>
      </c>
      <c r="CQ25" s="64" t="e">
        <f t="shared" si="91"/>
        <v>#REF!</v>
      </c>
      <c r="CR25" s="50" t="e">
        <f t="shared" si="82"/>
        <v>#REF!</v>
      </c>
      <c r="CS25" s="65">
        <v>162550</v>
      </c>
      <c r="CT25" s="65">
        <v>59475</v>
      </c>
      <c r="CU25" s="51">
        <f t="shared" si="32"/>
        <v>222025</v>
      </c>
      <c r="CV25" s="65">
        <v>2000</v>
      </c>
      <c r="CW25" s="65"/>
      <c r="CX25" s="64">
        <f>SUM(CV25:CW25)</f>
        <v>2000</v>
      </c>
      <c r="CY25" s="64">
        <f t="shared" si="33"/>
        <v>771810</v>
      </c>
      <c r="CZ25" s="65">
        <v>3000</v>
      </c>
      <c r="DA25" s="65">
        <v>2633</v>
      </c>
      <c r="DB25" s="51">
        <f>40000+9475</f>
        <v>49475</v>
      </c>
      <c r="DC25" s="51">
        <v>2500</v>
      </c>
      <c r="DD25" s="65"/>
      <c r="DE25" s="65"/>
      <c r="DF25" s="65"/>
      <c r="DG25" s="65">
        <v>4853</v>
      </c>
      <c r="DH25" s="51">
        <f>45418+1469</f>
        <v>46887</v>
      </c>
      <c r="DI25" s="13"/>
      <c r="DJ25" s="51"/>
      <c r="DK25" s="64">
        <f t="shared" si="83"/>
        <v>109348</v>
      </c>
      <c r="DL25" s="51" t="e">
        <f t="shared" si="84"/>
        <v>#REF!</v>
      </c>
      <c r="DM25" s="316" t="e">
        <f t="shared" si="85"/>
        <v>#REF!</v>
      </c>
      <c r="DN25" s="51">
        <v>203259</v>
      </c>
      <c r="DO25" s="51" t="e">
        <f t="shared" si="86"/>
        <v>#REF!</v>
      </c>
      <c r="DP25" s="51">
        <v>10000.01</v>
      </c>
      <c r="DQ25" s="51" t="e">
        <f>DO25-DP25</f>
        <v>#REF!</v>
      </c>
      <c r="DR25" s="64">
        <f t="shared" si="35"/>
        <v>114922</v>
      </c>
      <c r="DS25" s="64">
        <f t="shared" si="36"/>
        <v>95000</v>
      </c>
      <c r="DT25" s="64">
        <f t="shared" si="37"/>
        <v>427100</v>
      </c>
      <c r="DU25" s="64">
        <f t="shared" si="38"/>
        <v>64580</v>
      </c>
      <c r="DV25" s="64">
        <f t="shared" si="87"/>
        <v>769810</v>
      </c>
      <c r="DW25" s="64" t="e">
        <f t="shared" si="88"/>
        <v>#REF!</v>
      </c>
      <c r="DX25" s="64">
        <f>CX25</f>
        <v>2000</v>
      </c>
      <c r="DY25" s="64">
        <f t="shared" si="39"/>
        <v>222025</v>
      </c>
      <c r="DZ25" s="64">
        <f t="shared" si="40"/>
        <v>109348</v>
      </c>
      <c r="EA25" s="64">
        <f t="shared" si="41"/>
        <v>203259</v>
      </c>
      <c r="EB25" s="64" t="e">
        <f t="shared" si="42"/>
        <v>#REF!</v>
      </c>
      <c r="EC25" s="19" t="e">
        <f t="shared" si="43"/>
        <v>#REF!</v>
      </c>
      <c r="ED25" s="19" t="e">
        <f t="shared" si="44"/>
        <v>#REF!</v>
      </c>
      <c r="EE25" s="19" t="e">
        <f t="shared" si="45"/>
        <v>#REF!</v>
      </c>
      <c r="EF25" s="19" t="e">
        <f t="shared" si="46"/>
        <v>#REF!</v>
      </c>
      <c r="EG25" s="19" t="e">
        <f t="shared" si="47"/>
        <v>#REF!</v>
      </c>
      <c r="EH25" s="20" t="e">
        <f t="shared" si="89"/>
        <v>#REF!</v>
      </c>
      <c r="EI25" s="21" t="e">
        <f t="shared" si="48"/>
        <v>#REF!</v>
      </c>
      <c r="EJ25" s="16">
        <f t="shared" si="49"/>
        <v>19.678424657534247</v>
      </c>
      <c r="EK25" s="16">
        <f t="shared" si="50"/>
        <v>16.267123287671232</v>
      </c>
      <c r="EL25" s="16">
        <f t="shared" si="51"/>
        <v>73.13356164383562</v>
      </c>
      <c r="EM25" s="16">
        <f t="shared" si="52"/>
        <v>11.058219178082192</v>
      </c>
      <c r="EN25" s="16">
        <f t="shared" si="53"/>
        <v>131.8167808219178</v>
      </c>
      <c r="EO25" s="16" t="e">
        <f t="shared" si="54"/>
        <v>#REF!</v>
      </c>
      <c r="EP25" s="16">
        <f t="shared" si="55"/>
        <v>0.34246575342465752</v>
      </c>
      <c r="EQ25" s="16" t="e">
        <f t="shared" si="56"/>
        <v>#REF!</v>
      </c>
      <c r="ER25" s="16">
        <f t="shared" si="57"/>
        <v>132.15924657534248</v>
      </c>
      <c r="ES25" s="2" t="s">
        <v>179</v>
      </c>
      <c r="ET25" s="16">
        <f t="shared" si="58"/>
        <v>38.017979452054796</v>
      </c>
      <c r="EU25" s="16">
        <f t="shared" si="59"/>
        <v>18.723972602739725</v>
      </c>
      <c r="EV25" s="16">
        <f t="shared" si="60"/>
        <v>34.804623287671234</v>
      </c>
      <c r="EW25" s="16" t="e">
        <f t="shared" si="61"/>
        <v>#REF!</v>
      </c>
      <c r="EX25" s="16" t="e">
        <f t="shared" si="62"/>
        <v>#REF!</v>
      </c>
      <c r="EY25" s="16" t="e">
        <f t="shared" si="63"/>
        <v>#REF!</v>
      </c>
      <c r="EZ25" s="16">
        <f t="shared" si="64"/>
        <v>336.81</v>
      </c>
      <c r="FA25" s="16" t="e">
        <f t="shared" si="65"/>
        <v>#REF!</v>
      </c>
      <c r="FB25" s="22">
        <f t="shared" si="66"/>
        <v>0.145625</v>
      </c>
      <c r="FC25" s="22">
        <f t="shared" si="67"/>
        <v>0.125</v>
      </c>
      <c r="FD25" s="22">
        <f t="shared" si="68"/>
        <v>0.98750000000000004</v>
      </c>
      <c r="FE25" s="22">
        <f t="shared" si="69"/>
        <v>0.125</v>
      </c>
      <c r="FF25" s="22">
        <f t="shared" si="70"/>
        <v>1.3831250000000002</v>
      </c>
      <c r="FG25" s="23">
        <f t="shared" si="71"/>
        <v>6.866952789699571</v>
      </c>
      <c r="FH25" s="23">
        <f t="shared" si="72"/>
        <v>8</v>
      </c>
      <c r="FI25" s="23">
        <f t="shared" si="73"/>
        <v>1.0126582278481011</v>
      </c>
      <c r="FJ25" s="23">
        <f t="shared" si="74"/>
        <v>8</v>
      </c>
      <c r="FK25" s="23">
        <f t="shared" si="75"/>
        <v>0.72300045187528239</v>
      </c>
    </row>
    <row r="26" spans="1:189" s="24" customFormat="1" x14ac:dyDescent="0.2">
      <c r="A26" s="2" t="s">
        <v>175</v>
      </c>
      <c r="B26" s="2" t="s">
        <v>221</v>
      </c>
      <c r="C26" s="3">
        <v>2503</v>
      </c>
      <c r="D26" s="2" t="s">
        <v>149</v>
      </c>
      <c r="E26" s="61" t="s">
        <v>222</v>
      </c>
      <c r="F26" s="4" t="s">
        <v>157</v>
      </c>
      <c r="G26" s="2" t="s">
        <v>179</v>
      </c>
      <c r="H26" s="5" t="s">
        <v>153</v>
      </c>
      <c r="I26" s="6">
        <v>40359</v>
      </c>
      <c r="J26" s="6">
        <v>41090</v>
      </c>
      <c r="K26" s="6" t="s">
        <v>159</v>
      </c>
      <c r="L26" s="7">
        <v>20</v>
      </c>
      <c r="M26" s="8">
        <f t="shared" si="0"/>
        <v>7300</v>
      </c>
      <c r="N26" s="10">
        <v>290431</v>
      </c>
      <c r="O26" s="10">
        <v>240.63</v>
      </c>
      <c r="P26" s="10">
        <v>330.38</v>
      </c>
      <c r="Q26" s="10">
        <v>289.86</v>
      </c>
      <c r="R26" s="10">
        <v>289.86</v>
      </c>
      <c r="S26" s="10">
        <f t="shared" si="76"/>
        <v>313.81095890410955</v>
      </c>
      <c r="T26" s="11">
        <v>0.9</v>
      </c>
      <c r="U26" s="12">
        <f>M26*T26</f>
        <v>6570</v>
      </c>
      <c r="V26" s="13">
        <v>0.21</v>
      </c>
      <c r="W26" s="13">
        <v>1</v>
      </c>
      <c r="X26" s="13">
        <v>1</v>
      </c>
      <c r="Y26" s="14"/>
      <c r="Z26" s="14">
        <v>1</v>
      </c>
      <c r="AA26" s="14"/>
      <c r="AB26" s="14"/>
      <c r="AC26" s="14"/>
      <c r="AD26" s="14">
        <v>2</v>
      </c>
      <c r="AE26" s="14"/>
      <c r="AF26" s="14">
        <v>2</v>
      </c>
      <c r="AG26" s="14">
        <v>5</v>
      </c>
      <c r="AH26" s="14">
        <v>4</v>
      </c>
      <c r="AI26" s="14">
        <v>12</v>
      </c>
      <c r="AJ26" s="14"/>
      <c r="AK26" s="14">
        <v>0.5</v>
      </c>
      <c r="AL26" s="14"/>
      <c r="AM26" s="13">
        <f t="shared" si="2"/>
        <v>28.71</v>
      </c>
      <c r="AN26" s="13">
        <f t="shared" si="3"/>
        <v>2.21</v>
      </c>
      <c r="AO26" s="13">
        <f t="shared" si="4"/>
        <v>3</v>
      </c>
      <c r="AP26" s="13">
        <f t="shared" si="5"/>
        <v>23</v>
      </c>
      <c r="AQ26" s="13">
        <f t="shared" si="6"/>
        <v>0.5</v>
      </c>
      <c r="AR26" s="51">
        <v>17656.64</v>
      </c>
      <c r="AS26" s="51">
        <v>57454.14</v>
      </c>
      <c r="AT26" s="51">
        <v>61579.23</v>
      </c>
      <c r="AU26" s="51"/>
      <c r="AV26" s="51">
        <v>48597.8</v>
      </c>
      <c r="AW26" s="51"/>
      <c r="AX26" s="51"/>
      <c r="AY26" s="51"/>
      <c r="AZ26" s="70">
        <v>90000</v>
      </c>
      <c r="BA26" s="51">
        <v>16239.95</v>
      </c>
      <c r="BB26" s="51">
        <v>76170.97</v>
      </c>
      <c r="BC26" s="51">
        <v>155705.22</v>
      </c>
      <c r="BD26" s="51">
        <v>113862.64</v>
      </c>
      <c r="BE26" s="51">
        <v>354746.95</v>
      </c>
      <c r="BF26" s="51"/>
      <c r="BG26" s="51">
        <v>24286.52</v>
      </c>
      <c r="BH26" s="51">
        <v>87672.69</v>
      </c>
      <c r="BI26" s="17">
        <f t="shared" si="77"/>
        <v>8.6266540218446902E-2</v>
      </c>
      <c r="BJ26" s="50">
        <f>SUM(AR26:BH26)</f>
        <v>1103972.75</v>
      </c>
      <c r="BK26" s="50"/>
      <c r="BL26" s="50">
        <f t="shared" si="79"/>
        <v>136690.01</v>
      </c>
      <c r="BM26" s="50">
        <f t="shared" si="80"/>
        <v>138597.79999999999</v>
      </c>
      <c r="BN26" s="50">
        <f t="shared" si="7"/>
        <v>716725.73</v>
      </c>
      <c r="BO26" s="50">
        <f t="shared" si="8"/>
        <v>24286.52</v>
      </c>
      <c r="BP26" s="50">
        <f t="shared" si="9"/>
        <v>84079.238095238092</v>
      </c>
      <c r="BQ26" s="50">
        <f t="shared" si="10"/>
        <v>57454.14</v>
      </c>
      <c r="BR26" s="50">
        <f t="shared" si="11"/>
        <v>61579.23</v>
      </c>
      <c r="BS26" s="50" t="str">
        <f t="shared" si="12"/>
        <v/>
      </c>
      <c r="BT26" s="50">
        <f t="shared" si="13"/>
        <v>48597.8</v>
      </c>
      <c r="BU26" s="50" t="str">
        <f t="shared" si="14"/>
        <v/>
      </c>
      <c r="BV26" s="50" t="str">
        <f t="shared" si="15"/>
        <v/>
      </c>
      <c r="BW26" s="50" t="str">
        <f t="shared" si="16"/>
        <v/>
      </c>
      <c r="BX26" s="50">
        <f t="shared" si="17"/>
        <v>45000</v>
      </c>
      <c r="BY26" s="50" t="str">
        <f t="shared" si="18"/>
        <v/>
      </c>
      <c r="BZ26" s="50">
        <f t="shared" si="19"/>
        <v>38085.485000000001</v>
      </c>
      <c r="CA26" s="50">
        <f t="shared" si="20"/>
        <v>31141.044000000002</v>
      </c>
      <c r="CB26" s="50">
        <f t="shared" si="21"/>
        <v>28465.66</v>
      </c>
      <c r="CC26" s="50">
        <f t="shared" si="22"/>
        <v>29562.245833333334</v>
      </c>
      <c r="CD26" s="50" t="str">
        <f t="shared" si="23"/>
        <v/>
      </c>
      <c r="CE26" s="50">
        <f t="shared" si="24"/>
        <v>48573.04</v>
      </c>
      <c r="CF26" s="50" t="str">
        <f t="shared" si="25"/>
        <v/>
      </c>
      <c r="CG26" s="50">
        <f t="shared" si="26"/>
        <v>38452.551375827235</v>
      </c>
      <c r="CH26" s="64">
        <f t="shared" si="27"/>
        <v>61850.683257918558</v>
      </c>
      <c r="CI26" s="64">
        <f t="shared" si="28"/>
        <v>46199.266666666663</v>
      </c>
      <c r="CJ26" s="64">
        <f t="shared" si="29"/>
        <v>31161.988260869566</v>
      </c>
      <c r="CK26" s="318">
        <f t="shared" si="30"/>
        <v>48573.04</v>
      </c>
      <c r="CL26" s="65">
        <v>102485.92</v>
      </c>
      <c r="CM26" s="50">
        <v>190219.76</v>
      </c>
      <c r="CN26" s="64">
        <f t="shared" si="31"/>
        <v>292705.68</v>
      </c>
      <c r="CO26" s="19">
        <f t="shared" si="81"/>
        <v>0.26513850092767233</v>
      </c>
      <c r="CP26" s="64" t="str">
        <f t="shared" si="90"/>
        <v/>
      </c>
      <c r="CQ26" s="64">
        <f t="shared" si="91"/>
        <v>292705.68</v>
      </c>
      <c r="CR26" s="50">
        <f t="shared" si="82"/>
        <v>1396678.43</v>
      </c>
      <c r="CS26" s="65">
        <v>122138.93</v>
      </c>
      <c r="CT26" s="65">
        <v>140360.22</v>
      </c>
      <c r="CU26" s="51">
        <f t="shared" si="32"/>
        <v>262499.15000000002</v>
      </c>
      <c r="CV26" s="65">
        <v>33495.19</v>
      </c>
      <c r="CW26" s="65"/>
      <c r="CX26" s="64">
        <f>SUM(CV26:CW26)</f>
        <v>33495.19</v>
      </c>
      <c r="CY26" s="64">
        <f t="shared" si="33"/>
        <v>1137467.94</v>
      </c>
      <c r="CZ26" s="65">
        <v>5848.65</v>
      </c>
      <c r="DA26" s="65">
        <v>22288.76</v>
      </c>
      <c r="DB26" s="51">
        <v>30426.42</v>
      </c>
      <c r="DC26" s="51">
        <v>23480.82</v>
      </c>
      <c r="DD26" s="65"/>
      <c r="DE26" s="65"/>
      <c r="DF26" s="65"/>
      <c r="DG26" s="65">
        <v>24607.599999999999</v>
      </c>
      <c r="DH26" s="51">
        <v>43789.33</v>
      </c>
      <c r="DI26" s="13">
        <v>0.1</v>
      </c>
      <c r="DJ26" s="51">
        <v>4764.49</v>
      </c>
      <c r="DK26" s="64">
        <f t="shared" si="83"/>
        <v>155206.07</v>
      </c>
      <c r="DL26" s="51">
        <f t="shared" si="84"/>
        <v>1847878.8399999999</v>
      </c>
      <c r="DM26" s="316">
        <f t="shared" si="85"/>
        <v>0.11573224140604371</v>
      </c>
      <c r="DN26" s="51">
        <v>213859.16</v>
      </c>
      <c r="DO26" s="51">
        <f t="shared" si="86"/>
        <v>2061737.9999999998</v>
      </c>
      <c r="DP26" s="51">
        <v>44128.5</v>
      </c>
      <c r="DQ26" s="51">
        <f>DO26-DP26</f>
        <v>2017609.4999999998</v>
      </c>
      <c r="DR26" s="64">
        <f t="shared" si="35"/>
        <v>136690.01</v>
      </c>
      <c r="DS26" s="64">
        <f t="shared" si="36"/>
        <v>138597.79999999999</v>
      </c>
      <c r="DT26" s="64">
        <f t="shared" si="37"/>
        <v>716725.73</v>
      </c>
      <c r="DU26" s="64">
        <f t="shared" si="38"/>
        <v>24286.52</v>
      </c>
      <c r="DV26" s="64">
        <f t="shared" si="87"/>
        <v>1103972.75</v>
      </c>
      <c r="DW26" s="64">
        <f t="shared" si="88"/>
        <v>292705.68</v>
      </c>
      <c r="DX26" s="64">
        <f>CX26</f>
        <v>33495.19</v>
      </c>
      <c r="DY26" s="64">
        <f t="shared" si="39"/>
        <v>262499.15000000002</v>
      </c>
      <c r="DZ26" s="64">
        <f t="shared" si="40"/>
        <v>155206.07</v>
      </c>
      <c r="EA26" s="64">
        <f t="shared" si="41"/>
        <v>213859.16</v>
      </c>
      <c r="EB26" s="64">
        <f t="shared" si="42"/>
        <v>2061737.9999999998</v>
      </c>
      <c r="EC26" s="19">
        <f t="shared" si="43"/>
        <v>0.53545734230052511</v>
      </c>
      <c r="ED26" s="19">
        <f t="shared" si="44"/>
        <v>0.14197035704827676</v>
      </c>
      <c r="EE26" s="19">
        <f t="shared" si="45"/>
        <v>1.6246094314602538E-2</v>
      </c>
      <c r="EF26" s="19">
        <f t="shared" si="46"/>
        <v>0.12731935386552512</v>
      </c>
      <c r="EG26" s="19">
        <f t="shared" si="47"/>
        <v>7.527924013623459E-2</v>
      </c>
      <c r="EH26" s="20">
        <f t="shared" si="89"/>
        <v>0.10372761233483596</v>
      </c>
      <c r="EI26" s="21">
        <f t="shared" si="48"/>
        <v>1</v>
      </c>
      <c r="EJ26" s="16">
        <f t="shared" si="49"/>
        <v>18.724658904109589</v>
      </c>
      <c r="EK26" s="16">
        <f t="shared" si="50"/>
        <v>18.985999999999997</v>
      </c>
      <c r="EL26" s="16">
        <f t="shared" si="51"/>
        <v>98.18160684931506</v>
      </c>
      <c r="EM26" s="16">
        <f t="shared" si="52"/>
        <v>3.3269205479452055</v>
      </c>
      <c r="EN26" s="16">
        <f t="shared" si="53"/>
        <v>151.22914383561644</v>
      </c>
      <c r="EO26" s="16">
        <f t="shared" si="54"/>
        <v>40.09666849315068</v>
      </c>
      <c r="EP26" s="16">
        <f t="shared" si="55"/>
        <v>4.5883821917808225</v>
      </c>
      <c r="EQ26" s="16">
        <f t="shared" si="56"/>
        <v>191.32581232876711</v>
      </c>
      <c r="ER26" s="16">
        <f t="shared" si="57"/>
        <v>155.81752602739726</v>
      </c>
      <c r="ES26" s="2" t="s">
        <v>179</v>
      </c>
      <c r="ET26" s="16">
        <f t="shared" si="58"/>
        <v>35.958787671232876</v>
      </c>
      <c r="EU26" s="16">
        <f t="shared" si="59"/>
        <v>21.261105479452056</v>
      </c>
      <c r="EV26" s="16">
        <f t="shared" si="60"/>
        <v>29.295775342465753</v>
      </c>
      <c r="EW26" s="16">
        <f t="shared" si="61"/>
        <v>40.09666849315068</v>
      </c>
      <c r="EX26" s="16">
        <f t="shared" si="62"/>
        <v>282.42986301369859</v>
      </c>
      <c r="EY26" s="16">
        <f t="shared" si="63"/>
        <v>313.81095890410955</v>
      </c>
      <c r="EZ26" s="16">
        <f t="shared" si="64"/>
        <v>289.86</v>
      </c>
      <c r="FA26" s="16">
        <f t="shared" si="65"/>
        <v>-7.4301369863014202</v>
      </c>
      <c r="FB26" s="22">
        <f t="shared" si="66"/>
        <v>0.1105</v>
      </c>
      <c r="FC26" s="22">
        <f t="shared" si="67"/>
        <v>0.15</v>
      </c>
      <c r="FD26" s="22">
        <f t="shared" si="68"/>
        <v>1.1499999999999999</v>
      </c>
      <c r="FE26" s="22">
        <f t="shared" si="69"/>
        <v>2.5000000000000001E-2</v>
      </c>
      <c r="FF26" s="22">
        <f t="shared" si="70"/>
        <v>1.4355</v>
      </c>
      <c r="FG26" s="23">
        <f t="shared" si="71"/>
        <v>9.0497737556561084</v>
      </c>
      <c r="FH26" s="23">
        <f t="shared" si="72"/>
        <v>6.666666666666667</v>
      </c>
      <c r="FI26" s="23">
        <f t="shared" si="73"/>
        <v>0.86956521739130432</v>
      </c>
      <c r="FJ26" s="23">
        <f t="shared" si="74"/>
        <v>40</v>
      </c>
      <c r="FK26" s="23">
        <f t="shared" si="75"/>
        <v>0.69662138627655867</v>
      </c>
    </row>
    <row r="27" spans="1:189" s="24" customFormat="1" x14ac:dyDescent="0.2">
      <c r="A27" s="2" t="s">
        <v>223</v>
      </c>
      <c r="B27" s="2" t="s">
        <v>224</v>
      </c>
      <c r="C27" s="3">
        <v>2516</v>
      </c>
      <c r="D27" s="2" t="s">
        <v>225</v>
      </c>
      <c r="E27" s="62" t="s">
        <v>189</v>
      </c>
      <c r="F27" s="4" t="s">
        <v>190</v>
      </c>
      <c r="G27" s="2" t="s">
        <v>226</v>
      </c>
      <c r="H27" s="5" t="s">
        <v>227</v>
      </c>
      <c r="I27" s="6">
        <v>39386</v>
      </c>
      <c r="J27" s="6">
        <v>40543</v>
      </c>
      <c r="K27" s="6"/>
      <c r="L27" s="7">
        <v>9</v>
      </c>
      <c r="M27" s="8">
        <f t="shared" si="0"/>
        <v>3285</v>
      </c>
      <c r="N27" s="10"/>
      <c r="O27" s="10">
        <v>76.8</v>
      </c>
      <c r="P27" s="10"/>
      <c r="Q27" s="10">
        <v>88.48</v>
      </c>
      <c r="R27" s="10">
        <v>88.48</v>
      </c>
      <c r="S27" s="10">
        <f t="shared" si="76"/>
        <v>73.799364112971418</v>
      </c>
      <c r="T27" s="11">
        <v>0.9</v>
      </c>
      <c r="U27" s="12">
        <f>M27*T27</f>
        <v>2956.5</v>
      </c>
      <c r="V27" s="13"/>
      <c r="W27" s="13">
        <v>0.04</v>
      </c>
      <c r="X27" s="13">
        <v>0.15</v>
      </c>
      <c r="Y27" s="13"/>
      <c r="Z27" s="13"/>
      <c r="AA27" s="13"/>
      <c r="AB27" s="13"/>
      <c r="AC27" s="13"/>
      <c r="AD27" s="13"/>
      <c r="AE27" s="14">
        <v>1.2</v>
      </c>
      <c r="AF27" s="13"/>
      <c r="AG27" s="13"/>
      <c r="AH27" s="13"/>
      <c r="AI27" s="13"/>
      <c r="AJ27" s="14">
        <v>0.05</v>
      </c>
      <c r="AK27" s="14">
        <v>0.02</v>
      </c>
      <c r="AL27" s="13"/>
      <c r="AM27" s="13">
        <f t="shared" si="2"/>
        <v>1.46</v>
      </c>
      <c r="AN27" s="13">
        <f t="shared" si="3"/>
        <v>0.19</v>
      </c>
      <c r="AO27" s="13">
        <f t="shared" si="4"/>
        <v>0</v>
      </c>
      <c r="AP27" s="13">
        <f t="shared" si="5"/>
        <v>1.2</v>
      </c>
      <c r="AQ27" s="13">
        <f t="shared" si="6"/>
        <v>7.0000000000000007E-2</v>
      </c>
      <c r="AR27" s="51"/>
      <c r="AS27" s="51">
        <v>3373.21</v>
      </c>
      <c r="AT27" s="51">
        <v>12006.01</v>
      </c>
      <c r="AU27" s="51"/>
      <c r="AV27" s="51"/>
      <c r="AW27" s="51"/>
      <c r="AX27" s="51"/>
      <c r="AY27" s="51"/>
      <c r="AZ27" s="51"/>
      <c r="BA27" s="51">
        <v>39495.96</v>
      </c>
      <c r="BB27" s="51"/>
      <c r="BC27" s="51"/>
      <c r="BD27" s="51"/>
      <c r="BE27" s="51"/>
      <c r="BF27" s="51">
        <v>1956.82</v>
      </c>
      <c r="BG27" s="51">
        <f>172.54+339.46</f>
        <v>512</v>
      </c>
      <c r="BH27" s="51">
        <v>149.38</v>
      </c>
      <c r="BI27" s="17">
        <f t="shared" si="77"/>
        <v>2.60498046875E-3</v>
      </c>
      <c r="BJ27" s="50">
        <f>SUM(AR27:BH27)</f>
        <v>57493.38</v>
      </c>
      <c r="BK27" s="50"/>
      <c r="BL27" s="50">
        <f t="shared" si="79"/>
        <v>15379.220000000001</v>
      </c>
      <c r="BM27" s="50">
        <f t="shared" si="80"/>
        <v>0</v>
      </c>
      <c r="BN27" s="50">
        <f t="shared" si="7"/>
        <v>39495.96</v>
      </c>
      <c r="BO27" s="50">
        <f t="shared" si="8"/>
        <v>2468.8199999999997</v>
      </c>
      <c r="BP27" s="50" t="str">
        <f t="shared" si="9"/>
        <v/>
      </c>
      <c r="BQ27" s="50">
        <f t="shared" si="10"/>
        <v>84330.25</v>
      </c>
      <c r="BR27" s="50">
        <f t="shared" si="11"/>
        <v>80040.066666666666</v>
      </c>
      <c r="BS27" s="50" t="str">
        <f t="shared" si="12"/>
        <v/>
      </c>
      <c r="BT27" s="50" t="str">
        <f t="shared" si="13"/>
        <v/>
      </c>
      <c r="BU27" s="50" t="str">
        <f t="shared" si="14"/>
        <v/>
      </c>
      <c r="BV27" s="50" t="str">
        <f t="shared" si="15"/>
        <v/>
      </c>
      <c r="BW27" s="50" t="str">
        <f t="shared" si="16"/>
        <v/>
      </c>
      <c r="BX27" s="50" t="str">
        <f t="shared" si="17"/>
        <v/>
      </c>
      <c r="BY27" s="50">
        <f t="shared" si="18"/>
        <v>32913.300000000003</v>
      </c>
      <c r="BZ27" s="50" t="str">
        <f t="shared" si="19"/>
        <v/>
      </c>
      <c r="CA27" s="50" t="str">
        <f t="shared" si="20"/>
        <v/>
      </c>
      <c r="CB27" s="50" t="str">
        <f t="shared" si="21"/>
        <v/>
      </c>
      <c r="CC27" s="50" t="str">
        <f t="shared" si="22"/>
        <v/>
      </c>
      <c r="CD27" s="50">
        <f t="shared" si="23"/>
        <v>39136.399999999994</v>
      </c>
      <c r="CE27" s="50">
        <f t="shared" si="24"/>
        <v>25600</v>
      </c>
      <c r="CF27" s="50" t="str">
        <f t="shared" si="25"/>
        <v/>
      </c>
      <c r="CG27" s="50">
        <f t="shared" si="26"/>
        <v>39379.027397260274</v>
      </c>
      <c r="CH27" s="318">
        <f>BL27/AN27</f>
        <v>80943.263157894748</v>
      </c>
      <c r="CI27" s="64"/>
      <c r="CJ27" s="64">
        <f>BN27/AP27</f>
        <v>32913.300000000003</v>
      </c>
      <c r="CK27" s="64">
        <f>BO27/AQ27</f>
        <v>35268.857142857138</v>
      </c>
      <c r="CL27" s="65">
        <v>5537.5</v>
      </c>
      <c r="CM27" s="50">
        <v>10492.53</v>
      </c>
      <c r="CN27" s="64">
        <f t="shared" si="31"/>
        <v>16030.03</v>
      </c>
      <c r="CO27" s="19">
        <f t="shared" si="81"/>
        <v>0.27881523055350027</v>
      </c>
      <c r="CP27" s="64" t="str">
        <f t="shared" si="90"/>
        <v/>
      </c>
      <c r="CQ27" s="64">
        <f t="shared" si="91"/>
        <v>16030.03</v>
      </c>
      <c r="CR27" s="50">
        <f t="shared" si="82"/>
        <v>73523.41</v>
      </c>
      <c r="CS27" s="65">
        <v>70374.42</v>
      </c>
      <c r="CT27" s="65">
        <v>1238.5899999999999</v>
      </c>
      <c r="CU27" s="51">
        <f t="shared" si="32"/>
        <v>71613.009999999995</v>
      </c>
      <c r="CV27" s="65"/>
      <c r="CW27" s="65"/>
      <c r="CX27" s="64"/>
      <c r="CY27" s="64">
        <f t="shared" si="33"/>
        <v>57493.38</v>
      </c>
      <c r="CZ27" s="65">
        <v>171.36</v>
      </c>
      <c r="DA27" s="65">
        <v>4343.01</v>
      </c>
      <c r="DB27" s="51"/>
      <c r="DC27" s="51">
        <f>711.3+1371.25+1260.27</f>
        <v>3342.82</v>
      </c>
      <c r="DD27" s="65"/>
      <c r="DE27" s="65"/>
      <c r="DF27" s="65">
        <v>27586.05</v>
      </c>
      <c r="DG27" s="65">
        <v>12001.04</v>
      </c>
      <c r="DH27" s="51">
        <v>4209.34</v>
      </c>
      <c r="DI27" s="13"/>
      <c r="DJ27" s="51"/>
      <c r="DK27" s="64">
        <f t="shared" si="83"/>
        <v>51653.619999999995</v>
      </c>
      <c r="DL27" s="51">
        <f t="shared" si="84"/>
        <v>196790.04</v>
      </c>
      <c r="DM27" s="316">
        <f t="shared" si="85"/>
        <v>0.10873405991482088</v>
      </c>
      <c r="DN27" s="51">
        <v>21397.78</v>
      </c>
      <c r="DO27" s="51">
        <f t="shared" si="86"/>
        <v>218187.82</v>
      </c>
      <c r="DP27" s="51"/>
      <c r="DQ27" s="51">
        <f>DO27-DP27</f>
        <v>218187.82</v>
      </c>
      <c r="DR27" s="64">
        <f>BL27</f>
        <v>15379.220000000001</v>
      </c>
      <c r="DS27" s="64"/>
      <c r="DT27" s="64">
        <f>BN27</f>
        <v>39495.96</v>
      </c>
      <c r="DU27" s="64">
        <f>BO27</f>
        <v>2468.8199999999997</v>
      </c>
      <c r="DV27" s="64">
        <f t="shared" si="87"/>
        <v>57493.38</v>
      </c>
      <c r="DW27" s="64">
        <f t="shared" si="88"/>
        <v>16030.03</v>
      </c>
      <c r="DX27" s="64"/>
      <c r="DY27" s="64">
        <f t="shared" si="39"/>
        <v>71613.009999999995</v>
      </c>
      <c r="DZ27" s="64">
        <f t="shared" si="40"/>
        <v>51653.619999999995</v>
      </c>
      <c r="EA27" s="64">
        <f t="shared" si="41"/>
        <v>21397.78</v>
      </c>
      <c r="EB27" s="64">
        <f t="shared" si="42"/>
        <v>218187.82</v>
      </c>
      <c r="EC27" s="19">
        <f t="shared" si="43"/>
        <v>0.2635040764420305</v>
      </c>
      <c r="ED27" s="19">
        <f t="shared" si="44"/>
        <v>7.3468949824971902E-2</v>
      </c>
      <c r="EE27" s="19">
        <f t="shared" si="45"/>
        <v>0</v>
      </c>
      <c r="EF27" s="19">
        <f t="shared" si="46"/>
        <v>0.32821726712334354</v>
      </c>
      <c r="EG27" s="19">
        <f t="shared" si="47"/>
        <v>0.23673924603124039</v>
      </c>
      <c r="EH27" s="20">
        <f t="shared" si="89"/>
        <v>9.8070460578413579E-2</v>
      </c>
      <c r="EI27" s="21">
        <f t="shared" si="48"/>
        <v>1</v>
      </c>
      <c r="EJ27" s="16">
        <f t="shared" si="49"/>
        <v>4.6816499238964999</v>
      </c>
      <c r="EK27" s="16" t="str">
        <f t="shared" si="50"/>
        <v/>
      </c>
      <c r="EL27" s="16">
        <f t="shared" si="51"/>
        <v>12.023123287671233</v>
      </c>
      <c r="EM27" s="16">
        <f t="shared" si="52"/>
        <v>0.75154337899543366</v>
      </c>
      <c r="EN27" s="16">
        <f t="shared" si="53"/>
        <v>17.501789954337898</v>
      </c>
      <c r="EO27" s="16">
        <f t="shared" si="54"/>
        <v>4.879765601217656</v>
      </c>
      <c r="EP27" s="16" t="str">
        <f t="shared" si="55"/>
        <v/>
      </c>
      <c r="EQ27" s="16">
        <f t="shared" si="56"/>
        <v>22.381555555555558</v>
      </c>
      <c r="ER27" s="16">
        <f t="shared" si="57"/>
        <v>17.501789954337898</v>
      </c>
      <c r="ES27" s="2" t="s">
        <v>226</v>
      </c>
      <c r="ET27" s="16">
        <f t="shared" si="58"/>
        <v>21.800003044140031</v>
      </c>
      <c r="EU27" s="16">
        <f t="shared" si="59"/>
        <v>15.724085235920851</v>
      </c>
      <c r="EV27" s="16">
        <f t="shared" si="60"/>
        <v>6.513783866057838</v>
      </c>
      <c r="EW27" s="16">
        <f t="shared" si="61"/>
        <v>4.879765601217656</v>
      </c>
      <c r="EX27" s="16">
        <f t="shared" si="62"/>
        <v>66.41942770167428</v>
      </c>
      <c r="EY27" s="16">
        <f t="shared" si="63"/>
        <v>73.799364112971418</v>
      </c>
      <c r="EZ27" s="16">
        <f t="shared" si="64"/>
        <v>88.48</v>
      </c>
      <c r="FA27" s="16">
        <f t="shared" si="65"/>
        <v>-22.060572298325724</v>
      </c>
      <c r="FB27" s="22">
        <f t="shared" si="66"/>
        <v>2.1111111111111112E-2</v>
      </c>
      <c r="FC27" s="22">
        <f t="shared" si="67"/>
        <v>0</v>
      </c>
      <c r="FD27" s="22">
        <f t="shared" si="68"/>
        <v>0.13333333333333333</v>
      </c>
      <c r="FE27" s="22">
        <f t="shared" si="69"/>
        <v>7.7777777777777784E-3</v>
      </c>
      <c r="FF27" s="22">
        <f t="shared" si="70"/>
        <v>0.16222222222222221</v>
      </c>
      <c r="FG27" s="23">
        <f>$L27/AN27</f>
        <v>47.368421052631575</v>
      </c>
      <c r="FH27" s="23"/>
      <c r="FI27" s="23">
        <f>$L27/AP27</f>
        <v>7.5</v>
      </c>
      <c r="FJ27" s="23">
        <f>$L27/AQ27</f>
        <v>128.57142857142856</v>
      </c>
      <c r="FK27" s="23">
        <f t="shared" si="75"/>
        <v>6.1643835616438354</v>
      </c>
    </row>
    <row r="28" spans="1:189" s="24" customFormat="1" x14ac:dyDescent="0.2">
      <c r="A28" s="2" t="s">
        <v>181</v>
      </c>
      <c r="B28" s="2" t="s">
        <v>228</v>
      </c>
      <c r="C28" s="3">
        <v>2500</v>
      </c>
      <c r="D28" s="2" t="s">
        <v>171</v>
      </c>
      <c r="E28" s="61" t="s">
        <v>189</v>
      </c>
      <c r="F28" s="4" t="s">
        <v>190</v>
      </c>
      <c r="G28" s="2" t="s">
        <v>163</v>
      </c>
      <c r="H28" s="5" t="s">
        <v>183</v>
      </c>
      <c r="I28" s="6">
        <v>39629</v>
      </c>
      <c r="J28" s="6">
        <v>40359</v>
      </c>
      <c r="K28" s="6"/>
      <c r="L28" s="25">
        <v>40</v>
      </c>
      <c r="M28" s="8">
        <f t="shared" si="0"/>
        <v>14600</v>
      </c>
      <c r="N28" s="10"/>
      <c r="O28" s="10">
        <v>255.45</v>
      </c>
      <c r="P28" s="10"/>
      <c r="Q28" s="10"/>
      <c r="R28" s="10">
        <v>255.45</v>
      </c>
      <c r="S28" s="10" t="e">
        <f t="shared" si="76"/>
        <v>#REF!</v>
      </c>
      <c r="T28" s="11">
        <v>0.9</v>
      </c>
      <c r="U28" s="12">
        <f>M28*T28</f>
        <v>13140</v>
      </c>
      <c r="V28" s="26">
        <v>0.2</v>
      </c>
      <c r="W28" s="26">
        <v>1</v>
      </c>
      <c r="X28" s="26">
        <v>3</v>
      </c>
      <c r="Y28" s="26">
        <v>1</v>
      </c>
      <c r="Z28" s="26"/>
      <c r="AA28" s="26"/>
      <c r="AB28" s="26"/>
      <c r="AC28" s="27">
        <v>5</v>
      </c>
      <c r="AD28" s="27"/>
      <c r="AE28" s="27"/>
      <c r="AF28" s="27">
        <v>15</v>
      </c>
      <c r="AG28" s="27"/>
      <c r="AH28" s="27">
        <v>27</v>
      </c>
      <c r="AI28" s="27"/>
      <c r="AJ28" s="27">
        <v>2</v>
      </c>
      <c r="AK28" s="27"/>
      <c r="AL28" s="27"/>
      <c r="AM28" s="13">
        <f t="shared" si="2"/>
        <v>54.2</v>
      </c>
      <c r="AN28" s="13">
        <f t="shared" si="3"/>
        <v>4.2</v>
      </c>
      <c r="AO28" s="13">
        <f t="shared" si="4"/>
        <v>6</v>
      </c>
      <c r="AP28" s="13">
        <f t="shared" si="5"/>
        <v>42</v>
      </c>
      <c r="AQ28" s="13">
        <f t="shared" si="6"/>
        <v>2</v>
      </c>
      <c r="AR28" s="65">
        <v>20000</v>
      </c>
      <c r="AS28" s="65">
        <v>60000</v>
      </c>
      <c r="AT28" s="65">
        <v>144000</v>
      </c>
      <c r="AU28" s="65">
        <v>62400</v>
      </c>
      <c r="AV28" s="65"/>
      <c r="AW28" s="65"/>
      <c r="AX28" s="65"/>
      <c r="AY28" s="65">
        <v>200830</v>
      </c>
      <c r="AZ28" s="65"/>
      <c r="BA28" s="65"/>
      <c r="BB28" s="65">
        <v>453150</v>
      </c>
      <c r="BC28" s="65"/>
      <c r="BD28" s="65">
        <v>761589</v>
      </c>
      <c r="BE28" s="65"/>
      <c r="BF28" s="65">
        <v>65904</v>
      </c>
      <c r="BG28" s="65"/>
      <c r="BH28" s="65">
        <v>189749</v>
      </c>
      <c r="BI28" s="17">
        <f t="shared" si="77"/>
        <v>0.10733180494300212</v>
      </c>
      <c r="BJ28" s="50">
        <f>SUM(AR28:BH28)</f>
        <v>1957622</v>
      </c>
      <c r="BK28" s="50" t="e">
        <f>#REF!</f>
        <v>#REF!</v>
      </c>
      <c r="BL28" s="50">
        <f t="shared" si="79"/>
        <v>224000</v>
      </c>
      <c r="BM28" s="50">
        <f t="shared" si="80"/>
        <v>263230</v>
      </c>
      <c r="BN28" s="50">
        <f t="shared" si="7"/>
        <v>1214739</v>
      </c>
      <c r="BO28" s="50">
        <f t="shared" si="8"/>
        <v>65904</v>
      </c>
      <c r="BP28" s="50">
        <f t="shared" si="9"/>
        <v>100000</v>
      </c>
      <c r="BQ28" s="50">
        <f t="shared" si="10"/>
        <v>60000</v>
      </c>
      <c r="BR28" s="50">
        <f t="shared" si="11"/>
        <v>48000</v>
      </c>
      <c r="BS28" s="50">
        <f t="shared" si="12"/>
        <v>62400</v>
      </c>
      <c r="BT28" s="50" t="str">
        <f t="shared" si="13"/>
        <v/>
      </c>
      <c r="BU28" s="50" t="str">
        <f t="shared" si="14"/>
        <v/>
      </c>
      <c r="BV28" s="50" t="str">
        <f t="shared" si="15"/>
        <v/>
      </c>
      <c r="BW28" s="50">
        <f t="shared" si="16"/>
        <v>40166</v>
      </c>
      <c r="BX28" s="50" t="str">
        <f t="shared" si="17"/>
        <v/>
      </c>
      <c r="BY28" s="50" t="str">
        <f t="shared" si="18"/>
        <v/>
      </c>
      <c r="BZ28" s="50">
        <f t="shared" si="19"/>
        <v>30210</v>
      </c>
      <c r="CA28" s="50" t="str">
        <f t="shared" si="20"/>
        <v/>
      </c>
      <c r="CB28" s="50">
        <f t="shared" si="21"/>
        <v>28207</v>
      </c>
      <c r="CC28" s="50" t="str">
        <f t="shared" si="22"/>
        <v/>
      </c>
      <c r="CD28" s="50">
        <f t="shared" si="23"/>
        <v>32952</v>
      </c>
      <c r="CE28" s="50" t="str">
        <f t="shared" si="24"/>
        <v/>
      </c>
      <c r="CF28" s="50" t="str">
        <f t="shared" si="25"/>
        <v/>
      </c>
      <c r="CG28" s="50">
        <f t="shared" si="26"/>
        <v>36118.487084870845</v>
      </c>
      <c r="CH28" s="64">
        <f>BL28/AN28</f>
        <v>53333.333333333328</v>
      </c>
      <c r="CI28" s="64">
        <f>BM28/AO28</f>
        <v>43871.666666666664</v>
      </c>
      <c r="CJ28" s="64">
        <f>BN28/AP28</f>
        <v>28922.357142857141</v>
      </c>
      <c r="CK28" s="64">
        <f>BO28/AQ28</f>
        <v>32952</v>
      </c>
      <c r="CL28" s="65">
        <v>236815.64</v>
      </c>
      <c r="CM28" s="50">
        <v>359671.79</v>
      </c>
      <c r="CN28" s="64">
        <f t="shared" si="31"/>
        <v>596487.42999999993</v>
      </c>
      <c r="CO28" s="19" t="e">
        <f t="shared" si="81"/>
        <v>#REF!</v>
      </c>
      <c r="CP28" s="64" t="e">
        <f t="shared" si="90"/>
        <v>#REF!</v>
      </c>
      <c r="CQ28" s="64" t="e">
        <f t="shared" si="91"/>
        <v>#REF!</v>
      </c>
      <c r="CR28" s="50" t="e">
        <f t="shared" si="82"/>
        <v>#REF!</v>
      </c>
      <c r="CS28" s="65">
        <v>37400</v>
      </c>
      <c r="CT28" s="65"/>
      <c r="CU28" s="51">
        <f t="shared" si="32"/>
        <v>37400</v>
      </c>
      <c r="CV28" s="65">
        <v>4050</v>
      </c>
      <c r="CW28" s="65"/>
      <c r="CX28" s="64">
        <f>SUM(CV28:CW28)</f>
        <v>4050</v>
      </c>
      <c r="CY28" s="64">
        <f t="shared" si="33"/>
        <v>1961672</v>
      </c>
      <c r="CZ28" s="65">
        <v>6942</v>
      </c>
      <c r="DA28" s="65">
        <v>12743</v>
      </c>
      <c r="DB28" s="51">
        <v>5430</v>
      </c>
      <c r="DC28" s="51">
        <v>10932</v>
      </c>
      <c r="DD28" s="65"/>
      <c r="DE28" s="65"/>
      <c r="DF28" s="65">
        <v>11517</v>
      </c>
      <c r="DG28" s="65">
        <v>21464</v>
      </c>
      <c r="DH28" s="51">
        <f>29711+53226</f>
        <v>82937</v>
      </c>
      <c r="DI28" s="26"/>
      <c r="DJ28" s="65"/>
      <c r="DK28" s="64">
        <f t="shared" si="83"/>
        <v>151965</v>
      </c>
      <c r="DL28" s="51" t="e">
        <f t="shared" si="84"/>
        <v>#REF!</v>
      </c>
      <c r="DM28" s="316" t="e">
        <f t="shared" si="85"/>
        <v>#REF!</v>
      </c>
      <c r="DN28" s="51">
        <v>377403.61</v>
      </c>
      <c r="DO28" s="51" t="e">
        <f t="shared" si="86"/>
        <v>#REF!</v>
      </c>
      <c r="DP28" s="51"/>
      <c r="DQ28" s="51" t="e">
        <f>DO28-DP28</f>
        <v>#REF!</v>
      </c>
      <c r="DR28" s="64">
        <f>BL28</f>
        <v>224000</v>
      </c>
      <c r="DS28" s="64">
        <f>BM28</f>
        <v>263230</v>
      </c>
      <c r="DT28" s="64">
        <f>BN28</f>
        <v>1214739</v>
      </c>
      <c r="DU28" s="64">
        <f>BO28</f>
        <v>65904</v>
      </c>
      <c r="DV28" s="64">
        <f t="shared" si="87"/>
        <v>1957622</v>
      </c>
      <c r="DW28" s="64" t="e">
        <f t="shared" si="88"/>
        <v>#REF!</v>
      </c>
      <c r="DX28" s="64">
        <f>CX28</f>
        <v>4050</v>
      </c>
      <c r="DY28" s="64">
        <f t="shared" si="39"/>
        <v>37400</v>
      </c>
      <c r="DZ28" s="64">
        <f t="shared" si="40"/>
        <v>151965</v>
      </c>
      <c r="EA28" s="64">
        <f t="shared" si="41"/>
        <v>377403.61</v>
      </c>
      <c r="EB28" s="64" t="e">
        <f t="shared" si="42"/>
        <v>#REF!</v>
      </c>
      <c r="EC28" s="19" t="e">
        <f t="shared" si="43"/>
        <v>#REF!</v>
      </c>
      <c r="ED28" s="19" t="e">
        <f t="shared" si="44"/>
        <v>#REF!</v>
      </c>
      <c r="EE28" s="19" t="e">
        <f t="shared" si="45"/>
        <v>#REF!</v>
      </c>
      <c r="EF28" s="19" t="e">
        <f t="shared" si="46"/>
        <v>#REF!</v>
      </c>
      <c r="EG28" s="19" t="e">
        <f t="shared" si="47"/>
        <v>#REF!</v>
      </c>
      <c r="EH28" s="20" t="e">
        <f t="shared" si="89"/>
        <v>#REF!</v>
      </c>
      <c r="EI28" s="21" t="e">
        <f t="shared" si="48"/>
        <v>#REF!</v>
      </c>
      <c r="EJ28" s="16">
        <f t="shared" si="49"/>
        <v>15.342465753424657</v>
      </c>
      <c r="EK28" s="16">
        <f t="shared" si="50"/>
        <v>18.029452054794522</v>
      </c>
      <c r="EL28" s="16">
        <f t="shared" si="51"/>
        <v>83.201301369863017</v>
      </c>
      <c r="EM28" s="16">
        <f t="shared" si="52"/>
        <v>4.5139726027397264</v>
      </c>
      <c r="EN28" s="16">
        <f t="shared" si="53"/>
        <v>134.08369863013698</v>
      </c>
      <c r="EO28" s="16" t="e">
        <f t="shared" si="54"/>
        <v>#REF!</v>
      </c>
      <c r="EP28" s="16">
        <f t="shared" si="55"/>
        <v>0.2773972602739726</v>
      </c>
      <c r="EQ28" s="16" t="e">
        <f t="shared" si="56"/>
        <v>#REF!</v>
      </c>
      <c r="ER28" s="16">
        <f t="shared" si="57"/>
        <v>134.36109589041095</v>
      </c>
      <c r="ES28" s="2" t="s">
        <v>163</v>
      </c>
      <c r="ET28" s="16">
        <f t="shared" si="58"/>
        <v>2.5616438356164384</v>
      </c>
      <c r="EU28" s="16">
        <f t="shared" si="59"/>
        <v>10.408561643835617</v>
      </c>
      <c r="EV28" s="16">
        <f t="shared" si="60"/>
        <v>25.849562328767121</v>
      </c>
      <c r="EW28" s="16" t="e">
        <f t="shared" si="61"/>
        <v>#REF!</v>
      </c>
      <c r="EX28" s="16" t="e">
        <f t="shared" si="62"/>
        <v>#REF!</v>
      </c>
      <c r="EY28" s="16" t="e">
        <f t="shared" si="63"/>
        <v>#REF!</v>
      </c>
      <c r="EZ28" s="16">
        <f t="shared" si="64"/>
        <v>255.45</v>
      </c>
      <c r="FA28" s="16" t="e">
        <f t="shared" si="65"/>
        <v>#REF!</v>
      </c>
      <c r="FB28" s="22">
        <f t="shared" si="66"/>
        <v>0.10500000000000001</v>
      </c>
      <c r="FC28" s="22">
        <f t="shared" si="67"/>
        <v>0.15</v>
      </c>
      <c r="FD28" s="22">
        <f t="shared" si="68"/>
        <v>1.05</v>
      </c>
      <c r="FE28" s="22">
        <f t="shared" si="69"/>
        <v>0.05</v>
      </c>
      <c r="FF28" s="22">
        <f t="shared" si="70"/>
        <v>1.355</v>
      </c>
      <c r="FG28" s="23">
        <f>$L28/AN28</f>
        <v>9.5238095238095237</v>
      </c>
      <c r="FH28" s="23">
        <f>$L28/AO28</f>
        <v>6.666666666666667</v>
      </c>
      <c r="FI28" s="23">
        <f>$L28/AP28</f>
        <v>0.95238095238095233</v>
      </c>
      <c r="FJ28" s="23">
        <f>$L28/AQ28</f>
        <v>20</v>
      </c>
      <c r="FK28" s="23">
        <f t="shared" si="75"/>
        <v>0.73800738007380073</v>
      </c>
    </row>
    <row r="29" spans="1:189" x14ac:dyDescent="0.2">
      <c r="A29" s="32" t="s">
        <v>229</v>
      </c>
      <c r="B29" s="32"/>
      <c r="C29" s="297"/>
      <c r="D29" s="32"/>
      <c r="E29" s="298"/>
      <c r="F29" s="299"/>
      <c r="G29" s="32"/>
      <c r="H29" s="297"/>
      <c r="I29" s="297"/>
      <c r="J29" s="297"/>
      <c r="K29" s="297"/>
      <c r="L29" s="297"/>
      <c r="M29" s="300"/>
      <c r="N29" s="301"/>
      <c r="O29" s="302"/>
      <c r="P29" s="302"/>
      <c r="Q29" s="302"/>
      <c r="R29" s="302"/>
      <c r="S29" s="302"/>
      <c r="T29" s="303"/>
      <c r="U29" s="304"/>
      <c r="V29" s="305"/>
      <c r="W29" s="305"/>
      <c r="X29" s="305"/>
      <c r="Y29" s="305"/>
      <c r="Z29" s="305"/>
      <c r="AA29" s="305"/>
      <c r="AB29" s="305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5"/>
      <c r="AN29" s="305"/>
      <c r="AO29" s="305"/>
      <c r="AP29" s="305"/>
      <c r="AQ29" s="305"/>
      <c r="AR29" s="306"/>
      <c r="AS29" s="306"/>
      <c r="AT29" s="306"/>
      <c r="AU29" s="306"/>
      <c r="AV29" s="306"/>
      <c r="AW29" s="307"/>
      <c r="AX29" s="306"/>
      <c r="AY29" s="306"/>
      <c r="AZ29" s="306"/>
      <c r="BA29" s="306"/>
      <c r="BB29" s="306"/>
      <c r="BC29" s="306"/>
      <c r="BD29" s="306"/>
      <c r="BE29" s="306"/>
      <c r="BF29" s="306"/>
      <c r="BG29" s="306"/>
      <c r="BH29" s="306"/>
      <c r="BI29" s="304"/>
      <c r="BJ29" s="301"/>
      <c r="BK29" s="301"/>
      <c r="BL29" s="301"/>
      <c r="BM29" s="301"/>
      <c r="BN29" s="301"/>
      <c r="BO29" s="301"/>
      <c r="BP29" s="301"/>
      <c r="BQ29" s="301"/>
      <c r="BR29" s="301"/>
      <c r="BS29" s="301"/>
      <c r="BT29" s="301"/>
      <c r="BU29" s="301"/>
      <c r="BV29" s="301"/>
      <c r="BW29" s="301"/>
      <c r="BX29" s="301"/>
      <c r="BY29" s="301"/>
      <c r="BZ29" s="301"/>
      <c r="CA29" s="301"/>
      <c r="CB29" s="301"/>
      <c r="CC29" s="301"/>
      <c r="CD29" s="301"/>
      <c r="CE29" s="301"/>
      <c r="CF29" s="301"/>
      <c r="CG29" s="301"/>
      <c r="CH29" s="308"/>
      <c r="CI29" s="308"/>
      <c r="CJ29" s="308"/>
      <c r="CK29" s="308"/>
      <c r="CL29" s="309"/>
      <c r="CM29" s="301"/>
      <c r="CN29" s="308"/>
      <c r="CO29" s="310"/>
      <c r="CP29" s="312"/>
      <c r="CQ29" s="310"/>
      <c r="CR29" s="301"/>
      <c r="CS29" s="309"/>
      <c r="CT29" s="309"/>
      <c r="CU29" s="306"/>
      <c r="CV29" s="309"/>
      <c r="CW29" s="309"/>
      <c r="CX29" s="308"/>
      <c r="CY29" s="308"/>
      <c r="CZ29" s="309"/>
      <c r="DA29" s="309"/>
      <c r="DB29" s="306"/>
      <c r="DC29" s="306"/>
      <c r="DD29" s="309"/>
      <c r="DE29" s="309"/>
      <c r="DF29" s="309"/>
      <c r="DG29" s="309"/>
      <c r="DH29" s="306"/>
      <c r="DI29" s="305"/>
      <c r="DJ29" s="306"/>
      <c r="DK29" s="308"/>
      <c r="DL29" s="306"/>
      <c r="DM29" s="304"/>
      <c r="DN29" s="306"/>
      <c r="DO29" s="306"/>
      <c r="DP29" s="306"/>
      <c r="DQ29" s="306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10"/>
      <c r="ED29" s="310"/>
      <c r="EE29" s="310"/>
      <c r="EF29" s="310"/>
      <c r="EG29" s="310"/>
      <c r="EH29" s="310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2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11">
        <f>SUBTOTAL(109,FK2:FK28)</f>
        <v>24.291468658585906</v>
      </c>
    </row>
    <row r="30" spans="1:189" x14ac:dyDescent="0.2">
      <c r="CH30" s="326">
        <f>STDEV(CH2:CH28)</f>
        <v>7202.6869301249735</v>
      </c>
      <c r="CI30" s="326">
        <f>STDEV(CI2:CI28)</f>
        <v>4166.68090826561</v>
      </c>
      <c r="CJ30" s="326">
        <f>STDEV(CJ2:CJ28)</f>
        <v>2525.7576427870067</v>
      </c>
      <c r="CK30" s="326">
        <f>STDEV(CK2:CK28)</f>
        <v>6628.8729209842577</v>
      </c>
    </row>
    <row r="31" spans="1:189" x14ac:dyDescent="0.2">
      <c r="CH31" s="326">
        <f>CH33-2*CH30</f>
        <v>36533.068648837405</v>
      </c>
      <c r="CI31" s="326">
        <f>CI33-2*CI30</f>
        <v>37873.651310517809</v>
      </c>
      <c r="CJ31" s="326">
        <f>CJ33-2*CJ30</f>
        <v>22692.487423287224</v>
      </c>
      <c r="CK31" s="326">
        <f>CK33-2*CK30</f>
        <v>15178.722338782694</v>
      </c>
    </row>
    <row r="32" spans="1:189" ht="13.5" thickBot="1" x14ac:dyDescent="0.25">
      <c r="CG32" s="261" t="s">
        <v>367</v>
      </c>
      <c r="CH32" s="326">
        <f>CH33+2*CH30</f>
        <v>65343.816369337306</v>
      </c>
      <c r="CI32" s="326">
        <f>CI33+2*CI30</f>
        <v>54540.374943580253</v>
      </c>
      <c r="CJ32" s="326">
        <f>CJ33+2*CJ30</f>
        <v>32795.517994435249</v>
      </c>
      <c r="CK32" s="326">
        <f>CK33+2*CK30</f>
        <v>41694.214022719723</v>
      </c>
    </row>
    <row r="33" spans="2:161" x14ac:dyDescent="0.2">
      <c r="B33" s="1" t="s">
        <v>325</v>
      </c>
      <c r="T33" s="320">
        <f>AVERAGE(T2:T28)</f>
        <v>0.87037037037037024</v>
      </c>
      <c r="Z33" s="691" t="s">
        <v>273</v>
      </c>
      <c r="AA33" s="692" t="s">
        <v>382</v>
      </c>
      <c r="AB33" s="692" t="s">
        <v>383</v>
      </c>
      <c r="AC33" s="693" t="s">
        <v>384</v>
      </c>
      <c r="AE33" s="698" t="s">
        <v>388</v>
      </c>
      <c r="AF33" s="692" t="s">
        <v>382</v>
      </c>
      <c r="AG33" s="692" t="s">
        <v>391</v>
      </c>
      <c r="AH33" s="693" t="s">
        <v>384</v>
      </c>
      <c r="AU33" s="260" t="s">
        <v>326</v>
      </c>
      <c r="AV33" s="37">
        <f>SUM(AV2:AZ28)/SUM(Z2:AD28)</f>
        <v>45636.520643039825</v>
      </c>
      <c r="AY33" s="260"/>
      <c r="AZ33" s="260" t="s">
        <v>326</v>
      </c>
      <c r="BA33" s="37">
        <f>SUM(BA2:BE28)/SUM(AE2:AI28)</f>
        <v>27748.785122173522</v>
      </c>
      <c r="BI33" s="38">
        <f>AVERAGE(BI2:BI28)</f>
        <v>6.1791323189468721E-2</v>
      </c>
      <c r="BJ33" s="327" t="s">
        <v>326</v>
      </c>
      <c r="BK33" s="327"/>
      <c r="BL33" s="328">
        <f>SUM(BL2:BL28)/SUM(AN2:AN28)</f>
        <v>51175.205446727188</v>
      </c>
      <c r="BM33" s="328">
        <f>SUM(BM2:BM28)/SUM(AO2:AO28)</f>
        <v>46805.499523355575</v>
      </c>
      <c r="BN33" s="328">
        <f>SUM(BN2:BN28)/SUM(AP2:AP28)</f>
        <v>27748.785122173522</v>
      </c>
      <c r="BO33" s="328">
        <f>SUM(BO2:BO28)/SUM(AQ2:AQ28)</f>
        <v>26635.660122164056</v>
      </c>
      <c r="CG33" s="261" t="s">
        <v>331</v>
      </c>
      <c r="CH33" s="326">
        <f>AVERAGE(CH2:CH26,CH28)</f>
        <v>50938.442509087356</v>
      </c>
      <c r="CI33" s="326">
        <f>AVERAGE(CI2:CI18,CI20:CI28)</f>
        <v>46207.013127049031</v>
      </c>
      <c r="CJ33" s="326">
        <f>AVERAGE(CJ2:CJ28)</f>
        <v>27744.002708861237</v>
      </c>
      <c r="CK33" s="326">
        <f>AVERAGE(CK2:CK3,CK5:CK25,CK27:CK28)</f>
        <v>28436.46818075121</v>
      </c>
      <c r="CN33" s="261" t="s">
        <v>331</v>
      </c>
      <c r="CO33" s="262" t="e">
        <f>AVERAGE(CO2:CO28)</f>
        <v>#REF!</v>
      </c>
      <c r="CP33" s="259"/>
      <c r="CQ33" s="259"/>
      <c r="CR33" s="247"/>
      <c r="CS33" s="247"/>
      <c r="CT33" s="247"/>
      <c r="CU33" s="247"/>
      <c r="CV33" s="247"/>
      <c r="CW33" s="247"/>
      <c r="CX33" s="247"/>
      <c r="CY33" s="247"/>
      <c r="CZ33" s="247"/>
      <c r="DA33" s="247"/>
      <c r="DB33" s="247"/>
      <c r="DC33" s="247"/>
      <c r="DD33" s="247"/>
      <c r="DE33" s="247"/>
      <c r="DF33" s="247"/>
      <c r="DG33" s="247"/>
      <c r="DH33" s="247"/>
      <c r="DI33" s="247"/>
      <c r="DJ33" s="247"/>
      <c r="DK33" s="249"/>
      <c r="DL33" s="331" t="s">
        <v>368</v>
      </c>
      <c r="DM33" s="332" t="e">
        <f>MEDIAN(DM2:DM28)</f>
        <v>#REF!</v>
      </c>
      <c r="DN33" s="247"/>
      <c r="DO33" s="247"/>
      <c r="DP33" s="247"/>
      <c r="DR33" s="341">
        <f>SUM(DR2:DR28)/SUM($DV2:$DV28)</f>
        <v>0.14809735959493975</v>
      </c>
      <c r="DS33" s="341">
        <f>SUM(DS2:DS28)/SUM($DV2:$DV28)</f>
        <v>0.13577532806637455</v>
      </c>
      <c r="DT33" s="341">
        <f>SUM(DT2:DT28)/SUM($DV2:$DV28)</f>
        <v>0.58934897319254531</v>
      </c>
      <c r="DU33" s="341">
        <f>SUM(DU2:DU28)/SUM($DV2:$DV28)</f>
        <v>5.6273679298487381E-2</v>
      </c>
      <c r="EB33" s="339" t="s">
        <v>331</v>
      </c>
      <c r="EC33" s="340" t="e">
        <f t="shared" ref="EC33:EH33" si="92">AVERAGE(EC5:EC28)</f>
        <v>#REF!</v>
      </c>
      <c r="ED33" s="340" t="e">
        <f t="shared" si="92"/>
        <v>#REF!</v>
      </c>
      <c r="EE33" s="340" t="e">
        <f t="shared" si="92"/>
        <v>#REF!</v>
      </c>
      <c r="EF33" s="340" t="e">
        <f t="shared" si="92"/>
        <v>#REF!</v>
      </c>
      <c r="EG33" s="340" t="e">
        <f t="shared" si="92"/>
        <v>#REF!</v>
      </c>
      <c r="EH33" s="340" t="e">
        <f t="shared" si="92"/>
        <v>#REF!</v>
      </c>
      <c r="ER33" s="335" t="s">
        <v>331</v>
      </c>
      <c r="ES33" s="34" t="s">
        <v>328</v>
      </c>
      <c r="ET33" s="41">
        <f>AVERAGE(ET9,ET12,ET22,ET25,ET26)</f>
        <v>33.069173881278537</v>
      </c>
      <c r="EU33" s="41">
        <f>AVERAGE(EU2:EU28)</f>
        <v>17.115027400576334</v>
      </c>
      <c r="FA33" s="261" t="s">
        <v>327</v>
      </c>
      <c r="FB33" s="343">
        <f>AVERAGE(FB2:FB28)</f>
        <v>0.14044129750665699</v>
      </c>
      <c r="FC33" s="343">
        <f>AVERAGE(FC2:FC28)</f>
        <v>0.13443479181796175</v>
      </c>
      <c r="FD33" s="343">
        <f>AVERAGE(FD2:FD28)</f>
        <v>0.99977081820382463</v>
      </c>
      <c r="FE33" s="343">
        <f>AVERAGE(FE2:FE28)</f>
        <v>0.1037131142580489</v>
      </c>
    </row>
    <row r="34" spans="2:161" ht="12.75" customHeight="1" x14ac:dyDescent="0.2">
      <c r="L34" s="246"/>
      <c r="M34" s="247"/>
      <c r="N34" s="247"/>
      <c r="O34" s="45"/>
      <c r="P34" s="247"/>
      <c r="Q34" s="247"/>
      <c r="R34" s="247"/>
      <c r="S34" s="247"/>
      <c r="T34" s="320">
        <f>MIN(T2:T28)</f>
        <v>0.8</v>
      </c>
      <c r="U34" s="247"/>
      <c r="V34" s="248"/>
      <c r="Z34" s="696" t="s">
        <v>385</v>
      </c>
      <c r="AA34" s="40">
        <f>SUM(Y2:Z28)</f>
        <v>18.2</v>
      </c>
      <c r="AB34" s="40">
        <f>AA34/(AA34+AA35)</f>
        <v>0.3253485877726135</v>
      </c>
      <c r="AC34" s="228">
        <v>60000</v>
      </c>
      <c r="AE34" s="699" t="s">
        <v>389</v>
      </c>
      <c r="AF34" s="40"/>
      <c r="AG34" s="40">
        <v>0.75</v>
      </c>
      <c r="AH34" s="701">
        <f>BN33</f>
        <v>27748.785122173522</v>
      </c>
      <c r="AN34" s="37"/>
      <c r="AR34" s="247"/>
      <c r="AS34" s="247"/>
      <c r="AT34" s="247"/>
      <c r="AU34" s="247"/>
      <c r="AV34" s="248"/>
      <c r="AW34" s="247"/>
      <c r="AX34" s="248"/>
      <c r="AY34" s="247"/>
      <c r="AZ34" s="248"/>
      <c r="BA34" s="247"/>
      <c r="BB34" s="248"/>
      <c r="BC34" s="247"/>
      <c r="BD34" s="248"/>
      <c r="BE34" s="247"/>
      <c r="BF34" s="248"/>
      <c r="BG34" s="247"/>
      <c r="BH34" s="248"/>
      <c r="BI34" s="248"/>
      <c r="BJ34" s="247"/>
      <c r="BK34" s="247"/>
      <c r="BL34" s="248"/>
      <c r="BM34" s="247"/>
      <c r="BN34" s="248"/>
      <c r="BO34" s="247"/>
      <c r="CG34" s="261" t="s">
        <v>332</v>
      </c>
      <c r="CH34" s="326">
        <f>MEDIAN(CH2:CH26,CH28)</f>
        <v>51895.07004123339</v>
      </c>
      <c r="CI34" s="326">
        <f>MEDIAN(CI2:CI18,CI20:CI28)</f>
        <v>46666.666666666664</v>
      </c>
      <c r="CJ34" s="326">
        <f>MEDIAN(CJ2:CJ28)</f>
        <v>27521.36842105263</v>
      </c>
      <c r="CK34" s="326">
        <f>MEDIAN(CK2:CK3,CK5:CK25,CK27:CK28)</f>
        <v>28873.830434782609</v>
      </c>
      <c r="CN34" s="261" t="s">
        <v>332</v>
      </c>
      <c r="CO34" s="262" t="e">
        <f>MEDIAN(CO2:CO28)</f>
        <v>#REF!</v>
      </c>
      <c r="CP34" s="314"/>
      <c r="CQ34" s="314"/>
      <c r="CR34" s="247"/>
      <c r="CS34" s="247"/>
      <c r="CT34" s="247"/>
      <c r="CU34" s="247"/>
      <c r="CV34" s="247"/>
      <c r="CW34" s="247"/>
      <c r="CX34" s="247"/>
      <c r="CY34" s="247"/>
      <c r="CZ34" s="247"/>
      <c r="DA34" s="247"/>
      <c r="DB34" s="247"/>
      <c r="DC34" s="247"/>
      <c r="DD34" s="247"/>
      <c r="DE34" s="247"/>
      <c r="DF34" s="247"/>
      <c r="DG34" s="247"/>
      <c r="DH34" s="247"/>
      <c r="DI34" s="247"/>
      <c r="DJ34" s="247"/>
      <c r="DK34" s="249"/>
      <c r="DL34" s="247"/>
      <c r="DM34" s="296"/>
      <c r="DN34" s="247"/>
      <c r="DO34" s="247"/>
      <c r="DP34" s="250"/>
      <c r="ES34" s="333" t="s">
        <v>330</v>
      </c>
      <c r="ET34" s="334">
        <f>AVERAGE(ET9,ET12,ET22,ET25,ET26,ET27)</f>
        <v>31.190978741755455</v>
      </c>
      <c r="EU34" s="41">
        <f>MEDIAN(EU2:EU28)</f>
        <v>16.678356164383562</v>
      </c>
      <c r="FA34" s="345" t="s">
        <v>369</v>
      </c>
      <c r="FB34" s="346">
        <f>1/FB33</f>
        <v>7.1204127116000153</v>
      </c>
      <c r="FC34" s="344">
        <f>1/FC33</f>
        <v>7.438550590044434</v>
      </c>
      <c r="FD34" s="346">
        <f>1/FD33</f>
        <v>1.0002292343325114</v>
      </c>
      <c r="FE34" s="344">
        <f>1/FE33</f>
        <v>9.6419821847398879</v>
      </c>
    </row>
    <row r="35" spans="2:161" ht="25.5" x14ac:dyDescent="0.2">
      <c r="L35" s="246"/>
      <c r="M35" s="247"/>
      <c r="N35" s="247"/>
      <c r="O35" s="45"/>
      <c r="P35" s="247"/>
      <c r="Q35" s="247"/>
      <c r="R35" s="247"/>
      <c r="S35" s="247"/>
      <c r="T35" s="320">
        <f>MAX(T2:T28)</f>
        <v>0.9</v>
      </c>
      <c r="U35" s="247"/>
      <c r="V35" s="248"/>
      <c r="Z35" s="694" t="s">
        <v>386</v>
      </c>
      <c r="AA35" s="40">
        <f>SUM(AA2:AC28)</f>
        <v>37.739999999999995</v>
      </c>
      <c r="AB35" s="40">
        <f>AA35/(AA34+AA35)</f>
        <v>0.67465141222738645</v>
      </c>
      <c r="AC35" s="228">
        <v>50000</v>
      </c>
      <c r="AE35" s="699" t="s">
        <v>390</v>
      </c>
      <c r="AF35" s="40"/>
      <c r="AG35" s="40">
        <v>0.25</v>
      </c>
      <c r="AH35" s="701">
        <v>36000</v>
      </c>
      <c r="AN35" s="37"/>
      <c r="AR35" s="247"/>
      <c r="AS35" s="247"/>
      <c r="AT35" s="247"/>
      <c r="AU35" s="247"/>
      <c r="AV35" s="248"/>
      <c r="AW35" s="247"/>
      <c r="AX35" s="248"/>
      <c r="AY35" s="247"/>
      <c r="AZ35" s="248"/>
      <c r="BA35" s="247"/>
      <c r="BB35" s="248"/>
      <c r="BC35" s="247"/>
      <c r="BD35" s="248"/>
      <c r="BE35" s="247"/>
      <c r="BF35" s="248"/>
      <c r="BG35" s="247"/>
      <c r="BH35" s="248"/>
      <c r="BI35" s="248"/>
      <c r="BJ35" s="247"/>
      <c r="BK35" s="247"/>
      <c r="BL35" s="248"/>
      <c r="BM35" s="247"/>
      <c r="BN35" s="248"/>
      <c r="BO35" s="247"/>
      <c r="CG35" s="261" t="s">
        <v>365</v>
      </c>
      <c r="CH35" s="326">
        <f>MIN(CH2:CH28)</f>
        <v>40591</v>
      </c>
      <c r="CI35" s="326">
        <f>MIN(CI2:CI18,CI20:CI28)</f>
        <v>40106.14</v>
      </c>
      <c r="CJ35" s="326">
        <f>MIN(CJ2:CJ28)</f>
        <v>22043.876666666667</v>
      </c>
      <c r="CK35" s="326">
        <f>MIN(CK5:CK25,CK27:CK28,CK2:CK3)</f>
        <v>19244.444444444445</v>
      </c>
      <c r="CN35" s="329" t="s">
        <v>361</v>
      </c>
      <c r="CO35" s="330" t="e">
        <f>AVERAGE(CO2:CO17,CO20:CO28)</f>
        <v>#REF!</v>
      </c>
      <c r="CP35" s="315"/>
      <c r="CQ35" s="315"/>
      <c r="CT35" s="255"/>
      <c r="CU35" s="255"/>
      <c r="CV35" s="255"/>
      <c r="CY35" s="255"/>
      <c r="DE35" s="255"/>
      <c r="DF35" s="255"/>
      <c r="DG35" s="255"/>
      <c r="DJ35" s="255"/>
      <c r="DM35" s="296"/>
      <c r="DN35" s="43"/>
      <c r="ES35" s="333" t="s">
        <v>152</v>
      </c>
      <c r="ET35" s="334">
        <f>AVERAGE(ET2,ET3,ET5,ET7,ET11,ET13,ET17:ET20,ET23:ET24)</f>
        <v>17.544168616818876</v>
      </c>
      <c r="EU35" s="334">
        <f>SUM(DZ2:DZ28)/SUM(M2:M28)</f>
        <v>16.772324588891873</v>
      </c>
    </row>
    <row r="36" spans="2:161" ht="14.25" customHeight="1" thickBot="1" x14ac:dyDescent="0.25">
      <c r="P36" s="252"/>
      <c r="Q36" s="252"/>
      <c r="R36" s="252"/>
      <c r="S36" s="252"/>
      <c r="T36" s="252"/>
      <c r="U36" s="252"/>
      <c r="Z36" s="695" t="s">
        <v>387</v>
      </c>
      <c r="AA36" s="258"/>
      <c r="AB36" s="258">
        <f>AB34+AB35</f>
        <v>1</v>
      </c>
      <c r="AC36" s="697">
        <f>AB34*AC34+AB35*AC35</f>
        <v>53253.485877726132</v>
      </c>
      <c r="AE36" s="700" t="s">
        <v>392</v>
      </c>
      <c r="AF36" s="258"/>
      <c r="AG36" s="258"/>
      <c r="AH36" s="702">
        <f>AG34*AH34+AG35*AH35</f>
        <v>29811.588841630142</v>
      </c>
      <c r="AN36" s="37"/>
      <c r="AZ36" s="37"/>
      <c r="BD36" s="38"/>
      <c r="BF36" s="38"/>
      <c r="BH36" s="256"/>
      <c r="BI36" s="256"/>
      <c r="BL36" s="256"/>
      <c r="BM36" s="255"/>
      <c r="BN36" s="254"/>
      <c r="CG36" s="261" t="s">
        <v>366</v>
      </c>
      <c r="CH36" s="326">
        <f>MAX(CH2:CH26,CH28)</f>
        <v>61850.683257918558</v>
      </c>
      <c r="CI36" s="326">
        <f>MAX(CI2:CI18,CI20:CI28)</f>
        <v>52155.017167381971</v>
      </c>
      <c r="CJ36" s="326">
        <f>MAX(CJ2:CJ28)</f>
        <v>32913.300000000003</v>
      </c>
      <c r="CK36" s="326">
        <f>MAX(CK2:CK25,CK27:CK28)</f>
        <v>37323.333333333336</v>
      </c>
      <c r="CO36" s="321" t="e">
        <f>MEDIAN(CO2:CO17,CO20:CO28)</f>
        <v>#REF!</v>
      </c>
      <c r="CT36" s="28"/>
      <c r="CU36" s="28"/>
      <c r="DI36" s="33"/>
      <c r="DJ36" s="33"/>
      <c r="ES36" s="333" t="s">
        <v>163</v>
      </c>
      <c r="ET36" s="334">
        <f>AVERAGE(ET4,ET6,ET10,ET14:ET16,ET21,ET28)</f>
        <v>4.8269348195899369</v>
      </c>
    </row>
    <row r="37" spans="2:161" ht="13.5" thickBot="1" x14ac:dyDescent="0.25">
      <c r="CN37" s="33" t="s">
        <v>362</v>
      </c>
      <c r="CO37" s="322" t="e">
        <f>STDEV(CO2:CO28)</f>
        <v>#REF!</v>
      </c>
      <c r="ES37" s="34" t="s">
        <v>329</v>
      </c>
      <c r="ET37" s="41">
        <f>ET27</f>
        <v>21.800003044140031</v>
      </c>
    </row>
    <row r="38" spans="2:161" x14ac:dyDescent="0.2">
      <c r="AE38" s="698" t="s">
        <v>388</v>
      </c>
      <c r="AF38" s="692" t="s">
        <v>382</v>
      </c>
      <c r="AG38" s="692" t="s">
        <v>391</v>
      </c>
      <c r="AH38" s="693" t="s">
        <v>384</v>
      </c>
      <c r="CN38" s="323" t="s">
        <v>363</v>
      </c>
      <c r="CO38" s="322" t="e">
        <f>CO33+2*CO37</f>
        <v>#REF!</v>
      </c>
    </row>
    <row r="39" spans="2:161" x14ac:dyDescent="0.2">
      <c r="AE39" s="699" t="s">
        <v>389</v>
      </c>
      <c r="AF39" s="40"/>
      <c r="AG39" s="40">
        <v>0.75</v>
      </c>
      <c r="AH39" s="701">
        <v>30000</v>
      </c>
      <c r="CN39" s="323" t="s">
        <v>364</v>
      </c>
      <c r="CO39" s="322" t="e">
        <f>CO33-2*CO37</f>
        <v>#REF!</v>
      </c>
      <c r="ER39" s="33" t="s">
        <v>355</v>
      </c>
      <c r="ES39" s="34" t="s">
        <v>330</v>
      </c>
      <c r="ET39" s="41">
        <f>SUM(DY9,DY12,DY22,DY25,DY26,DY27)/SUM(M9,M12,M22,M25,M26,M27)</f>
        <v>33.74064768354625</v>
      </c>
    </row>
    <row r="40" spans="2:161" ht="25.5" x14ac:dyDescent="0.2">
      <c r="AE40" s="699" t="s">
        <v>390</v>
      </c>
      <c r="AF40" s="40"/>
      <c r="AG40" s="40">
        <v>0.25</v>
      </c>
      <c r="AH40" s="701">
        <v>35000</v>
      </c>
      <c r="ES40" s="34" t="s">
        <v>152</v>
      </c>
      <c r="ET40" s="41">
        <f>SUM(DY2,DY3,DY5,DY7,DY11,DY13,DY17:DY20,DY23:DY24)/SUM(M2,M3,M5,M7,M11,M13,M17:M20,M23:M24)</f>
        <v>17.232196900511969</v>
      </c>
    </row>
    <row r="41" spans="2:161" ht="13.5" thickBot="1" x14ac:dyDescent="0.25">
      <c r="S41" s="37" t="s">
        <v>376</v>
      </c>
      <c r="AE41" s="700" t="s">
        <v>392</v>
      </c>
      <c r="AF41" s="258"/>
      <c r="AG41" s="258"/>
      <c r="AH41" s="703">
        <f>AG39*AH39+AG40*AH40</f>
        <v>31250</v>
      </c>
      <c r="ES41" s="34" t="s">
        <v>163</v>
      </c>
      <c r="ET41" s="41">
        <f>SUM(DY4,DY6,DY10,DY14:DY16,DY21,DY28)/SUM(M4,M6,M10,M14:M16,M21,M28)</f>
        <v>4.3432029560201872</v>
      </c>
    </row>
    <row r="42" spans="2:161" x14ac:dyDescent="0.2">
      <c r="S42" s="37">
        <v>201.33493735371675</v>
      </c>
    </row>
    <row r="43" spans="2:161" x14ac:dyDescent="0.2">
      <c r="S43" s="37">
        <v>205.33054532184261</v>
      </c>
    </row>
    <row r="44" spans="2:161" x14ac:dyDescent="0.2">
      <c r="S44" s="37">
        <v>218.57542770167427</v>
      </c>
    </row>
    <row r="45" spans="2:161" x14ac:dyDescent="0.2">
      <c r="S45" s="37">
        <v>219.20869759493235</v>
      </c>
    </row>
    <row r="46" spans="2:161" x14ac:dyDescent="0.2">
      <c r="S46" s="37">
        <v>228.41487823439874</v>
      </c>
    </row>
    <row r="47" spans="2:161" x14ac:dyDescent="0.2">
      <c r="S47" s="37">
        <v>233.19513714998035</v>
      </c>
    </row>
    <row r="48" spans="2:161" x14ac:dyDescent="0.2">
      <c r="S48" s="37">
        <v>235.95967551577226</v>
      </c>
    </row>
    <row r="49" spans="19:19" x14ac:dyDescent="0.2">
      <c r="S49" s="37">
        <v>238.79721613394216</v>
      </c>
    </row>
    <row r="50" spans="19:19" x14ac:dyDescent="0.2">
      <c r="S50" s="37">
        <v>239.18640410958909</v>
      </c>
    </row>
    <row r="51" spans="19:19" x14ac:dyDescent="0.2">
      <c r="S51" s="37">
        <v>247.97813778481526</v>
      </c>
    </row>
    <row r="52" spans="19:19" x14ac:dyDescent="0.2">
      <c r="S52" s="37">
        <v>249.87702181633685</v>
      </c>
    </row>
    <row r="53" spans="19:19" x14ac:dyDescent="0.2">
      <c r="S53" s="37">
        <v>253.71453196347031</v>
      </c>
    </row>
    <row r="54" spans="19:19" x14ac:dyDescent="0.2">
      <c r="S54" s="37">
        <v>255.38544184797206</v>
      </c>
    </row>
    <row r="55" spans="19:19" x14ac:dyDescent="0.2">
      <c r="S55" s="37">
        <v>256.16363430093884</v>
      </c>
    </row>
    <row r="56" spans="19:19" x14ac:dyDescent="0.2">
      <c r="S56" s="37">
        <v>260.55947175092837</v>
      </c>
    </row>
    <row r="57" spans="19:19" x14ac:dyDescent="0.2">
      <c r="S57" s="37">
        <v>273.15281398426731</v>
      </c>
    </row>
    <row r="58" spans="19:19" x14ac:dyDescent="0.2">
      <c r="S58" s="37">
        <v>273.96465055102885</v>
      </c>
    </row>
    <row r="59" spans="19:19" x14ac:dyDescent="0.2">
      <c r="S59" s="37">
        <v>281.87620262559636</v>
      </c>
    </row>
    <row r="60" spans="19:19" x14ac:dyDescent="0.2">
      <c r="S60" s="37">
        <v>292.80914668949777</v>
      </c>
    </row>
    <row r="61" spans="19:19" x14ac:dyDescent="0.2">
      <c r="S61" s="37">
        <v>295.62065956367331</v>
      </c>
    </row>
    <row r="62" spans="19:19" x14ac:dyDescent="0.2">
      <c r="S62" s="37">
        <v>313.36654736660728</v>
      </c>
    </row>
    <row r="63" spans="19:19" x14ac:dyDescent="0.2">
      <c r="S63" s="37">
        <v>313.81095890410955</v>
      </c>
    </row>
    <row r="64" spans="19:19" x14ac:dyDescent="0.2">
      <c r="S64" s="37">
        <v>318.65979319367921</v>
      </c>
    </row>
    <row r="65" spans="19:19" x14ac:dyDescent="0.2">
      <c r="S65" s="37">
        <v>323.14010363270535</v>
      </c>
    </row>
    <row r="66" spans="19:19" x14ac:dyDescent="0.2">
      <c r="S66" s="37">
        <v>323.83801369863016</v>
      </c>
    </row>
    <row r="67" spans="19:19" x14ac:dyDescent="0.2">
      <c r="S67" s="37">
        <v>341.78048801369869</v>
      </c>
    </row>
  </sheetData>
  <phoneticPr fontId="2" type="noConversion"/>
  <printOptions horizontalCentered="1"/>
  <pageMargins left="0" right="0" top="0.5" bottom="0.5" header="0.25" footer="0.25"/>
  <pageSetup paperSize="17" scale="80" fitToWidth="8" fitToHeight="2" pageOrder="overThenDown" orientation="landscape" r:id="rId1"/>
  <headerFooter alignWithMargins="0">
    <oddHeader>&amp;C&amp;"Arial,Bold Italic"&amp;12FY2010 Contracts By Appropriation</oddHeader>
    <oddFooter>&amp;CPage &amp;P&amp;R&amp;F</oddFooter>
  </headerFooter>
  <drawing r:id="rId2"/>
  <legacyDrawing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2"/>
  <sheetViews>
    <sheetView zoomScale="85" zoomScaleNormal="85" zoomScaleSheetLayoutView="120" workbookViewId="0">
      <selection activeCell="G37" sqref="G37"/>
    </sheetView>
  </sheetViews>
  <sheetFormatPr defaultColWidth="8.75" defaultRowHeight="12.75" x14ac:dyDescent="0.2"/>
  <cols>
    <col min="1" max="1" width="45.875" style="72" bestFit="1" customWidth="1"/>
    <col min="2" max="15" width="6.75" style="143" bestFit="1" customWidth="1"/>
    <col min="16" max="16384" width="8.75" style="72"/>
  </cols>
  <sheetData>
    <row r="1" spans="1:15" s="71" customFormat="1" x14ac:dyDescent="0.2">
      <c r="A1" s="71" t="s">
        <v>318</v>
      </c>
      <c r="B1" s="437">
        <v>12</v>
      </c>
      <c r="C1" s="437">
        <v>13</v>
      </c>
      <c r="D1" s="437">
        <v>14</v>
      </c>
      <c r="E1" s="71">
        <v>15</v>
      </c>
      <c r="F1" s="71">
        <v>16</v>
      </c>
      <c r="G1" s="71">
        <v>17</v>
      </c>
      <c r="H1" s="437">
        <v>18</v>
      </c>
      <c r="I1" s="437">
        <v>19</v>
      </c>
      <c r="J1" s="437">
        <v>20</v>
      </c>
      <c r="K1" s="437">
        <v>21</v>
      </c>
      <c r="L1" s="437">
        <v>22</v>
      </c>
      <c r="M1" s="71">
        <v>23</v>
      </c>
      <c r="N1" s="71">
        <v>24</v>
      </c>
      <c r="O1" s="71">
        <v>25</v>
      </c>
    </row>
    <row r="2" spans="1:15" s="143" customFormat="1" x14ac:dyDescent="0.2">
      <c r="A2" s="143">
        <v>5</v>
      </c>
      <c r="B2" s="438">
        <f t="shared" ref="B2:K4" si="0">B$1/$A2</f>
        <v>2.4</v>
      </c>
      <c r="C2" s="438">
        <f t="shared" si="0"/>
        <v>2.6</v>
      </c>
      <c r="D2" s="438">
        <f t="shared" si="0"/>
        <v>2.8</v>
      </c>
      <c r="E2" s="243">
        <f t="shared" si="0"/>
        <v>3</v>
      </c>
      <c r="F2" s="243">
        <f t="shared" si="0"/>
        <v>3.2</v>
      </c>
      <c r="G2" s="243">
        <f t="shared" si="0"/>
        <v>3.4</v>
      </c>
      <c r="H2" s="438">
        <f t="shared" si="0"/>
        <v>3.6</v>
      </c>
      <c r="I2" s="438">
        <f t="shared" si="0"/>
        <v>3.8</v>
      </c>
      <c r="J2" s="438">
        <f t="shared" si="0"/>
        <v>4</v>
      </c>
      <c r="K2" s="438">
        <f t="shared" si="0"/>
        <v>4.2</v>
      </c>
      <c r="L2" s="438">
        <f t="shared" ref="L2:O4" si="1">L$1/$A2</f>
        <v>4.4000000000000004</v>
      </c>
      <c r="M2" s="243">
        <f t="shared" si="1"/>
        <v>4.5999999999999996</v>
      </c>
      <c r="N2" s="243">
        <f t="shared" si="1"/>
        <v>4.8</v>
      </c>
      <c r="O2" s="243">
        <f t="shared" si="1"/>
        <v>5</v>
      </c>
    </row>
    <row r="3" spans="1:15" s="143" customFormat="1" x14ac:dyDescent="0.2">
      <c r="A3" s="143">
        <v>4</v>
      </c>
      <c r="B3" s="438">
        <f t="shared" si="0"/>
        <v>3</v>
      </c>
      <c r="C3" s="438">
        <f t="shared" si="0"/>
        <v>3.25</v>
      </c>
      <c r="D3" s="438">
        <f t="shared" si="0"/>
        <v>3.5</v>
      </c>
      <c r="E3" s="243">
        <f t="shared" si="0"/>
        <v>3.75</v>
      </c>
      <c r="F3" s="243">
        <f t="shared" si="0"/>
        <v>4</v>
      </c>
      <c r="G3" s="243">
        <f t="shared" si="0"/>
        <v>4.25</v>
      </c>
      <c r="H3" s="438">
        <f t="shared" si="0"/>
        <v>4.5</v>
      </c>
      <c r="I3" s="438">
        <f t="shared" si="0"/>
        <v>4.75</v>
      </c>
      <c r="J3" s="438">
        <f t="shared" si="0"/>
        <v>5</v>
      </c>
      <c r="K3" s="438">
        <f t="shared" si="0"/>
        <v>5.25</v>
      </c>
      <c r="L3" s="438">
        <f t="shared" si="1"/>
        <v>5.5</v>
      </c>
      <c r="M3" s="243">
        <f t="shared" si="1"/>
        <v>5.75</v>
      </c>
      <c r="N3" s="243">
        <f t="shared" si="1"/>
        <v>6</v>
      </c>
      <c r="O3" s="243">
        <f t="shared" si="1"/>
        <v>6.25</v>
      </c>
    </row>
    <row r="4" spans="1:15" s="143" customFormat="1" x14ac:dyDescent="0.2">
      <c r="A4" s="143">
        <v>7</v>
      </c>
      <c r="B4" s="438">
        <f t="shared" si="0"/>
        <v>1.7142857142857142</v>
      </c>
      <c r="C4" s="438">
        <f t="shared" si="0"/>
        <v>1.8571428571428572</v>
      </c>
      <c r="D4" s="438">
        <f t="shared" si="0"/>
        <v>2</v>
      </c>
      <c r="E4" s="243">
        <f t="shared" si="0"/>
        <v>2.1428571428571428</v>
      </c>
      <c r="F4" s="243">
        <f t="shared" si="0"/>
        <v>2.2857142857142856</v>
      </c>
      <c r="G4" s="243">
        <f t="shared" si="0"/>
        <v>2.4285714285714284</v>
      </c>
      <c r="H4" s="438">
        <f t="shared" si="0"/>
        <v>2.5714285714285716</v>
      </c>
      <c r="I4" s="438">
        <f t="shared" si="0"/>
        <v>2.7142857142857144</v>
      </c>
      <c r="J4" s="438">
        <f t="shared" si="0"/>
        <v>2.8571428571428572</v>
      </c>
      <c r="K4" s="438">
        <f t="shared" si="0"/>
        <v>3</v>
      </c>
      <c r="L4" s="438">
        <f t="shared" si="1"/>
        <v>3.1428571428571428</v>
      </c>
      <c r="M4" s="243">
        <f t="shared" si="1"/>
        <v>3.2857142857142856</v>
      </c>
      <c r="N4" s="243">
        <f t="shared" si="1"/>
        <v>3.4285714285714284</v>
      </c>
      <c r="O4" s="243">
        <f t="shared" si="1"/>
        <v>3.5714285714285716</v>
      </c>
    </row>
    <row r="5" spans="1:15" s="143" customFormat="1" x14ac:dyDescent="0.2">
      <c r="A5" s="143" t="s">
        <v>319</v>
      </c>
      <c r="B5" s="439"/>
      <c r="C5" s="439"/>
      <c r="D5" s="439"/>
      <c r="E5" s="219"/>
      <c r="F5" s="219"/>
      <c r="G5" s="219"/>
      <c r="H5" s="439"/>
      <c r="I5" s="439"/>
      <c r="J5" s="439"/>
      <c r="K5" s="439"/>
      <c r="L5" s="439"/>
      <c r="M5" s="219"/>
      <c r="N5" s="219"/>
      <c r="O5" s="219"/>
    </row>
    <row r="6" spans="1:15" s="143" customFormat="1" x14ac:dyDescent="0.2">
      <c r="A6" s="143">
        <v>5</v>
      </c>
      <c r="B6" s="439">
        <f>ROUNDUP(B2,0)</f>
        <v>3</v>
      </c>
      <c r="C6" s="439">
        <f t="shared" ref="C6:O6" si="2">ROUNDUP(C2,0)</f>
        <v>3</v>
      </c>
      <c r="D6" s="439">
        <f t="shared" si="2"/>
        <v>3</v>
      </c>
      <c r="E6" s="219">
        <f t="shared" si="2"/>
        <v>3</v>
      </c>
      <c r="F6" s="219">
        <f t="shared" si="2"/>
        <v>4</v>
      </c>
      <c r="G6" s="219">
        <f t="shared" si="2"/>
        <v>4</v>
      </c>
      <c r="H6" s="439">
        <f t="shared" si="2"/>
        <v>4</v>
      </c>
      <c r="I6" s="439">
        <f t="shared" si="2"/>
        <v>4</v>
      </c>
      <c r="J6" s="439">
        <f t="shared" si="2"/>
        <v>4</v>
      </c>
      <c r="K6" s="439">
        <f t="shared" si="2"/>
        <v>5</v>
      </c>
      <c r="L6" s="439">
        <f t="shared" si="2"/>
        <v>5</v>
      </c>
      <c r="M6" s="219">
        <f t="shared" si="2"/>
        <v>5</v>
      </c>
      <c r="N6" s="219">
        <f t="shared" si="2"/>
        <v>5</v>
      </c>
      <c r="O6" s="219">
        <f t="shared" si="2"/>
        <v>5</v>
      </c>
    </row>
    <row r="7" spans="1:15" s="143" customFormat="1" x14ac:dyDescent="0.2">
      <c r="A7" s="143">
        <v>4</v>
      </c>
      <c r="B7" s="439">
        <f t="shared" ref="B7:O7" si="3">ROUNDUP(B3,0)</f>
        <v>3</v>
      </c>
      <c r="C7" s="439">
        <f t="shared" si="3"/>
        <v>4</v>
      </c>
      <c r="D7" s="439">
        <f t="shared" si="3"/>
        <v>4</v>
      </c>
      <c r="E7" s="219">
        <f t="shared" si="3"/>
        <v>4</v>
      </c>
      <c r="F7" s="219">
        <f t="shared" si="3"/>
        <v>4</v>
      </c>
      <c r="G7" s="219">
        <f t="shared" si="3"/>
        <v>5</v>
      </c>
      <c r="H7" s="439">
        <f t="shared" si="3"/>
        <v>5</v>
      </c>
      <c r="I7" s="439">
        <f t="shared" si="3"/>
        <v>5</v>
      </c>
      <c r="J7" s="439">
        <f t="shared" si="3"/>
        <v>5</v>
      </c>
      <c r="K7" s="439">
        <f t="shared" si="3"/>
        <v>6</v>
      </c>
      <c r="L7" s="439">
        <f t="shared" si="3"/>
        <v>6</v>
      </c>
      <c r="M7" s="219">
        <f t="shared" si="3"/>
        <v>6</v>
      </c>
      <c r="N7" s="219">
        <f t="shared" si="3"/>
        <v>6</v>
      </c>
      <c r="O7" s="219">
        <f t="shared" si="3"/>
        <v>7</v>
      </c>
    </row>
    <row r="8" spans="1:15" s="143" customFormat="1" x14ac:dyDescent="0.2">
      <c r="A8" s="143">
        <v>7</v>
      </c>
      <c r="B8" s="439">
        <f t="shared" ref="B8:O8" si="4">ROUNDUP(B4,0)</f>
        <v>2</v>
      </c>
      <c r="C8" s="439">
        <f t="shared" si="4"/>
        <v>2</v>
      </c>
      <c r="D8" s="439">
        <f t="shared" si="4"/>
        <v>2</v>
      </c>
      <c r="E8" s="219">
        <f t="shared" si="4"/>
        <v>3</v>
      </c>
      <c r="F8" s="219">
        <f t="shared" si="4"/>
        <v>3</v>
      </c>
      <c r="G8" s="219">
        <f t="shared" si="4"/>
        <v>3</v>
      </c>
      <c r="H8" s="439">
        <f t="shared" si="4"/>
        <v>3</v>
      </c>
      <c r="I8" s="439">
        <f t="shared" si="4"/>
        <v>3</v>
      </c>
      <c r="J8" s="439">
        <f t="shared" si="4"/>
        <v>3</v>
      </c>
      <c r="K8" s="439">
        <f t="shared" si="4"/>
        <v>3</v>
      </c>
      <c r="L8" s="439">
        <f t="shared" si="4"/>
        <v>4</v>
      </c>
      <c r="M8" s="219">
        <f t="shared" si="4"/>
        <v>4</v>
      </c>
      <c r="N8" s="219">
        <f t="shared" si="4"/>
        <v>4</v>
      </c>
      <c r="O8" s="219">
        <f t="shared" si="4"/>
        <v>4</v>
      </c>
    </row>
    <row r="9" spans="1:15" s="143" customFormat="1" x14ac:dyDescent="0.2">
      <c r="B9" s="439">
        <f t="shared" ref="B9:O9" si="5">SUM(B6:B8)</f>
        <v>8</v>
      </c>
      <c r="C9" s="439">
        <f t="shared" si="5"/>
        <v>9</v>
      </c>
      <c r="D9" s="439">
        <f t="shared" si="5"/>
        <v>9</v>
      </c>
      <c r="E9" s="219">
        <f t="shared" si="5"/>
        <v>10</v>
      </c>
      <c r="F9" s="219">
        <f t="shared" si="5"/>
        <v>11</v>
      </c>
      <c r="G9" s="219">
        <f t="shared" si="5"/>
        <v>12</v>
      </c>
      <c r="H9" s="439">
        <f t="shared" si="5"/>
        <v>12</v>
      </c>
      <c r="I9" s="439">
        <f t="shared" si="5"/>
        <v>12</v>
      </c>
      <c r="J9" s="439">
        <f t="shared" si="5"/>
        <v>12</v>
      </c>
      <c r="K9" s="439">
        <f t="shared" si="5"/>
        <v>14</v>
      </c>
      <c r="L9" s="439">
        <f t="shared" si="5"/>
        <v>15</v>
      </c>
      <c r="M9" s="219">
        <f t="shared" si="5"/>
        <v>15</v>
      </c>
      <c r="N9" s="219">
        <f t="shared" si="5"/>
        <v>15</v>
      </c>
      <c r="O9" s="219">
        <f t="shared" si="5"/>
        <v>16</v>
      </c>
    </row>
    <row r="10" spans="1:15" s="143" customFormat="1" x14ac:dyDescent="0.2">
      <c r="B10" s="439"/>
      <c r="C10" s="439"/>
      <c r="D10" s="439"/>
      <c r="E10" s="219"/>
      <c r="F10" s="219"/>
      <c r="G10" s="219"/>
      <c r="H10" s="439"/>
      <c r="I10" s="439"/>
      <c r="J10" s="439"/>
      <c r="K10" s="439"/>
      <c r="L10" s="439"/>
      <c r="M10" s="219"/>
      <c r="N10" s="219"/>
      <c r="O10" s="219"/>
    </row>
    <row r="11" spans="1:15" s="143" customFormat="1" x14ac:dyDescent="0.2">
      <c r="A11" s="143" t="s">
        <v>379</v>
      </c>
      <c r="B11" s="440"/>
      <c r="C11" s="440"/>
      <c r="D11" s="440"/>
      <c r="H11" s="440"/>
      <c r="I11" s="440"/>
      <c r="J11" s="440"/>
      <c r="K11" s="440"/>
      <c r="L11" s="440"/>
    </row>
    <row r="12" spans="1:15" s="143" customFormat="1" x14ac:dyDescent="0.2">
      <c r="A12" s="143">
        <v>5</v>
      </c>
      <c r="B12" s="439">
        <f>B6*16/40*1.5</f>
        <v>1.7999999999999998</v>
      </c>
      <c r="C12" s="439">
        <f t="shared" ref="C12:O12" si="6">C6*16/40*1.5</f>
        <v>1.7999999999999998</v>
      </c>
      <c r="D12" s="439">
        <f t="shared" si="6"/>
        <v>1.7999999999999998</v>
      </c>
      <c r="E12" s="219">
        <f t="shared" si="6"/>
        <v>1.7999999999999998</v>
      </c>
      <c r="F12" s="219">
        <f t="shared" si="6"/>
        <v>2.4000000000000004</v>
      </c>
      <c r="G12" s="219">
        <f t="shared" si="6"/>
        <v>2.4000000000000004</v>
      </c>
      <c r="H12" s="439">
        <f t="shared" si="6"/>
        <v>2.4000000000000004</v>
      </c>
      <c r="I12" s="439">
        <f t="shared" si="6"/>
        <v>2.4000000000000004</v>
      </c>
      <c r="J12" s="439">
        <f t="shared" si="6"/>
        <v>2.4000000000000004</v>
      </c>
      <c r="K12" s="439">
        <f t="shared" si="6"/>
        <v>3</v>
      </c>
      <c r="L12" s="439">
        <f t="shared" si="6"/>
        <v>3</v>
      </c>
      <c r="M12" s="219">
        <f t="shared" si="6"/>
        <v>3</v>
      </c>
      <c r="N12" s="219">
        <f t="shared" si="6"/>
        <v>3</v>
      </c>
      <c r="O12" s="219">
        <f t="shared" si="6"/>
        <v>3</v>
      </c>
    </row>
    <row r="13" spans="1:15" s="143" customFormat="1" ht="12" customHeight="1" x14ac:dyDescent="0.2">
      <c r="A13" s="143">
        <v>4</v>
      </c>
      <c r="B13" s="439">
        <f>B7*16/40*1.5</f>
        <v>1.7999999999999998</v>
      </c>
      <c r="C13" s="439">
        <f t="shared" ref="C13:O13" si="7">C7*16/40*1.5</f>
        <v>2.4000000000000004</v>
      </c>
      <c r="D13" s="439">
        <f t="shared" si="7"/>
        <v>2.4000000000000004</v>
      </c>
      <c r="E13" s="219">
        <f t="shared" si="7"/>
        <v>2.4000000000000004</v>
      </c>
      <c r="F13" s="219">
        <f t="shared" si="7"/>
        <v>2.4000000000000004</v>
      </c>
      <c r="G13" s="219">
        <f t="shared" si="7"/>
        <v>3</v>
      </c>
      <c r="H13" s="439">
        <f t="shared" si="7"/>
        <v>3</v>
      </c>
      <c r="I13" s="439">
        <f t="shared" si="7"/>
        <v>3</v>
      </c>
      <c r="J13" s="439">
        <f t="shared" si="7"/>
        <v>3</v>
      </c>
      <c r="K13" s="439">
        <f t="shared" si="7"/>
        <v>3.5999999999999996</v>
      </c>
      <c r="L13" s="439">
        <f t="shared" si="7"/>
        <v>3.5999999999999996</v>
      </c>
      <c r="M13" s="219">
        <f t="shared" si="7"/>
        <v>3.5999999999999996</v>
      </c>
      <c r="N13" s="219">
        <f t="shared" si="7"/>
        <v>3.5999999999999996</v>
      </c>
      <c r="O13" s="219">
        <f t="shared" si="7"/>
        <v>4.1999999999999993</v>
      </c>
    </row>
    <row r="14" spans="1:15" s="143" customFormat="1" x14ac:dyDescent="0.2">
      <c r="A14" s="143">
        <v>7</v>
      </c>
      <c r="B14" s="439">
        <f>B8*16/40*1.5</f>
        <v>1.2000000000000002</v>
      </c>
      <c r="C14" s="439">
        <f t="shared" ref="C14:O14" si="8">C8*16/40*1.5</f>
        <v>1.2000000000000002</v>
      </c>
      <c r="D14" s="439">
        <f t="shared" si="8"/>
        <v>1.2000000000000002</v>
      </c>
      <c r="E14" s="219">
        <f t="shared" si="8"/>
        <v>1.7999999999999998</v>
      </c>
      <c r="F14" s="219">
        <f t="shared" si="8"/>
        <v>1.7999999999999998</v>
      </c>
      <c r="G14" s="219">
        <f t="shared" si="8"/>
        <v>1.7999999999999998</v>
      </c>
      <c r="H14" s="439">
        <f t="shared" si="8"/>
        <v>1.7999999999999998</v>
      </c>
      <c r="I14" s="439">
        <f t="shared" si="8"/>
        <v>1.7999999999999998</v>
      </c>
      <c r="J14" s="439">
        <f t="shared" si="8"/>
        <v>1.7999999999999998</v>
      </c>
      <c r="K14" s="439">
        <f t="shared" si="8"/>
        <v>1.7999999999999998</v>
      </c>
      <c r="L14" s="439">
        <f t="shared" si="8"/>
        <v>2.4000000000000004</v>
      </c>
      <c r="M14" s="219">
        <f t="shared" si="8"/>
        <v>2.4000000000000004</v>
      </c>
      <c r="N14" s="219">
        <f t="shared" si="8"/>
        <v>2.4000000000000004</v>
      </c>
      <c r="O14" s="219">
        <f t="shared" si="8"/>
        <v>2.4000000000000004</v>
      </c>
    </row>
    <row r="15" spans="1:15" s="143" customFormat="1" x14ac:dyDescent="0.2">
      <c r="B15" s="439">
        <f t="shared" ref="B15:O15" si="9">SUM(B12:B14)</f>
        <v>4.8</v>
      </c>
      <c r="C15" s="439">
        <f t="shared" si="9"/>
        <v>5.4</v>
      </c>
      <c r="D15" s="439">
        <f t="shared" si="9"/>
        <v>5.4</v>
      </c>
      <c r="E15" s="219">
        <f t="shared" si="9"/>
        <v>6</v>
      </c>
      <c r="F15" s="219">
        <f t="shared" si="9"/>
        <v>6.6000000000000005</v>
      </c>
      <c r="G15" s="219">
        <f t="shared" si="9"/>
        <v>7.2</v>
      </c>
      <c r="H15" s="439">
        <f t="shared" si="9"/>
        <v>7.2</v>
      </c>
      <c r="I15" s="439">
        <f t="shared" si="9"/>
        <v>7.2</v>
      </c>
      <c r="J15" s="439">
        <f t="shared" si="9"/>
        <v>7.2</v>
      </c>
      <c r="K15" s="439">
        <f t="shared" si="9"/>
        <v>8.3999999999999986</v>
      </c>
      <c r="L15" s="439">
        <f t="shared" si="9"/>
        <v>9</v>
      </c>
      <c r="M15" s="219">
        <f t="shared" si="9"/>
        <v>9</v>
      </c>
      <c r="N15" s="219">
        <f t="shared" si="9"/>
        <v>9</v>
      </c>
      <c r="O15" s="219">
        <f t="shared" si="9"/>
        <v>9.6</v>
      </c>
    </row>
    <row r="16" spans="1:15" s="143" customFormat="1" x14ac:dyDescent="0.2">
      <c r="A16" s="143" t="s">
        <v>319</v>
      </c>
      <c r="B16" s="439"/>
      <c r="C16" s="439"/>
      <c r="D16" s="439"/>
      <c r="E16" s="219"/>
      <c r="F16" s="219"/>
      <c r="G16" s="219"/>
      <c r="H16" s="439"/>
      <c r="I16" s="439"/>
      <c r="J16" s="439"/>
      <c r="K16" s="439"/>
      <c r="L16" s="439"/>
      <c r="M16" s="219"/>
      <c r="N16" s="219"/>
      <c r="O16" s="219"/>
    </row>
    <row r="17" spans="1:15" s="143" customFormat="1" x14ac:dyDescent="0.2">
      <c r="A17" s="143">
        <v>5</v>
      </c>
      <c r="B17" s="439">
        <f>ROUNDUP(B12,0)</f>
        <v>2</v>
      </c>
      <c r="C17" s="439">
        <f t="shared" ref="C17:O17" si="10">ROUNDUP(C12,0)</f>
        <v>2</v>
      </c>
      <c r="D17" s="439">
        <f t="shared" si="10"/>
        <v>2</v>
      </c>
      <c r="E17" s="219">
        <f t="shared" si="10"/>
        <v>2</v>
      </c>
      <c r="F17" s="219">
        <f t="shared" si="10"/>
        <v>3</v>
      </c>
      <c r="G17" s="219">
        <f t="shared" si="10"/>
        <v>3</v>
      </c>
      <c r="H17" s="439">
        <f t="shared" si="10"/>
        <v>3</v>
      </c>
      <c r="I17" s="439">
        <f t="shared" si="10"/>
        <v>3</v>
      </c>
      <c r="J17" s="439">
        <f t="shared" si="10"/>
        <v>3</v>
      </c>
      <c r="K17" s="439">
        <f t="shared" si="10"/>
        <v>3</v>
      </c>
      <c r="L17" s="439">
        <f t="shared" si="10"/>
        <v>3</v>
      </c>
      <c r="M17" s="219">
        <f t="shared" si="10"/>
        <v>3</v>
      </c>
      <c r="N17" s="219">
        <f t="shared" si="10"/>
        <v>3</v>
      </c>
      <c r="O17" s="219">
        <f t="shared" si="10"/>
        <v>3</v>
      </c>
    </row>
    <row r="18" spans="1:15" s="143" customFormat="1" x14ac:dyDescent="0.2">
      <c r="A18" s="143">
        <v>4</v>
      </c>
      <c r="B18" s="439">
        <f t="shared" ref="B18:O18" si="11">ROUNDUP(B13,0)</f>
        <v>2</v>
      </c>
      <c r="C18" s="439">
        <f t="shared" si="11"/>
        <v>3</v>
      </c>
      <c r="D18" s="439">
        <f t="shared" si="11"/>
        <v>3</v>
      </c>
      <c r="E18" s="219">
        <f t="shared" si="11"/>
        <v>3</v>
      </c>
      <c r="F18" s="219">
        <f t="shared" si="11"/>
        <v>3</v>
      </c>
      <c r="G18" s="219">
        <f t="shared" si="11"/>
        <v>3</v>
      </c>
      <c r="H18" s="439">
        <f t="shared" si="11"/>
        <v>3</v>
      </c>
      <c r="I18" s="439">
        <f t="shared" si="11"/>
        <v>3</v>
      </c>
      <c r="J18" s="439">
        <f t="shared" si="11"/>
        <v>3</v>
      </c>
      <c r="K18" s="439">
        <f t="shared" si="11"/>
        <v>4</v>
      </c>
      <c r="L18" s="439">
        <f t="shared" si="11"/>
        <v>4</v>
      </c>
      <c r="M18" s="219">
        <f t="shared" si="11"/>
        <v>4</v>
      </c>
      <c r="N18" s="219">
        <f t="shared" si="11"/>
        <v>4</v>
      </c>
      <c r="O18" s="219">
        <f t="shared" si="11"/>
        <v>5</v>
      </c>
    </row>
    <row r="19" spans="1:15" s="143" customFormat="1" x14ac:dyDescent="0.2">
      <c r="A19" s="143">
        <v>7</v>
      </c>
      <c r="B19" s="439">
        <f t="shared" ref="B19:O19" si="12">ROUNDUP(B14,0)</f>
        <v>2</v>
      </c>
      <c r="C19" s="439">
        <f t="shared" si="12"/>
        <v>2</v>
      </c>
      <c r="D19" s="439">
        <f t="shared" si="12"/>
        <v>2</v>
      </c>
      <c r="E19" s="219">
        <f t="shared" si="12"/>
        <v>2</v>
      </c>
      <c r="F19" s="219">
        <f t="shared" si="12"/>
        <v>2</v>
      </c>
      <c r="G19" s="219">
        <f t="shared" si="12"/>
        <v>2</v>
      </c>
      <c r="H19" s="439">
        <f t="shared" si="12"/>
        <v>2</v>
      </c>
      <c r="I19" s="439">
        <f t="shared" si="12"/>
        <v>2</v>
      </c>
      <c r="J19" s="439">
        <f t="shared" si="12"/>
        <v>2</v>
      </c>
      <c r="K19" s="439">
        <f t="shared" si="12"/>
        <v>2</v>
      </c>
      <c r="L19" s="439">
        <f t="shared" si="12"/>
        <v>3</v>
      </c>
      <c r="M19" s="219">
        <f t="shared" si="12"/>
        <v>3</v>
      </c>
      <c r="N19" s="219">
        <f t="shared" si="12"/>
        <v>3</v>
      </c>
      <c r="O19" s="219">
        <f t="shared" si="12"/>
        <v>3</v>
      </c>
    </row>
    <row r="20" spans="1:15" s="143" customFormat="1" x14ac:dyDescent="0.2">
      <c r="B20" s="439">
        <f t="shared" ref="B20:O20" si="13">SUM(B17:B19)</f>
        <v>6</v>
      </c>
      <c r="C20" s="439">
        <f t="shared" si="13"/>
        <v>7</v>
      </c>
      <c r="D20" s="439">
        <f t="shared" si="13"/>
        <v>7</v>
      </c>
      <c r="E20" s="219">
        <f t="shared" si="13"/>
        <v>7</v>
      </c>
      <c r="F20" s="219">
        <f t="shared" si="13"/>
        <v>8</v>
      </c>
      <c r="G20" s="219">
        <f t="shared" si="13"/>
        <v>8</v>
      </c>
      <c r="H20" s="439">
        <f t="shared" si="13"/>
        <v>8</v>
      </c>
      <c r="I20" s="439">
        <f t="shared" si="13"/>
        <v>8</v>
      </c>
      <c r="J20" s="439">
        <f t="shared" si="13"/>
        <v>8</v>
      </c>
      <c r="K20" s="439">
        <f t="shared" si="13"/>
        <v>9</v>
      </c>
      <c r="L20" s="439">
        <f t="shared" si="13"/>
        <v>10</v>
      </c>
      <c r="M20" s="219">
        <f t="shared" si="13"/>
        <v>10</v>
      </c>
      <c r="N20" s="219">
        <f t="shared" si="13"/>
        <v>10</v>
      </c>
      <c r="O20" s="219">
        <f t="shared" si="13"/>
        <v>11</v>
      </c>
    </row>
    <row r="21" spans="1:15" s="143" customFormat="1" x14ac:dyDescent="0.2">
      <c r="B21" s="440"/>
      <c r="C21" s="440"/>
      <c r="D21" s="440"/>
      <c r="H21" s="440"/>
      <c r="I21" s="440"/>
      <c r="J21" s="440"/>
      <c r="K21" s="440"/>
      <c r="L21" s="440"/>
    </row>
    <row r="22" spans="1:15" s="143" customFormat="1" x14ac:dyDescent="0.2">
      <c r="A22" s="143" t="s">
        <v>382</v>
      </c>
      <c r="B22" s="438">
        <f t="shared" ref="B22:O22" si="14">SUM(B9,B20)</f>
        <v>14</v>
      </c>
      <c r="C22" s="438">
        <f t="shared" si="14"/>
        <v>16</v>
      </c>
      <c r="D22" s="438">
        <f t="shared" si="14"/>
        <v>16</v>
      </c>
      <c r="E22" s="243">
        <f t="shared" si="14"/>
        <v>17</v>
      </c>
      <c r="F22" s="243">
        <f t="shared" si="14"/>
        <v>19</v>
      </c>
      <c r="G22" s="243">
        <f t="shared" si="14"/>
        <v>20</v>
      </c>
      <c r="H22" s="438">
        <f t="shared" si="14"/>
        <v>20</v>
      </c>
      <c r="I22" s="438">
        <f t="shared" si="14"/>
        <v>20</v>
      </c>
      <c r="J22" s="438">
        <f t="shared" si="14"/>
        <v>20</v>
      </c>
      <c r="K22" s="438">
        <f t="shared" si="14"/>
        <v>23</v>
      </c>
      <c r="L22" s="438">
        <f t="shared" si="14"/>
        <v>25</v>
      </c>
      <c r="M22" s="243">
        <f t="shared" si="14"/>
        <v>25</v>
      </c>
      <c r="N22" s="243">
        <f t="shared" si="14"/>
        <v>25</v>
      </c>
      <c r="O22" s="243">
        <f t="shared" si="14"/>
        <v>27</v>
      </c>
    </row>
    <row r="23" spans="1:15" x14ac:dyDescent="0.2">
      <c r="B23" s="440"/>
      <c r="C23" s="440"/>
      <c r="D23" s="440"/>
      <c r="H23" s="440"/>
      <c r="I23" s="440"/>
      <c r="J23" s="440"/>
      <c r="K23" s="440"/>
      <c r="L23" s="440"/>
    </row>
    <row r="24" spans="1:15" x14ac:dyDescent="0.2">
      <c r="B24" s="440">
        <f>B1/B22</f>
        <v>0.8571428571428571</v>
      </c>
      <c r="C24" s="440">
        <f>C1/C22</f>
        <v>0.8125</v>
      </c>
      <c r="D24" s="440">
        <f t="shared" ref="D24:O24" si="15">D1/D22</f>
        <v>0.875</v>
      </c>
      <c r="E24" s="143">
        <f t="shared" si="15"/>
        <v>0.88235294117647056</v>
      </c>
      <c r="F24" s="143">
        <f t="shared" si="15"/>
        <v>0.84210526315789469</v>
      </c>
      <c r="G24" s="143">
        <f t="shared" si="15"/>
        <v>0.85</v>
      </c>
      <c r="H24" s="440">
        <f t="shared" si="15"/>
        <v>0.9</v>
      </c>
      <c r="I24" s="440">
        <f t="shared" si="15"/>
        <v>0.95</v>
      </c>
      <c r="J24" s="440">
        <f t="shared" si="15"/>
        <v>1</v>
      </c>
      <c r="K24" s="440">
        <f t="shared" si="15"/>
        <v>0.91304347826086951</v>
      </c>
      <c r="L24" s="440">
        <f t="shared" si="15"/>
        <v>0.88</v>
      </c>
      <c r="M24" s="143">
        <f t="shared" si="15"/>
        <v>0.92</v>
      </c>
      <c r="N24" s="143">
        <f t="shared" si="15"/>
        <v>0.96</v>
      </c>
      <c r="O24" s="143">
        <f t="shared" si="15"/>
        <v>0.92592592592592593</v>
      </c>
    </row>
    <row r="25" spans="1:15" x14ac:dyDescent="0.2">
      <c r="B25" s="440"/>
      <c r="C25" s="440"/>
      <c r="D25" s="440"/>
      <c r="H25" s="440"/>
      <c r="I25" s="440"/>
      <c r="J25" s="440"/>
      <c r="K25" s="440"/>
      <c r="L25" s="440"/>
    </row>
    <row r="26" spans="1:15" x14ac:dyDescent="0.2">
      <c r="A26" s="72" t="s">
        <v>380</v>
      </c>
      <c r="B26" s="440"/>
      <c r="C26" s="440">
        <f>AVERAGE(B24:D24)</f>
        <v>0.8482142857142857</v>
      </c>
      <c r="D26" s="440"/>
      <c r="F26" s="143">
        <f>AVERAGE(E24:G24)</f>
        <v>0.85815273477812182</v>
      </c>
      <c r="H26" s="440"/>
      <c r="I26" s="440"/>
      <c r="J26" s="440">
        <f>AVERAGE(H24:L24)</f>
        <v>0.92860869565217397</v>
      </c>
      <c r="K26" s="440"/>
      <c r="L26" s="440"/>
      <c r="N26" s="143">
        <f>AVERAGE(M24:O24)</f>
        <v>0.93530864197530861</v>
      </c>
    </row>
    <row r="28" spans="1:15" x14ac:dyDescent="0.2">
      <c r="F28" s="243"/>
      <c r="J28" s="243"/>
    </row>
    <row r="29" spans="1:15" x14ac:dyDescent="0.2">
      <c r="B29" s="441" t="s">
        <v>339</v>
      </c>
      <c r="C29" s="143">
        <f>C26</f>
        <v>0.8482142857142857</v>
      </c>
    </row>
    <row r="30" spans="1:15" x14ac:dyDescent="0.2">
      <c r="B30" s="442" t="s">
        <v>340</v>
      </c>
      <c r="C30" s="143">
        <f>F26</f>
        <v>0.85815273477812182</v>
      </c>
    </row>
    <row r="31" spans="1:15" x14ac:dyDescent="0.2">
      <c r="B31" s="442" t="s">
        <v>263</v>
      </c>
      <c r="C31" s="143">
        <f>J26</f>
        <v>0.92860869565217397</v>
      </c>
    </row>
    <row r="32" spans="1:15" x14ac:dyDescent="0.2">
      <c r="B32" s="442" t="s">
        <v>381</v>
      </c>
      <c r="C32" s="143">
        <f>N26</f>
        <v>0.93530864197530861</v>
      </c>
    </row>
  </sheetData>
  <phoneticPr fontId="9" type="noConversion"/>
  <pageMargins left="0.75" right="0.75" top="1" bottom="1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58"/>
  <sheetViews>
    <sheetView tabSelected="1" topLeftCell="AA118" zoomScale="80" zoomScaleNormal="80" zoomScaleSheetLayoutView="75" workbookViewId="0">
      <selection activeCell="AO146" sqref="AO146"/>
    </sheetView>
  </sheetViews>
  <sheetFormatPr defaultColWidth="8.25" defaultRowHeight="12.75" x14ac:dyDescent="0.2"/>
  <cols>
    <col min="1" max="1" width="22.125" style="72" customWidth="1"/>
    <col min="2" max="2" width="9" style="72" customWidth="1"/>
    <col min="3" max="3" width="8.375" style="72" bestFit="1" customWidth="1"/>
    <col min="4" max="4" width="7.875" style="72" customWidth="1"/>
    <col min="5" max="5" width="17.625" style="72" customWidth="1"/>
    <col min="6" max="6" width="2.5" style="73" customWidth="1"/>
    <col min="7" max="7" width="22.75" style="78" customWidth="1"/>
    <col min="8" max="8" width="9" style="74" customWidth="1"/>
    <col min="9" max="9" width="10.375" style="75" customWidth="1"/>
    <col min="10" max="10" width="7.875" style="76" customWidth="1"/>
    <col min="11" max="11" width="9.625" style="75" customWidth="1"/>
    <col min="12" max="12" width="2.25" style="77" customWidth="1"/>
    <col min="13" max="13" width="22.125" style="74" customWidth="1"/>
    <col min="14" max="14" width="9.125" style="157" customWidth="1"/>
    <col min="15" max="15" width="8.75" style="365" bestFit="1" customWidth="1"/>
    <col min="16" max="16" width="8.25" style="157" customWidth="1"/>
    <col min="17" max="17" width="11.375" style="158" bestFit="1" customWidth="1"/>
    <col min="18" max="18" width="2.75" style="144" customWidth="1"/>
    <col min="19" max="19" width="22.625" style="74" customWidth="1"/>
    <col min="20" max="20" width="9.125" style="157" customWidth="1"/>
    <col min="21" max="21" width="8.75" style="365" bestFit="1" customWidth="1"/>
    <col min="22" max="22" width="8.125" style="157" bestFit="1" customWidth="1"/>
    <col min="23" max="23" width="12.125" style="158" bestFit="1" customWidth="1"/>
    <col min="24" max="24" width="3.625" style="77" customWidth="1"/>
    <col min="25" max="25" width="7.375" style="77" customWidth="1"/>
    <col min="26" max="26" width="28.375" style="77" bestFit="1" customWidth="1"/>
    <col min="27" max="27" width="7.375" style="77" customWidth="1"/>
    <col min="28" max="28" width="7.5" style="77" bestFit="1" customWidth="1"/>
    <col min="29" max="29" width="7.125" style="75" customWidth="1"/>
    <col min="30" max="30" width="7.375" style="76" customWidth="1"/>
    <col min="31" max="31" width="13.25" style="75" customWidth="1"/>
    <col min="32" max="32" width="6.625" style="72" customWidth="1"/>
    <col min="33" max="33" width="7.625" style="72" bestFit="1" customWidth="1"/>
    <col min="34" max="34" width="6.625" style="72" customWidth="1"/>
    <col min="35" max="35" width="4.25" style="72" customWidth="1"/>
    <col min="36" max="36" width="4.625" style="72" customWidth="1"/>
    <col min="37" max="37" width="4" style="72" customWidth="1"/>
    <col min="38" max="38" width="4.125" style="72" customWidth="1"/>
    <col min="39" max="39" width="4" style="72" customWidth="1"/>
    <col min="40" max="16384" width="8.25" style="72"/>
  </cols>
  <sheetData>
    <row r="1" spans="1:31" ht="13.5" thickBot="1" x14ac:dyDescent="0.25">
      <c r="A1" s="84" t="s">
        <v>253</v>
      </c>
      <c r="G1" s="72"/>
      <c r="Z1" s="1122" t="s">
        <v>249</v>
      </c>
      <c r="AA1" s="1122"/>
      <c r="AB1" s="1122"/>
      <c r="AC1" s="1122"/>
      <c r="AD1" s="1122"/>
      <c r="AE1" s="1122"/>
    </row>
    <row r="2" spans="1:31" ht="14.25" customHeight="1" x14ac:dyDescent="0.2">
      <c r="A2" s="144"/>
      <c r="B2" s="74"/>
      <c r="C2" s="366" t="s">
        <v>255</v>
      </c>
      <c r="D2" s="367"/>
      <c r="E2" s="368"/>
      <c r="F2" s="369"/>
      <c r="G2" s="1123" t="s">
        <v>256</v>
      </c>
      <c r="H2" s="1123"/>
      <c r="I2" s="1123"/>
      <c r="J2" s="1123"/>
      <c r="K2" s="1123"/>
      <c r="L2" s="158"/>
      <c r="M2" s="144"/>
      <c r="N2" s="74"/>
      <c r="O2" s="366" t="s">
        <v>257</v>
      </c>
      <c r="P2" s="367"/>
      <c r="Q2" s="368"/>
      <c r="R2" s="369"/>
      <c r="S2" s="144"/>
      <c r="T2" s="74"/>
      <c r="U2" s="366" t="s">
        <v>258</v>
      </c>
      <c r="V2" s="367"/>
      <c r="W2" s="368"/>
      <c r="X2" s="93"/>
      <c r="Y2" s="93"/>
      <c r="Z2" s="79" t="s">
        <v>250</v>
      </c>
      <c r="AA2" s="337" t="s">
        <v>251</v>
      </c>
      <c r="AB2" s="80" t="s">
        <v>252</v>
      </c>
      <c r="AC2" s="81"/>
      <c r="AD2" s="82"/>
      <c r="AE2" s="83"/>
    </row>
    <row r="3" spans="1:31" s="101" customFormat="1" x14ac:dyDescent="0.2">
      <c r="A3" s="216" t="s">
        <v>261</v>
      </c>
      <c r="B3" s="95" t="s">
        <v>339</v>
      </c>
      <c r="C3" s="371" t="s">
        <v>262</v>
      </c>
      <c r="D3" s="97">
        <v>365</v>
      </c>
      <c r="E3" s="372">
        <f>D3*B4</f>
        <v>4380</v>
      </c>
      <c r="F3" s="218"/>
      <c r="G3" s="216" t="s">
        <v>261</v>
      </c>
      <c r="H3" s="100" t="s">
        <v>340</v>
      </c>
      <c r="I3" s="371" t="s">
        <v>262</v>
      </c>
      <c r="J3" s="97">
        <v>365</v>
      </c>
      <c r="K3" s="372">
        <f>H4*J3</f>
        <v>5657.5</v>
      </c>
      <c r="L3" s="71"/>
      <c r="M3" s="216" t="s">
        <v>261</v>
      </c>
      <c r="N3" s="102" t="s">
        <v>263</v>
      </c>
      <c r="O3" s="371" t="s">
        <v>262</v>
      </c>
      <c r="P3" s="97">
        <v>365</v>
      </c>
      <c r="Q3" s="372">
        <f>N4*P3</f>
        <v>7300</v>
      </c>
      <c r="R3" s="218"/>
      <c r="S3" s="216" t="s">
        <v>261</v>
      </c>
      <c r="T3" s="102" t="s">
        <v>264</v>
      </c>
      <c r="U3" s="371" t="s">
        <v>262</v>
      </c>
      <c r="V3" s="97">
        <v>365</v>
      </c>
      <c r="W3" s="372">
        <f>T4*V3</f>
        <v>9125</v>
      </c>
      <c r="X3" s="99"/>
      <c r="Y3" s="99"/>
      <c r="Z3" s="85" t="s">
        <v>254</v>
      </c>
      <c r="AA3" s="86">
        <v>15</v>
      </c>
      <c r="AB3" s="86">
        <f>AA3*8</f>
        <v>120</v>
      </c>
      <c r="AC3" s="87"/>
      <c r="AD3" s="88"/>
      <c r="AE3" s="89"/>
    </row>
    <row r="4" spans="1:31" s="101" customFormat="1" x14ac:dyDescent="0.2">
      <c r="A4" s="216"/>
      <c r="B4" s="102">
        <v>12</v>
      </c>
      <c r="C4" s="371"/>
      <c r="D4" s="97"/>
      <c r="E4" s="372"/>
      <c r="F4" s="218"/>
      <c r="G4" s="216"/>
      <c r="H4" s="102">
        <v>15.5</v>
      </c>
      <c r="I4" s="371"/>
      <c r="J4" s="97"/>
      <c r="K4" s="372"/>
      <c r="L4" s="71"/>
      <c r="M4" s="216"/>
      <c r="N4" s="102">
        <v>20</v>
      </c>
      <c r="O4" s="371"/>
      <c r="P4" s="97"/>
      <c r="Q4" s="372"/>
      <c r="R4" s="218"/>
      <c r="S4" s="216"/>
      <c r="T4" s="102">
        <v>25</v>
      </c>
      <c r="U4" s="371"/>
      <c r="V4" s="97"/>
      <c r="W4" s="372"/>
      <c r="X4" s="99"/>
      <c r="Y4" s="99"/>
      <c r="Z4" s="85" t="s">
        <v>260</v>
      </c>
      <c r="AA4" s="86">
        <v>15</v>
      </c>
      <c r="AB4" s="86">
        <f>AA4*8</f>
        <v>120</v>
      </c>
      <c r="AC4" s="87"/>
      <c r="AD4" s="88"/>
      <c r="AE4" s="89"/>
    </row>
    <row r="5" spans="1:31" s="101" customFormat="1" x14ac:dyDescent="0.2">
      <c r="A5" s="216"/>
      <c r="B5" s="102"/>
      <c r="C5" s="374"/>
      <c r="D5" s="97"/>
      <c r="E5" s="372"/>
      <c r="F5" s="218"/>
      <c r="G5" s="216"/>
      <c r="H5" s="102"/>
      <c r="I5" s="371"/>
      <c r="J5" s="97"/>
      <c r="K5" s="372"/>
      <c r="L5" s="71"/>
      <c r="M5" s="216"/>
      <c r="N5" s="102"/>
      <c r="O5" s="371"/>
      <c r="P5" s="97"/>
      <c r="Q5" s="372"/>
      <c r="R5" s="218"/>
      <c r="S5" s="216"/>
      <c r="T5" s="102"/>
      <c r="U5" s="371"/>
      <c r="V5" s="97"/>
      <c r="W5" s="372"/>
      <c r="X5" s="99"/>
      <c r="Y5" s="99"/>
      <c r="Z5" s="85" t="s">
        <v>266</v>
      </c>
      <c r="AA5" s="86">
        <v>13</v>
      </c>
      <c r="AB5" s="86">
        <f>AA5*8</f>
        <v>104</v>
      </c>
      <c r="AC5" s="87"/>
      <c r="AD5" s="77"/>
      <c r="AE5" s="103"/>
    </row>
    <row r="6" spans="1:31" s="357" customFormat="1" ht="28.5" customHeight="1" x14ac:dyDescent="0.2">
      <c r="A6" s="375"/>
      <c r="B6" s="376" t="s">
        <v>269</v>
      </c>
      <c r="C6" s="377" t="s">
        <v>341</v>
      </c>
      <c r="D6" s="378" t="s">
        <v>270</v>
      </c>
      <c r="E6" s="377" t="s">
        <v>342</v>
      </c>
      <c r="F6" s="379"/>
      <c r="G6" s="375"/>
      <c r="H6" s="376" t="s">
        <v>269</v>
      </c>
      <c r="I6" s="377" t="s">
        <v>341</v>
      </c>
      <c r="J6" s="378" t="s">
        <v>270</v>
      </c>
      <c r="K6" s="377" t="s">
        <v>342</v>
      </c>
      <c r="L6" s="217"/>
      <c r="M6" s="375"/>
      <c r="N6" s="376" t="s">
        <v>269</v>
      </c>
      <c r="O6" s="377" t="s">
        <v>341</v>
      </c>
      <c r="P6" s="378" t="s">
        <v>270</v>
      </c>
      <c r="Q6" s="377" t="s">
        <v>342</v>
      </c>
      <c r="R6" s="379"/>
      <c r="S6" s="375"/>
      <c r="T6" s="376" t="s">
        <v>269</v>
      </c>
      <c r="U6" s="377" t="s">
        <v>341</v>
      </c>
      <c r="V6" s="378" t="s">
        <v>270</v>
      </c>
      <c r="W6" s="377" t="s">
        <v>342</v>
      </c>
      <c r="X6" s="207"/>
      <c r="Y6" s="207"/>
      <c r="Z6" s="358" t="s">
        <v>267</v>
      </c>
      <c r="AA6" s="359">
        <v>8</v>
      </c>
      <c r="AB6" s="359">
        <f>AA6*8</f>
        <v>64</v>
      </c>
      <c r="AC6" s="276"/>
      <c r="AD6" s="354"/>
      <c r="AE6" s="355"/>
    </row>
    <row r="7" spans="1:31" s="75" customFormat="1" x14ac:dyDescent="0.2">
      <c r="A7" s="380" t="s">
        <v>272</v>
      </c>
      <c r="B7" s="381"/>
      <c r="C7" s="382">
        <f>$AC$10</f>
        <v>65368.626426372299</v>
      </c>
      <c r="D7" s="124">
        <f>AB17</f>
        <v>2.15</v>
      </c>
      <c r="E7" s="157">
        <f>C7*D7</f>
        <v>140542.54681670043</v>
      </c>
      <c r="F7" s="158"/>
      <c r="G7" s="380" t="s">
        <v>272</v>
      </c>
      <c r="H7" s="381"/>
      <c r="I7" s="382">
        <f>$AC$10</f>
        <v>65368.626426372299</v>
      </c>
      <c r="J7" s="124">
        <f>AC17</f>
        <v>2.15</v>
      </c>
      <c r="K7" s="157">
        <f>I7*J7</f>
        <v>140542.54681670043</v>
      </c>
      <c r="L7" s="157"/>
      <c r="M7" s="380" t="s">
        <v>272</v>
      </c>
      <c r="N7" s="381"/>
      <c r="O7" s="382">
        <f>$AC$10</f>
        <v>65368.626426372299</v>
      </c>
      <c r="P7" s="124">
        <f>AD17</f>
        <v>2.15</v>
      </c>
      <c r="Q7" s="157">
        <f>O7*P7</f>
        <v>140542.54681670043</v>
      </c>
      <c r="R7" s="158"/>
      <c r="S7" s="380" t="s">
        <v>272</v>
      </c>
      <c r="T7" s="381"/>
      <c r="U7" s="382">
        <f>$AC$10</f>
        <v>65368.626426372299</v>
      </c>
      <c r="V7" s="124">
        <f>$AE$17</f>
        <v>2.15</v>
      </c>
      <c r="W7" s="157">
        <f>U7*V7</f>
        <v>140542.54681670043</v>
      </c>
      <c r="X7" s="77"/>
      <c r="Y7" s="77"/>
      <c r="Z7" s="85"/>
      <c r="AA7" s="109" t="s">
        <v>268</v>
      </c>
      <c r="AB7" s="86">
        <f>SUM(AB3:AB6)</f>
        <v>408</v>
      </c>
      <c r="AC7" s="110"/>
      <c r="AD7" s="106"/>
      <c r="AE7" s="107"/>
    </row>
    <row r="8" spans="1:31" s="75" customFormat="1" ht="13.5" thickBot="1" x14ac:dyDescent="0.25">
      <c r="A8" s="380" t="s">
        <v>273</v>
      </c>
      <c r="B8" s="381"/>
      <c r="C8" s="382">
        <f>$AC$11</f>
        <v>56879.606800509006</v>
      </c>
      <c r="D8" s="124">
        <f>AB18</f>
        <v>3</v>
      </c>
      <c r="E8" s="157">
        <f>C8*D8</f>
        <v>170638.82040152702</v>
      </c>
      <c r="F8" s="158"/>
      <c r="G8" s="380" t="s">
        <v>273</v>
      </c>
      <c r="H8" s="381"/>
      <c r="I8" s="382">
        <f>$AC$11</f>
        <v>56879.606800509006</v>
      </c>
      <c r="J8" s="124">
        <f>AC18</f>
        <v>3</v>
      </c>
      <c r="K8" s="157">
        <f>I8*J8</f>
        <v>170638.82040152702</v>
      </c>
      <c r="L8" s="157"/>
      <c r="M8" s="380" t="s">
        <v>273</v>
      </c>
      <c r="N8" s="381"/>
      <c r="O8" s="382">
        <f>$AC$11</f>
        <v>56879.606800509006</v>
      </c>
      <c r="P8" s="124">
        <f>AD18</f>
        <v>3</v>
      </c>
      <c r="Q8" s="157">
        <f>O8*P8</f>
        <v>170638.82040152702</v>
      </c>
      <c r="R8" s="158"/>
      <c r="S8" s="380" t="s">
        <v>273</v>
      </c>
      <c r="T8" s="381"/>
      <c r="U8" s="382">
        <f>$AC$11</f>
        <v>56879.606800509006</v>
      </c>
      <c r="V8" s="124">
        <f>$AE$18</f>
        <v>4</v>
      </c>
      <c r="W8" s="157">
        <f>U8*V8</f>
        <v>227518.42720203602</v>
      </c>
      <c r="X8" s="77"/>
      <c r="Y8" s="77"/>
      <c r="Z8" s="115"/>
      <c r="AA8" s="116" t="s">
        <v>271</v>
      </c>
      <c r="AB8" s="117">
        <f>AB7/(52*40)</f>
        <v>0.19615384615384615</v>
      </c>
      <c r="AC8" s="118"/>
      <c r="AD8" s="119"/>
      <c r="AE8" s="120"/>
    </row>
    <row r="9" spans="1:31" s="133" customFormat="1" x14ac:dyDescent="0.2">
      <c r="A9" s="383" t="s">
        <v>275</v>
      </c>
      <c r="B9" s="124">
        <f>AB27</f>
        <v>0.57999999999999996</v>
      </c>
      <c r="C9" s="382">
        <f>$AC$12</f>
        <v>34055.717454304911</v>
      </c>
      <c r="D9" s="124">
        <f>B4/B9</f>
        <v>20.689655172413794</v>
      </c>
      <c r="E9" s="157">
        <f>C9*D9</f>
        <v>704601.05077872227</v>
      </c>
      <c r="F9" s="158"/>
      <c r="G9" s="383" t="s">
        <v>275</v>
      </c>
      <c r="H9" s="124">
        <v>0.69099999999999995</v>
      </c>
      <c r="I9" s="382">
        <f>$AC$12</f>
        <v>34055.717454304911</v>
      </c>
      <c r="J9" s="124">
        <f>H4/H9</f>
        <v>22.431259044862522</v>
      </c>
      <c r="K9" s="157">
        <f>I9*J9</f>
        <v>763912.62017615954</v>
      </c>
      <c r="L9" s="243"/>
      <c r="M9" s="383" t="s">
        <v>275</v>
      </c>
      <c r="N9" s="124">
        <v>0.89149999999999996</v>
      </c>
      <c r="O9" s="382">
        <f>$AC$12</f>
        <v>34055.717454304911</v>
      </c>
      <c r="P9" s="124">
        <f>N4/N9</f>
        <v>22.434099831744252</v>
      </c>
      <c r="Q9" s="157">
        <f>O9*P9</f>
        <v>764009.36521155154</v>
      </c>
      <c r="R9" s="158"/>
      <c r="S9" s="383" t="s">
        <v>275</v>
      </c>
      <c r="T9" s="124">
        <v>1.0349999999999999</v>
      </c>
      <c r="U9" s="382">
        <f>$AC$12</f>
        <v>34055.717454304911</v>
      </c>
      <c r="V9" s="124">
        <f>T4/T9</f>
        <v>24.154589371980677</v>
      </c>
      <c r="W9" s="157">
        <f>U9*V9</f>
        <v>822601.8708769303</v>
      </c>
      <c r="X9" s="77"/>
      <c r="Y9" s="77"/>
      <c r="Z9" s="73"/>
      <c r="AA9" s="125"/>
      <c r="AB9" s="69"/>
      <c r="AC9" s="126"/>
      <c r="AD9" s="78"/>
      <c r="AE9" s="78"/>
    </row>
    <row r="10" spans="1:31" s="75" customFormat="1" x14ac:dyDescent="0.2">
      <c r="A10" s="380" t="s">
        <v>370</v>
      </c>
      <c r="B10" s="124"/>
      <c r="C10" s="382">
        <f>$AC$13</f>
        <v>33504.965890805717</v>
      </c>
      <c r="D10" s="124">
        <f>AB22</f>
        <v>3</v>
      </c>
      <c r="E10" s="157">
        <f>C10*D10</f>
        <v>100514.89767241715</v>
      </c>
      <c r="F10" s="158"/>
      <c r="G10" s="380" t="s">
        <v>370</v>
      </c>
      <c r="H10" s="124"/>
      <c r="I10" s="382">
        <f>$AC$13</f>
        <v>33504.965890805717</v>
      </c>
      <c r="J10" s="124">
        <f>AC22</f>
        <v>3</v>
      </c>
      <c r="K10" s="157">
        <f>I10*J10</f>
        <v>100514.89767241715</v>
      </c>
      <c r="L10" s="157"/>
      <c r="M10" s="380" t="s">
        <v>370</v>
      </c>
      <c r="N10" s="124"/>
      <c r="O10" s="382">
        <f>$AC$13</f>
        <v>33504.965890805717</v>
      </c>
      <c r="P10" s="124">
        <f>AD22</f>
        <v>3</v>
      </c>
      <c r="Q10" s="157">
        <f>O10*P10</f>
        <v>100514.89767241715</v>
      </c>
      <c r="R10" s="158"/>
      <c r="S10" s="380" t="s">
        <v>370</v>
      </c>
      <c r="T10" s="124"/>
      <c r="U10" s="382">
        <f>$AC$13</f>
        <v>33504.965890805717</v>
      </c>
      <c r="V10" s="124">
        <f>$AE$22</f>
        <v>4</v>
      </c>
      <c r="W10" s="157">
        <f>U10*V10</f>
        <v>134019.86356322287</v>
      </c>
      <c r="X10" s="77"/>
      <c r="Y10" s="77"/>
      <c r="Z10" s="134" t="s">
        <v>272</v>
      </c>
      <c r="AA10" s="77"/>
      <c r="AC10" s="386">
        <f>59701*(4.464%+1)*(2.0354%+1)*(2.7236%+1)</f>
        <v>65368.626426372299</v>
      </c>
      <c r="AD10" s="242" t="s">
        <v>403</v>
      </c>
      <c r="AE10" s="136"/>
    </row>
    <row r="11" spans="1:31" s="101" customFormat="1" x14ac:dyDescent="0.2">
      <c r="A11" s="387" t="s">
        <v>277</v>
      </c>
      <c r="B11" s="387"/>
      <c r="C11" s="388"/>
      <c r="D11" s="389">
        <f>SUM(D7:D10)</f>
        <v>28.839655172413792</v>
      </c>
      <c r="E11" s="388">
        <f>SUM(E7:E10)</f>
        <v>1116297.3156693669</v>
      </c>
      <c r="F11" s="369"/>
      <c r="G11" s="387" t="s">
        <v>277</v>
      </c>
      <c r="H11" s="387"/>
      <c r="I11" s="388"/>
      <c r="J11" s="389">
        <f>SUM(J7:J10)</f>
        <v>30.58125904486252</v>
      </c>
      <c r="K11" s="388">
        <f>SUM(K7:K10)</f>
        <v>1175608.885066804</v>
      </c>
      <c r="L11" s="71"/>
      <c r="M11" s="387" t="s">
        <v>277</v>
      </c>
      <c r="N11" s="387"/>
      <c r="O11" s="388"/>
      <c r="P11" s="389">
        <f>SUM(P7:P10)</f>
        <v>30.584099831744254</v>
      </c>
      <c r="Q11" s="388">
        <f>SUM(Q7:Q10)</f>
        <v>1175705.6301021962</v>
      </c>
      <c r="R11" s="369"/>
      <c r="S11" s="387" t="s">
        <v>277</v>
      </c>
      <c r="T11" s="387"/>
      <c r="U11" s="388"/>
      <c r="V11" s="389">
        <f>SUM(V7:V10)</f>
        <v>34.304589371980676</v>
      </c>
      <c r="W11" s="388">
        <f>SUM(W7:W10)</f>
        <v>1324682.7084588895</v>
      </c>
      <c r="X11" s="93"/>
      <c r="Y11" s="93"/>
      <c r="Z11" s="134" t="s">
        <v>273</v>
      </c>
      <c r="AA11" s="77"/>
      <c r="AC11" s="386">
        <f>51948*(4.464%+1)*(2.0354%+1)*(2.7236%+1)</f>
        <v>56879.606800509006</v>
      </c>
      <c r="AD11" s="242" t="s">
        <v>403</v>
      </c>
      <c r="AE11" s="136"/>
    </row>
    <row r="12" spans="1:31" s="101" customFormat="1" x14ac:dyDescent="0.2">
      <c r="A12" s="198"/>
      <c r="B12" s="198"/>
      <c r="C12" s="369"/>
      <c r="D12" s="390"/>
      <c r="E12" s="369"/>
      <c r="F12" s="369"/>
      <c r="G12" s="198"/>
      <c r="H12" s="198"/>
      <c r="I12" s="369"/>
      <c r="J12" s="390"/>
      <c r="K12" s="369"/>
      <c r="L12" s="71"/>
      <c r="M12" s="198"/>
      <c r="N12" s="198"/>
      <c r="O12" s="369"/>
      <c r="P12" s="390"/>
      <c r="Q12" s="369"/>
      <c r="R12" s="369"/>
      <c r="S12" s="198"/>
      <c r="T12" s="198"/>
      <c r="U12" s="369"/>
      <c r="V12" s="390"/>
      <c r="W12" s="369"/>
      <c r="X12" s="93"/>
      <c r="Y12" s="93"/>
      <c r="Z12" s="137" t="s">
        <v>275</v>
      </c>
      <c r="AA12" s="88"/>
      <c r="AC12" s="386">
        <f>31103*(4.464%+1)*(2.0354%+1)*(2.7236%+1)</f>
        <v>34055.717454304911</v>
      </c>
      <c r="AD12" s="242" t="s">
        <v>403</v>
      </c>
      <c r="AE12" s="136"/>
    </row>
    <row r="13" spans="1:31" s="101" customFormat="1" x14ac:dyDescent="0.2">
      <c r="A13" s="391" t="s">
        <v>278</v>
      </c>
      <c r="B13" s="391"/>
      <c r="C13" s="392"/>
      <c r="D13" s="393" t="s">
        <v>279</v>
      </c>
      <c r="E13" s="392"/>
      <c r="F13" s="394"/>
      <c r="G13" s="391" t="s">
        <v>278</v>
      </c>
      <c r="H13" s="391"/>
      <c r="I13" s="392"/>
      <c r="J13" s="393" t="s">
        <v>279</v>
      </c>
      <c r="K13" s="392"/>
      <c r="L13" s="71"/>
      <c r="M13" s="391" t="s">
        <v>278</v>
      </c>
      <c r="N13" s="391"/>
      <c r="O13" s="392"/>
      <c r="P13" s="393" t="s">
        <v>279</v>
      </c>
      <c r="Q13" s="392"/>
      <c r="R13" s="394"/>
      <c r="S13" s="391" t="s">
        <v>278</v>
      </c>
      <c r="T13" s="391"/>
      <c r="U13" s="392"/>
      <c r="V13" s="393" t="s">
        <v>279</v>
      </c>
      <c r="W13" s="392"/>
      <c r="X13" s="114"/>
      <c r="Y13" s="114"/>
      <c r="Z13" s="134" t="s">
        <v>370</v>
      </c>
      <c r="AA13" s="77"/>
      <c r="AC13" s="386">
        <f>30600*(4.464%+1)*(2.0354%+1)*(2.7236%+1)</f>
        <v>33504.965890805717</v>
      </c>
      <c r="AD13" s="242" t="s">
        <v>403</v>
      </c>
      <c r="AE13" s="136"/>
    </row>
    <row r="14" spans="1:31" s="78" customFormat="1" x14ac:dyDescent="0.2">
      <c r="A14" s="143" t="s">
        <v>280</v>
      </c>
      <c r="B14" s="144"/>
      <c r="C14" s="160">
        <f>$AB$30</f>
        <v>0.25578770213785851</v>
      </c>
      <c r="D14" s="395"/>
      <c r="E14" s="157">
        <f>C14*E11</f>
        <v>285535.12527772703</v>
      </c>
      <c r="F14" s="396"/>
      <c r="G14" s="143" t="s">
        <v>280</v>
      </c>
      <c r="H14" s="144"/>
      <c r="I14" s="160">
        <f>$AB$30</f>
        <v>0.25578770213785851</v>
      </c>
      <c r="J14" s="395"/>
      <c r="K14" s="157">
        <f>I14*K11</f>
        <v>300706.29532408761</v>
      </c>
      <c r="L14" s="144"/>
      <c r="M14" s="143" t="s">
        <v>280</v>
      </c>
      <c r="N14" s="144"/>
      <c r="O14" s="160">
        <f>$AB$30</f>
        <v>0.25578770213785851</v>
      </c>
      <c r="P14" s="395"/>
      <c r="Q14" s="157">
        <f>O14*Q11</f>
        <v>300731.0415143838</v>
      </c>
      <c r="R14" s="396"/>
      <c r="S14" s="143" t="s">
        <v>280</v>
      </c>
      <c r="T14" s="144"/>
      <c r="U14" s="160">
        <f>$AB$30</f>
        <v>0.25578770213785851</v>
      </c>
      <c r="V14" s="395"/>
      <c r="W14" s="157">
        <f>U14*W11</f>
        <v>338837.54605845409</v>
      </c>
      <c r="X14" s="146"/>
      <c r="Y14" s="146"/>
      <c r="Z14" s="142"/>
      <c r="AA14" s="77"/>
      <c r="AB14" s="135"/>
      <c r="AC14" s="73"/>
      <c r="AD14" s="73"/>
      <c r="AE14" s="136"/>
    </row>
    <row r="15" spans="1:31" x14ac:dyDescent="0.2">
      <c r="A15" s="397" t="s">
        <v>282</v>
      </c>
      <c r="B15" s="397"/>
      <c r="C15" s="398"/>
      <c r="D15" s="151">
        <f>E14/E3</f>
        <v>65.19066787162717</v>
      </c>
      <c r="E15" s="399">
        <f>E14+E11</f>
        <v>1401832.440947094</v>
      </c>
      <c r="F15" s="158"/>
      <c r="G15" s="397" t="s">
        <v>282</v>
      </c>
      <c r="H15" s="397"/>
      <c r="I15" s="398"/>
      <c r="J15" s="151">
        <f>K15/K3</f>
        <v>260.94833060378113</v>
      </c>
      <c r="K15" s="399">
        <f>K14+K11</f>
        <v>1476315.1803908916</v>
      </c>
      <c r="L15" s="158"/>
      <c r="M15" s="397" t="s">
        <v>282</v>
      </c>
      <c r="N15" s="397"/>
      <c r="O15" s="398"/>
      <c r="P15" s="151">
        <f>Q15/Q3</f>
        <v>202.25159885158632</v>
      </c>
      <c r="Q15" s="399">
        <f>Q14+Q11</f>
        <v>1476436.6716165801</v>
      </c>
      <c r="R15" s="394"/>
      <c r="S15" s="397" t="s">
        <v>282</v>
      </c>
      <c r="T15" s="397"/>
      <c r="U15" s="398"/>
      <c r="V15" s="151">
        <f>W15/W3</f>
        <v>182.30358953614726</v>
      </c>
      <c r="W15" s="399">
        <f>W14+W11</f>
        <v>1663520.2545173436</v>
      </c>
      <c r="X15" s="114"/>
      <c r="Y15" s="114"/>
      <c r="Z15" s="142"/>
      <c r="AB15" s="1124" t="s">
        <v>270</v>
      </c>
      <c r="AC15" s="1124"/>
      <c r="AD15" s="1124"/>
      <c r="AE15" s="1125"/>
    </row>
    <row r="16" spans="1:31" x14ac:dyDescent="0.2">
      <c r="A16" s="1083" t="s">
        <v>276</v>
      </c>
      <c r="B16" s="143"/>
      <c r="C16" s="157"/>
      <c r="D16" s="365"/>
      <c r="E16" s="157">
        <v>25000</v>
      </c>
      <c r="F16" s="158"/>
      <c r="G16" s="1083" t="s">
        <v>276</v>
      </c>
      <c r="H16" s="143"/>
      <c r="I16" s="157"/>
      <c r="J16" s="365"/>
      <c r="K16" s="157">
        <v>25000</v>
      </c>
      <c r="L16" s="158"/>
      <c r="M16" s="1083" t="s">
        <v>276</v>
      </c>
      <c r="N16" s="143"/>
      <c r="O16" s="157"/>
      <c r="P16" s="365"/>
      <c r="Q16" s="157">
        <v>30000</v>
      </c>
      <c r="R16" s="158"/>
      <c r="S16" s="1083" t="s">
        <v>276</v>
      </c>
      <c r="T16" s="143"/>
      <c r="U16" s="157"/>
      <c r="V16" s="365"/>
      <c r="W16" s="157">
        <v>30000</v>
      </c>
      <c r="Z16" s="147"/>
      <c r="AA16" s="148" t="s">
        <v>281</v>
      </c>
      <c r="AB16" s="287" t="s">
        <v>339</v>
      </c>
      <c r="AC16" s="288" t="s">
        <v>340</v>
      </c>
      <c r="AD16" s="289" t="s">
        <v>263</v>
      </c>
      <c r="AE16" s="290" t="s">
        <v>303</v>
      </c>
    </row>
    <row r="17" spans="1:34" x14ac:dyDescent="0.2">
      <c r="A17" s="143" t="s">
        <v>91</v>
      </c>
      <c r="B17" s="143"/>
      <c r="C17" s="157"/>
      <c r="D17" s="124">
        <f>$AB$32</f>
        <v>36.208547154554275</v>
      </c>
      <c r="E17" s="157">
        <f>D17*E$3</f>
        <v>158593.43653694773</v>
      </c>
      <c r="F17" s="158"/>
      <c r="G17" s="143" t="s">
        <v>91</v>
      </c>
      <c r="H17" s="143"/>
      <c r="I17" s="157"/>
      <c r="J17" s="124">
        <f>$AB$32</f>
        <v>36.208547154554275</v>
      </c>
      <c r="K17" s="157">
        <f>J17*K$3</f>
        <v>204849.85552689081</v>
      </c>
      <c r="L17" s="158"/>
      <c r="M17" s="143" t="s">
        <v>91</v>
      </c>
      <c r="N17" s="143"/>
      <c r="O17" s="157"/>
      <c r="P17" s="124">
        <f>$AB$32</f>
        <v>36.208547154554275</v>
      </c>
      <c r="Q17" s="157">
        <f>P17*Q$3</f>
        <v>264322.39422824618</v>
      </c>
      <c r="R17" s="158"/>
      <c r="S17" s="143" t="s">
        <v>91</v>
      </c>
      <c r="T17" s="143"/>
      <c r="U17" s="157"/>
      <c r="V17" s="124">
        <f>$AB$32</f>
        <v>36.208547154554275</v>
      </c>
      <c r="W17" s="157">
        <f>V17*W$3</f>
        <v>330402.99278530775</v>
      </c>
      <c r="Z17" s="134" t="s">
        <v>272</v>
      </c>
      <c r="AB17" s="153">
        <v>2.15</v>
      </c>
      <c r="AC17" s="153">
        <v>2.15</v>
      </c>
      <c r="AD17" s="153">
        <v>2.15</v>
      </c>
      <c r="AE17" s="154">
        <v>2.15</v>
      </c>
    </row>
    <row r="18" spans="1:34" x14ac:dyDescent="0.2">
      <c r="A18" s="143"/>
      <c r="B18" s="143"/>
      <c r="C18" s="157"/>
      <c r="D18" s="124"/>
      <c r="E18" s="157"/>
      <c r="F18" s="158"/>
      <c r="G18" s="143"/>
      <c r="H18" s="143"/>
      <c r="I18" s="157"/>
      <c r="J18" s="124"/>
      <c r="K18" s="157"/>
      <c r="L18" s="158"/>
      <c r="M18" s="143"/>
      <c r="N18" s="143"/>
      <c r="O18" s="157"/>
      <c r="P18" s="124"/>
      <c r="Q18" s="157"/>
      <c r="R18" s="158"/>
      <c r="S18" s="143"/>
      <c r="T18" s="143"/>
      <c r="U18" s="157"/>
      <c r="V18" s="124"/>
      <c r="W18" s="157"/>
      <c r="X18" s="158"/>
      <c r="Y18" s="158"/>
      <c r="Z18" s="134" t="s">
        <v>273</v>
      </c>
      <c r="AB18" s="153">
        <v>3</v>
      </c>
      <c r="AC18" s="153">
        <v>3</v>
      </c>
      <c r="AD18" s="153">
        <v>3</v>
      </c>
      <c r="AE18" s="155">
        <v>4</v>
      </c>
    </row>
    <row r="19" spans="1:34" x14ac:dyDescent="0.2">
      <c r="A19" s="143" t="s">
        <v>283</v>
      </c>
      <c r="B19" s="143"/>
      <c r="C19" s="157"/>
      <c r="D19" s="124">
        <f>$AB36</f>
        <v>18.364580498704061</v>
      </c>
      <c r="E19" s="157">
        <f>D19*E$3</f>
        <v>80436.862584323782</v>
      </c>
      <c r="F19" s="158"/>
      <c r="G19" s="143" t="s">
        <v>283</v>
      </c>
      <c r="H19" s="143"/>
      <c r="I19" s="157"/>
      <c r="J19" s="124">
        <f>$AB36</f>
        <v>18.364580498704061</v>
      </c>
      <c r="K19" s="157">
        <f>J19*K$3</f>
        <v>103897.61417141823</v>
      </c>
      <c r="L19" s="158"/>
      <c r="M19" s="143" t="s">
        <v>283</v>
      </c>
      <c r="N19" s="143"/>
      <c r="O19" s="157"/>
      <c r="P19" s="124">
        <f>$AB36</f>
        <v>18.364580498704061</v>
      </c>
      <c r="Q19" s="157">
        <f>P19*Q$3</f>
        <v>134061.43764053966</v>
      </c>
      <c r="R19" s="158"/>
      <c r="S19" s="143" t="s">
        <v>283</v>
      </c>
      <c r="T19" s="143"/>
      <c r="U19" s="157"/>
      <c r="V19" s="124">
        <f>$AB36</f>
        <v>18.364580498704061</v>
      </c>
      <c r="W19" s="157">
        <f>V19*W$3</f>
        <v>167576.79705067456</v>
      </c>
      <c r="Z19" s="142"/>
      <c r="AB19" s="153"/>
      <c r="AC19" s="153"/>
      <c r="AD19" s="153"/>
      <c r="AE19" s="155"/>
    </row>
    <row r="20" spans="1:34" x14ac:dyDescent="0.2">
      <c r="A20" s="143"/>
      <c r="B20" s="143"/>
      <c r="C20" s="157"/>
      <c r="D20" s="159">
        <f>SUM(D17:D19)</f>
        <v>54.573127653258339</v>
      </c>
      <c r="E20" s="157"/>
      <c r="F20" s="158"/>
      <c r="G20" s="143"/>
      <c r="H20" s="143"/>
      <c r="I20" s="157"/>
      <c r="J20" s="159">
        <f>SUM(J17:J19)</f>
        <v>54.573127653258339</v>
      </c>
      <c r="K20" s="157"/>
      <c r="L20" s="158"/>
      <c r="M20" s="143"/>
      <c r="N20" s="143"/>
      <c r="O20" s="157"/>
      <c r="P20" s="159">
        <f>SUM(P17:P19)</f>
        <v>54.573127653258339</v>
      </c>
      <c r="Q20" s="157"/>
      <c r="R20" s="158"/>
      <c r="S20" s="143"/>
      <c r="T20" s="143"/>
      <c r="U20" s="157"/>
      <c r="V20" s="159">
        <f>SUM(V17:V19)</f>
        <v>54.573127653258339</v>
      </c>
      <c r="W20" s="157"/>
      <c r="Z20" s="134" t="s">
        <v>370</v>
      </c>
      <c r="AB20" s="153"/>
      <c r="AC20" s="153"/>
      <c r="AD20" s="153"/>
      <c r="AE20" s="155"/>
    </row>
    <row r="21" spans="1:34" x14ac:dyDescent="0.2">
      <c r="A21" s="387" t="s">
        <v>371</v>
      </c>
      <c r="B21" s="387"/>
      <c r="C21" s="388"/>
      <c r="D21" s="389"/>
      <c r="E21" s="388">
        <f>SUM(E15:E19)</f>
        <v>1665862.7400683656</v>
      </c>
      <c r="F21" s="369"/>
      <c r="G21" s="387" t="s">
        <v>371</v>
      </c>
      <c r="H21" s="387"/>
      <c r="I21" s="388"/>
      <c r="J21" s="389"/>
      <c r="K21" s="388">
        <f>SUM(K15:K19)</f>
        <v>1810062.6500892006</v>
      </c>
      <c r="L21" s="158"/>
      <c r="M21" s="387" t="s">
        <v>371</v>
      </c>
      <c r="N21" s="387"/>
      <c r="O21" s="388"/>
      <c r="P21" s="389"/>
      <c r="Q21" s="388">
        <f>SUM(Q15:Q19)</f>
        <v>1904820.503485366</v>
      </c>
      <c r="R21" s="369"/>
      <c r="S21" s="387" t="s">
        <v>371</v>
      </c>
      <c r="T21" s="387"/>
      <c r="U21" s="388"/>
      <c r="V21" s="389"/>
      <c r="W21" s="388">
        <f>SUM(W15:W19)</f>
        <v>2191500.0443533259</v>
      </c>
      <c r="X21" s="93"/>
      <c r="Y21" s="93"/>
      <c r="Z21" s="142" t="s">
        <v>284</v>
      </c>
      <c r="AB21" s="347">
        <f>'[5]Rate Options'!$AF$22</f>
        <v>0.75</v>
      </c>
      <c r="AC21" s="347">
        <f>'[5]Rate Options'!$AG$22</f>
        <v>0.9</v>
      </c>
      <c r="AD21" s="347">
        <f>'[3]Rate Options'!$F$22</f>
        <v>1</v>
      </c>
      <c r="AE21" s="155">
        <v>1.5</v>
      </c>
    </row>
    <row r="22" spans="1:34" x14ac:dyDescent="0.2">
      <c r="A22" s="143" t="s">
        <v>286</v>
      </c>
      <c r="B22" s="143"/>
      <c r="C22" s="160">
        <f>$AB$42</f>
        <v>0.121061</v>
      </c>
      <c r="D22" s="124"/>
      <c r="E22" s="157">
        <f>C22*E21</f>
        <v>201671.0091754164</v>
      </c>
      <c r="F22" s="158"/>
      <c r="G22" s="143" t="s">
        <v>286</v>
      </c>
      <c r="H22" s="143"/>
      <c r="I22" s="160">
        <f>$AB$42</f>
        <v>0.121061</v>
      </c>
      <c r="J22" s="124"/>
      <c r="K22" s="157">
        <f>I22*K21</f>
        <v>219127.9944824487</v>
      </c>
      <c r="L22" s="158"/>
      <c r="M22" s="143" t="s">
        <v>286</v>
      </c>
      <c r="N22" s="143"/>
      <c r="O22" s="160">
        <f>$AB$42</f>
        <v>0.121061</v>
      </c>
      <c r="P22" s="124"/>
      <c r="Q22" s="157">
        <f>O22*Q21</f>
        <v>230599.47497244191</v>
      </c>
      <c r="R22" s="158"/>
      <c r="S22" s="143" t="s">
        <v>286</v>
      </c>
      <c r="T22" s="143"/>
      <c r="U22" s="160">
        <f>$AB$42</f>
        <v>0.121061</v>
      </c>
      <c r="V22" s="124"/>
      <c r="W22" s="157">
        <f>U22*W21</f>
        <v>265305.186869458</v>
      </c>
      <c r="Z22" s="142" t="s">
        <v>285</v>
      </c>
      <c r="AB22" s="347">
        <v>3</v>
      </c>
      <c r="AC22" s="153">
        <v>3</v>
      </c>
      <c r="AD22" s="153">
        <v>3</v>
      </c>
      <c r="AE22" s="155">
        <v>4</v>
      </c>
    </row>
    <row r="23" spans="1:34" s="979" customFormat="1" x14ac:dyDescent="0.2">
      <c r="A23" s="973" t="str">
        <f>Z41</f>
        <v>PFMLA Trust Contribution</v>
      </c>
      <c r="B23" s="974"/>
      <c r="C23" s="975">
        <f>AB41</f>
        <v>7.4999999999999997E-3</v>
      </c>
      <c r="D23" s="976"/>
      <c r="E23" s="973">
        <f>E11*C23</f>
        <v>8372.229867520251</v>
      </c>
      <c r="F23" s="977"/>
      <c r="G23" s="973" t="str">
        <f>A23</f>
        <v>PFMLA Trust Contribution</v>
      </c>
      <c r="H23" s="974"/>
      <c r="I23" s="975">
        <f>C23</f>
        <v>7.4999999999999997E-3</v>
      </c>
      <c r="J23" s="976"/>
      <c r="K23" s="973">
        <f>K11*I23</f>
        <v>8817.0666380010298</v>
      </c>
      <c r="L23" s="977"/>
      <c r="M23" s="973" t="str">
        <f>G23</f>
        <v>PFMLA Trust Contribution</v>
      </c>
      <c r="N23" s="974"/>
      <c r="O23" s="975">
        <f>I23</f>
        <v>7.4999999999999997E-3</v>
      </c>
      <c r="P23" s="976"/>
      <c r="Q23" s="973">
        <f>Q11*O23</f>
        <v>8817.7922257664723</v>
      </c>
      <c r="R23" s="977"/>
      <c r="S23" s="973" t="str">
        <f>M23</f>
        <v>PFMLA Trust Contribution</v>
      </c>
      <c r="T23" s="974"/>
      <c r="U23" s="975">
        <f>O23</f>
        <v>7.4999999999999997E-3</v>
      </c>
      <c r="V23" s="976"/>
      <c r="W23" s="973">
        <f>W11*U23</f>
        <v>9935.1203134416701</v>
      </c>
      <c r="X23" s="978"/>
      <c r="Y23" s="978"/>
      <c r="Z23" s="980"/>
      <c r="AA23" s="978"/>
      <c r="AB23" s="981"/>
      <c r="AC23" s="982"/>
      <c r="AD23" s="982"/>
      <c r="AE23" s="983"/>
    </row>
    <row r="24" spans="1:34" s="101" customFormat="1" ht="15" customHeight="1" thickBot="1" x14ac:dyDescent="0.25">
      <c r="A24" s="401" t="s">
        <v>288</v>
      </c>
      <c r="B24" s="401"/>
      <c r="C24" s="402"/>
      <c r="D24" s="403"/>
      <c r="E24" s="404">
        <f>ROUND(SUM(E21:E23),2)</f>
        <v>1875905.98</v>
      </c>
      <c r="F24" s="369"/>
      <c r="G24" s="401" t="s">
        <v>288</v>
      </c>
      <c r="H24" s="401"/>
      <c r="I24" s="402"/>
      <c r="J24" s="403"/>
      <c r="K24" s="404">
        <f>ROUND(SUM(K21:K23),2)</f>
        <v>2038007.71</v>
      </c>
      <c r="L24" s="71"/>
      <c r="M24" s="401" t="s">
        <v>288</v>
      </c>
      <c r="N24" s="401"/>
      <c r="O24" s="402"/>
      <c r="P24" s="403"/>
      <c r="Q24" s="404">
        <f>ROUND(SUM(Q21:Q23),2)</f>
        <v>2144237.77</v>
      </c>
      <c r="R24" s="369"/>
      <c r="S24" s="401" t="s">
        <v>288</v>
      </c>
      <c r="T24" s="401"/>
      <c r="U24" s="402"/>
      <c r="V24" s="403"/>
      <c r="W24" s="404">
        <f>ROUND(SUM(W21:W23),2)</f>
        <v>2466740.35</v>
      </c>
      <c r="X24" s="93"/>
      <c r="Y24" s="93"/>
      <c r="Z24" s="142"/>
      <c r="AA24" s="77"/>
      <c r="AB24" s="153"/>
      <c r="AC24" s="153"/>
      <c r="AD24" s="153"/>
      <c r="AE24" s="155"/>
    </row>
    <row r="25" spans="1:34" s="101" customFormat="1" ht="13.5" thickTop="1" x14ac:dyDescent="0.2">
      <c r="A25" s="391"/>
      <c r="B25" s="391"/>
      <c r="C25" s="392"/>
      <c r="D25" s="405"/>
      <c r="E25" s="392"/>
      <c r="F25" s="394"/>
      <c r="G25" s="391"/>
      <c r="H25" s="391"/>
      <c r="I25" s="392"/>
      <c r="J25" s="405"/>
      <c r="K25" s="392"/>
      <c r="L25" s="71"/>
      <c r="M25" s="391"/>
      <c r="N25" s="391"/>
      <c r="O25" s="392"/>
      <c r="P25" s="405"/>
      <c r="Q25" s="392"/>
      <c r="R25" s="394"/>
      <c r="S25" s="391"/>
      <c r="T25" s="391"/>
      <c r="U25" s="392"/>
      <c r="V25" s="405"/>
      <c r="W25" s="392"/>
      <c r="X25" s="114"/>
      <c r="Y25" s="114"/>
      <c r="Z25" s="142"/>
      <c r="AA25" s="77"/>
      <c r="AB25" s="1126" t="s">
        <v>287</v>
      </c>
      <c r="AC25" s="1126"/>
      <c r="AD25" s="1126"/>
      <c r="AE25" s="1127"/>
      <c r="AG25" s="342"/>
    </row>
    <row r="26" spans="1:34" s="170" customFormat="1" ht="13.15" customHeight="1" x14ac:dyDescent="0.2">
      <c r="A26" s="406" t="s">
        <v>289</v>
      </c>
      <c r="B26" s="406"/>
      <c r="C26" s="407"/>
      <c r="D26" s="407"/>
      <c r="E26" s="408">
        <f>E24/E3</f>
        <v>428.28903652968035</v>
      </c>
      <c r="F26" s="410"/>
      <c r="G26" s="406" t="s">
        <v>289</v>
      </c>
      <c r="H26" s="406"/>
      <c r="I26" s="407"/>
      <c r="J26" s="407"/>
      <c r="K26" s="408">
        <f>K24/K3</f>
        <v>360.23114626601853</v>
      </c>
      <c r="L26" s="409"/>
      <c r="M26" s="406" t="s">
        <v>289</v>
      </c>
      <c r="N26" s="406"/>
      <c r="O26" s="407"/>
      <c r="P26" s="407"/>
      <c r="Q26" s="408">
        <f>Q24/Q3</f>
        <v>293.73120136986302</v>
      </c>
      <c r="R26" s="409"/>
      <c r="S26" s="406" t="s">
        <v>289</v>
      </c>
      <c r="T26" s="406"/>
      <c r="U26" s="407"/>
      <c r="V26" s="407"/>
      <c r="W26" s="408">
        <f>W24/W3</f>
        <v>270.32770958904109</v>
      </c>
      <c r="Z26" s="142"/>
      <c r="AA26" s="148" t="s">
        <v>281</v>
      </c>
      <c r="AB26" s="287" t="s">
        <v>339</v>
      </c>
      <c r="AC26" s="288" t="s">
        <v>340</v>
      </c>
      <c r="AD26" s="289" t="s">
        <v>263</v>
      </c>
      <c r="AE26" s="290" t="s">
        <v>303</v>
      </c>
    </row>
    <row r="27" spans="1:34" s="170" customFormat="1" ht="13.5" thickBot="1" x14ac:dyDescent="0.25">
      <c r="A27" s="406" t="s">
        <v>290</v>
      </c>
      <c r="B27" s="406"/>
      <c r="C27" s="199">
        <f>AB43</f>
        <v>1.8120393120392975E-2</v>
      </c>
      <c r="D27" s="407"/>
      <c r="E27" s="408"/>
      <c r="F27" s="410"/>
      <c r="G27" s="406" t="s">
        <v>290</v>
      </c>
      <c r="H27" s="406"/>
      <c r="I27" s="199">
        <f>AB43</f>
        <v>1.8120393120392975E-2</v>
      </c>
      <c r="J27" s="407"/>
      <c r="K27" s="408"/>
      <c r="L27" s="409"/>
      <c r="M27" s="406" t="s">
        <v>290</v>
      </c>
      <c r="N27" s="406"/>
      <c r="O27" s="199">
        <f>AB43</f>
        <v>1.8120393120392975E-2</v>
      </c>
      <c r="P27" s="407"/>
      <c r="Q27" s="408"/>
      <c r="R27" s="125"/>
      <c r="S27" s="406" t="s">
        <v>290</v>
      </c>
      <c r="T27" s="406"/>
      <c r="U27" s="199">
        <f>AB43</f>
        <v>1.8120393120392975E-2</v>
      </c>
      <c r="V27" s="407"/>
      <c r="W27" s="408"/>
      <c r="X27" s="73"/>
      <c r="Y27" s="73"/>
      <c r="Z27" s="166" t="s">
        <v>275</v>
      </c>
      <c r="AA27" s="77"/>
      <c r="AB27" s="347">
        <v>0.57999999999999996</v>
      </c>
      <c r="AC27" s="347">
        <v>0.69099999999999995</v>
      </c>
      <c r="AD27" s="347">
        <v>0.89149999999999996</v>
      </c>
      <c r="AE27" s="155">
        <v>1.0349999999999999</v>
      </c>
      <c r="AH27" s="170" t="s">
        <v>393</v>
      </c>
    </row>
    <row r="28" spans="1:34" ht="13.5" thickBot="1" x14ac:dyDescent="0.25">
      <c r="A28" s="411" t="s">
        <v>292</v>
      </c>
      <c r="B28" s="385"/>
      <c r="C28" s="412">
        <v>0.9</v>
      </c>
      <c r="D28" s="370"/>
      <c r="E28" s="1065">
        <f>E$24*($C$27+1)/(E$3*C28)</f>
        <v>484.49978026750284</v>
      </c>
      <c r="F28" s="125"/>
      <c r="G28" s="411" t="s">
        <v>292</v>
      </c>
      <c r="H28" s="385"/>
      <c r="I28" s="412">
        <v>0.9</v>
      </c>
      <c r="J28" s="370"/>
      <c r="K28" s="414">
        <f>$K$24*($I$27+1)/($K$3*I28)</f>
        <v>407.50964027840962</v>
      </c>
      <c r="L28" s="158"/>
      <c r="M28" s="411" t="s">
        <v>292</v>
      </c>
      <c r="N28" s="385"/>
      <c r="O28" s="412">
        <v>0.9</v>
      </c>
      <c r="P28" s="370"/>
      <c r="Q28" s="414">
        <f>Q$24*(O$27+1)/(Q$3*O28)</f>
        <v>332.28191801156697</v>
      </c>
      <c r="R28" s="158"/>
      <c r="S28" s="411" t="s">
        <v>292</v>
      </c>
      <c r="T28" s="385"/>
      <c r="U28" s="412">
        <v>0.9</v>
      </c>
      <c r="V28" s="370"/>
      <c r="W28" s="414">
        <f>W$24*(U$27+1)/(W$3*U28)</f>
        <v>305.80683773125554</v>
      </c>
      <c r="X28" s="169"/>
      <c r="Y28" s="169"/>
      <c r="Z28" s="166"/>
      <c r="AB28" s="153"/>
      <c r="AC28" s="153"/>
      <c r="AD28" s="153"/>
      <c r="AE28" s="155"/>
    </row>
    <row r="29" spans="1:34" ht="13.5" thickBot="1" x14ac:dyDescent="0.25">
      <c r="A29" s="415"/>
      <c r="B29" s="125"/>
      <c r="C29" s="416">
        <v>0.85</v>
      </c>
      <c r="D29" s="158"/>
      <c r="E29" s="1065">
        <f t="shared" ref="E29:E36" si="0">E$24*($C$27+1)/(E$3*C29)</f>
        <v>512.99976734206189</v>
      </c>
      <c r="F29" s="125"/>
      <c r="G29" s="415"/>
      <c r="H29" s="125"/>
      <c r="I29" s="416">
        <v>0.85</v>
      </c>
      <c r="J29" s="158"/>
      <c r="K29" s="414">
        <f t="shared" ref="K29:K36" si="1">$K$24*($I$27+1)/($K$3*I29)</f>
        <v>431.4807955889043</v>
      </c>
      <c r="L29" s="158"/>
      <c r="M29" s="415"/>
      <c r="N29" s="125"/>
      <c r="O29" s="416">
        <v>0.85</v>
      </c>
      <c r="P29" s="158"/>
      <c r="Q29" s="414">
        <f t="shared" ref="Q29:Q35" si="2">Q$24*(O$27+1)/(Q$3*O29)</f>
        <v>351.82791318871796</v>
      </c>
      <c r="R29" s="158"/>
      <c r="S29" s="415"/>
      <c r="T29" s="125"/>
      <c r="U29" s="416">
        <v>0.85</v>
      </c>
      <c r="V29" s="158"/>
      <c r="W29" s="414">
        <f t="shared" ref="W29:W36" si="3">W$24*(U$27+1)/(W$3*U29)</f>
        <v>323.79547524485878</v>
      </c>
      <c r="X29" s="169"/>
      <c r="Y29" s="169"/>
      <c r="Z29" s="173" t="s">
        <v>278</v>
      </c>
      <c r="AA29" s="174"/>
      <c r="AC29" s="73"/>
      <c r="AD29" s="73"/>
      <c r="AE29" s="136"/>
    </row>
    <row r="30" spans="1:34" ht="13.5" thickBot="1" x14ac:dyDescent="0.25">
      <c r="A30" s="415"/>
      <c r="B30" s="125"/>
      <c r="C30" s="416">
        <v>0.8</v>
      </c>
      <c r="D30" s="158"/>
      <c r="E30" s="1065">
        <f t="shared" si="0"/>
        <v>545.06225280094066</v>
      </c>
      <c r="F30" s="125"/>
      <c r="G30" s="415"/>
      <c r="H30" s="125"/>
      <c r="I30" s="416">
        <v>0.8</v>
      </c>
      <c r="J30" s="158"/>
      <c r="K30" s="414">
        <f t="shared" si="1"/>
        <v>458.44834531321078</v>
      </c>
      <c r="L30" s="158"/>
      <c r="M30" s="415"/>
      <c r="N30" s="125"/>
      <c r="O30" s="416">
        <v>0.8</v>
      </c>
      <c r="P30" s="158"/>
      <c r="Q30" s="414">
        <f t="shared" si="2"/>
        <v>373.81715776301286</v>
      </c>
      <c r="R30" s="158"/>
      <c r="S30" s="415"/>
      <c r="T30" s="125"/>
      <c r="U30" s="416">
        <v>0.8</v>
      </c>
      <c r="V30" s="158"/>
      <c r="W30" s="414">
        <f t="shared" si="3"/>
        <v>344.03269244766244</v>
      </c>
      <c r="X30" s="169"/>
      <c r="Y30" s="169"/>
      <c r="Z30" s="373" t="s">
        <v>280</v>
      </c>
      <c r="AA30" s="73"/>
      <c r="AB30" s="180">
        <f>'[5]Rate Options'!$AF$30</f>
        <v>0.25578770213785851</v>
      </c>
      <c r="AC30" s="172"/>
      <c r="AD30" s="73"/>
      <c r="AE30" s="136"/>
    </row>
    <row r="31" spans="1:34" ht="13.5" thickBot="1" x14ac:dyDescent="0.25">
      <c r="A31" s="415"/>
      <c r="B31" s="125"/>
      <c r="C31" s="416">
        <v>0.75</v>
      </c>
      <c r="D31" s="158"/>
      <c r="E31" s="1065">
        <f t="shared" si="0"/>
        <v>581.39973632100339</v>
      </c>
      <c r="F31" s="125"/>
      <c r="G31" s="415"/>
      <c r="H31" s="125"/>
      <c r="I31" s="416">
        <v>0.75</v>
      </c>
      <c r="J31" s="158"/>
      <c r="K31" s="414">
        <f t="shared" si="1"/>
        <v>489.01156833409152</v>
      </c>
      <c r="L31" s="158"/>
      <c r="M31" s="415"/>
      <c r="N31" s="125"/>
      <c r="O31" s="416">
        <v>0.75</v>
      </c>
      <c r="P31" s="158"/>
      <c r="Q31" s="414">
        <f t="shared" si="2"/>
        <v>398.73830161388037</v>
      </c>
      <c r="R31" s="158"/>
      <c r="S31" s="415"/>
      <c r="T31" s="125"/>
      <c r="U31" s="416">
        <v>0.75</v>
      </c>
      <c r="V31" s="158"/>
      <c r="W31" s="414">
        <f t="shared" si="3"/>
        <v>366.96820527750663</v>
      </c>
      <c r="X31" s="169"/>
      <c r="Y31" s="169"/>
      <c r="Z31" s="85"/>
      <c r="AA31" s="73"/>
      <c r="AC31" s="184"/>
      <c r="AD31" s="73"/>
      <c r="AE31" s="136"/>
    </row>
    <row r="32" spans="1:34" ht="13.5" thickBot="1" x14ac:dyDescent="0.25">
      <c r="A32" s="415"/>
      <c r="B32" s="125"/>
      <c r="C32" s="416">
        <v>0.7</v>
      </c>
      <c r="D32" s="158"/>
      <c r="E32" s="1065">
        <f t="shared" si="0"/>
        <v>622.92828891536078</v>
      </c>
      <c r="F32" s="125"/>
      <c r="G32" s="415"/>
      <c r="H32" s="125"/>
      <c r="I32" s="416">
        <v>0.7</v>
      </c>
      <c r="J32" s="158"/>
      <c r="K32" s="414">
        <f t="shared" si="1"/>
        <v>523.94096607224094</v>
      </c>
      <c r="L32" s="158"/>
      <c r="M32" s="415"/>
      <c r="N32" s="125"/>
      <c r="O32" s="416">
        <v>0.7</v>
      </c>
      <c r="P32" s="158"/>
      <c r="Q32" s="414">
        <f t="shared" si="2"/>
        <v>427.2196088720147</v>
      </c>
      <c r="R32" s="158"/>
      <c r="S32" s="415"/>
      <c r="T32" s="125"/>
      <c r="U32" s="416">
        <v>0.7</v>
      </c>
      <c r="V32" s="158"/>
      <c r="W32" s="414">
        <f t="shared" si="3"/>
        <v>393.18021994018568</v>
      </c>
      <c r="X32" s="169"/>
      <c r="Y32" s="169"/>
      <c r="Z32" s="639" t="s">
        <v>293</v>
      </c>
      <c r="AA32" s="73"/>
      <c r="AB32" s="336">
        <f>'Bed Day Data'!ET33*(4.464%+1)*(2.0354%+1)*(2.7236%+1)</f>
        <v>36.208547154554275</v>
      </c>
      <c r="AC32" s="242" t="s">
        <v>403</v>
      </c>
      <c r="AD32" s="73"/>
      <c r="AE32" s="136"/>
    </row>
    <row r="33" spans="1:31" ht="13.5" thickBot="1" x14ac:dyDescent="0.25">
      <c r="A33" s="415"/>
      <c r="B33" s="125"/>
      <c r="C33" s="416">
        <v>0.65</v>
      </c>
      <c r="D33" s="158"/>
      <c r="E33" s="1065">
        <f t="shared" si="0"/>
        <v>670.84584960115774</v>
      </c>
      <c r="F33" s="125"/>
      <c r="G33" s="415"/>
      <c r="H33" s="125"/>
      <c r="I33" s="416">
        <v>0.65</v>
      </c>
      <c r="J33" s="158"/>
      <c r="K33" s="414">
        <f t="shared" si="1"/>
        <v>564.24411730856718</v>
      </c>
      <c r="L33" s="158"/>
      <c r="M33" s="415"/>
      <c r="N33" s="125"/>
      <c r="O33" s="416">
        <v>0.65</v>
      </c>
      <c r="P33" s="158"/>
      <c r="Q33" s="414">
        <f t="shared" si="2"/>
        <v>460.0826557083235</v>
      </c>
      <c r="R33" s="158"/>
      <c r="S33" s="415"/>
      <c r="T33" s="125"/>
      <c r="U33" s="416">
        <v>0.65</v>
      </c>
      <c r="V33" s="158"/>
      <c r="W33" s="414">
        <f t="shared" si="3"/>
        <v>423.42485224327686</v>
      </c>
      <c r="X33" s="169"/>
      <c r="Y33" s="169"/>
      <c r="Z33" s="85" t="s">
        <v>294</v>
      </c>
      <c r="AA33" s="73"/>
      <c r="AB33" s="336">
        <f>'Bed Day Data'!ET35*(4.464%+1)*(2.0354%+1)*(2.7236%+1)</f>
        <v>19.209698401603287</v>
      </c>
      <c r="AC33" s="242" t="s">
        <v>403</v>
      </c>
      <c r="AD33" s="73"/>
      <c r="AE33" s="136"/>
    </row>
    <row r="34" spans="1:31" ht="13.5" thickBot="1" x14ac:dyDescent="0.25">
      <c r="A34" s="415"/>
      <c r="B34" s="125"/>
      <c r="C34" s="416">
        <v>0.6</v>
      </c>
      <c r="D34" s="158"/>
      <c r="E34" s="1065">
        <f t="shared" si="0"/>
        <v>726.74967040125432</v>
      </c>
      <c r="F34" s="125"/>
      <c r="G34" s="415"/>
      <c r="H34" s="125"/>
      <c r="I34" s="416">
        <v>0.6</v>
      </c>
      <c r="J34" s="158"/>
      <c r="K34" s="414">
        <f t="shared" si="1"/>
        <v>611.26446041761437</v>
      </c>
      <c r="L34" s="158"/>
      <c r="M34" s="415"/>
      <c r="N34" s="125"/>
      <c r="O34" s="416">
        <v>0.6</v>
      </c>
      <c r="P34" s="158"/>
      <c r="Q34" s="414">
        <f t="shared" si="2"/>
        <v>498.42287701735046</v>
      </c>
      <c r="R34" s="158"/>
      <c r="S34" s="415"/>
      <c r="T34" s="125"/>
      <c r="U34" s="416">
        <v>0.6</v>
      </c>
      <c r="V34" s="158"/>
      <c r="W34" s="414">
        <f t="shared" si="3"/>
        <v>458.71025659688326</v>
      </c>
      <c r="X34" s="169"/>
      <c r="Y34" s="169"/>
      <c r="Z34" s="85" t="s">
        <v>295</v>
      </c>
      <c r="AA34" s="73"/>
      <c r="AB34" s="336">
        <f>'Bed Day Data'!ET36*(4.464%+1)*(2.0354%+1)*(2.7236%+1)</f>
        <v>5.2851727610295196</v>
      </c>
      <c r="AC34" s="242" t="s">
        <v>403</v>
      </c>
      <c r="AD34" s="73"/>
      <c r="AE34" s="291"/>
    </row>
    <row r="35" spans="1:31" ht="13.5" thickBot="1" x14ac:dyDescent="0.25">
      <c r="A35" s="415"/>
      <c r="B35" s="125"/>
      <c r="C35" s="416">
        <v>0.55000000000000004</v>
      </c>
      <c r="D35" s="158"/>
      <c r="E35" s="1065">
        <f t="shared" si="0"/>
        <v>792.81782225591371</v>
      </c>
      <c r="F35" s="125"/>
      <c r="G35" s="415"/>
      <c r="H35" s="125"/>
      <c r="I35" s="416">
        <v>0.55000000000000004</v>
      </c>
      <c r="J35" s="158"/>
      <c r="K35" s="414">
        <f t="shared" si="1"/>
        <v>666.83395681921559</v>
      </c>
      <c r="L35" s="158"/>
      <c r="M35" s="415"/>
      <c r="N35" s="125"/>
      <c r="O35" s="416">
        <v>0.55000000000000004</v>
      </c>
      <c r="P35" s="158"/>
      <c r="Q35" s="414">
        <f t="shared" si="2"/>
        <v>543.73404765529131</v>
      </c>
      <c r="R35" s="158"/>
      <c r="S35" s="415"/>
      <c r="T35" s="125"/>
      <c r="U35" s="416">
        <v>0.55000000000000004</v>
      </c>
      <c r="V35" s="158"/>
      <c r="W35" s="414">
        <f t="shared" si="3"/>
        <v>500.41118901478177</v>
      </c>
      <c r="X35" s="169"/>
      <c r="Y35" s="169"/>
      <c r="Z35" s="85"/>
      <c r="AA35" s="73"/>
      <c r="AB35" s="336"/>
      <c r="AC35" s="186"/>
      <c r="AD35" s="73"/>
      <c r="AE35" s="291"/>
    </row>
    <row r="36" spans="1:31" ht="13.5" thickBot="1" x14ac:dyDescent="0.25">
      <c r="A36" s="418"/>
      <c r="B36" s="419"/>
      <c r="C36" s="420">
        <v>0.5</v>
      </c>
      <c r="D36" s="421"/>
      <c r="E36" s="1065">
        <f t="shared" si="0"/>
        <v>872.09960448150514</v>
      </c>
      <c r="F36" s="125"/>
      <c r="G36" s="418"/>
      <c r="H36" s="419"/>
      <c r="I36" s="420">
        <v>0.5</v>
      </c>
      <c r="J36" s="421"/>
      <c r="K36" s="1082">
        <f t="shared" si="1"/>
        <v>733.51735250113722</v>
      </c>
      <c r="L36" s="158"/>
      <c r="M36" s="418"/>
      <c r="N36" s="419"/>
      <c r="O36" s="420">
        <v>0.5</v>
      </c>
      <c r="P36" s="421"/>
      <c r="Q36" s="1082">
        <f>Q$24*(O$27+1)/(Q$3*O36)</f>
        <v>598.10745242082055</v>
      </c>
      <c r="R36" s="158"/>
      <c r="S36" s="418"/>
      <c r="T36" s="419"/>
      <c r="U36" s="420">
        <v>0.5</v>
      </c>
      <c r="V36" s="421"/>
      <c r="W36" s="1082">
        <f t="shared" si="3"/>
        <v>550.45230791625988</v>
      </c>
      <c r="X36" s="169"/>
      <c r="Y36" s="169"/>
      <c r="Z36" s="85" t="s">
        <v>283</v>
      </c>
      <c r="AA36" s="73"/>
      <c r="AB36" s="336">
        <f>'Bed Day Data'!EU35*(4.464%+1)*(2.0354%+1)*(2.7236%+1)</f>
        <v>18.364580498704061</v>
      </c>
      <c r="AC36" s="242" t="s">
        <v>403</v>
      </c>
      <c r="AD36" s="73"/>
      <c r="AE36" s="291"/>
    </row>
    <row r="37" spans="1:31" x14ac:dyDescent="0.2">
      <c r="A37" s="143"/>
      <c r="B37" s="143"/>
      <c r="C37" s="143"/>
      <c r="D37" s="143"/>
      <c r="E37" s="143"/>
      <c r="F37" s="125"/>
      <c r="G37" s="143"/>
      <c r="H37" s="143"/>
      <c r="I37" s="143"/>
      <c r="J37" s="143"/>
      <c r="K37" s="143"/>
      <c r="L37" s="158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72"/>
      <c r="Y37" s="72"/>
      <c r="Z37" s="187"/>
      <c r="AA37" s="188"/>
      <c r="AB37" s="424"/>
      <c r="AC37" s="186"/>
      <c r="AD37" s="73"/>
      <c r="AE37" s="136"/>
    </row>
    <row r="38" spans="1:31" x14ac:dyDescent="0.2">
      <c r="A38" s="143"/>
      <c r="B38" s="143"/>
      <c r="C38" s="143"/>
      <c r="D38" s="143"/>
      <c r="E38" s="143"/>
      <c r="F38" s="125"/>
      <c r="G38" s="143"/>
      <c r="H38" s="143"/>
      <c r="I38" s="143"/>
      <c r="J38" s="143"/>
      <c r="K38" s="143"/>
      <c r="L38" s="158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72"/>
      <c r="Y38" s="72"/>
      <c r="Z38" s="737"/>
      <c r="AA38" s="73"/>
      <c r="AB38" s="186"/>
      <c r="AC38" s="186"/>
      <c r="AD38" s="73"/>
      <c r="AE38" s="136"/>
    </row>
    <row r="39" spans="1:31" x14ac:dyDescent="0.2">
      <c r="A39" s="143"/>
      <c r="B39" s="143"/>
      <c r="C39" s="143"/>
      <c r="D39" s="143"/>
      <c r="E39" s="143"/>
      <c r="F39" s="125"/>
      <c r="G39" s="143"/>
      <c r="H39" s="143"/>
      <c r="I39" s="143"/>
      <c r="J39" s="143"/>
      <c r="K39" s="143"/>
      <c r="L39" s="158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72"/>
      <c r="Y39" s="72"/>
      <c r="Z39" s="737"/>
      <c r="AA39" s="73"/>
      <c r="AB39" s="186"/>
      <c r="AC39" s="186"/>
      <c r="AD39" s="73"/>
      <c r="AE39" s="136"/>
    </row>
    <row r="40" spans="1:31" x14ac:dyDescent="0.2">
      <c r="A40" s="143"/>
      <c r="B40" s="143"/>
      <c r="C40" s="143"/>
      <c r="D40" s="143"/>
      <c r="E40" s="972"/>
      <c r="F40" s="125"/>
      <c r="G40" s="143"/>
      <c r="H40" s="143"/>
      <c r="I40" s="143"/>
      <c r="J40" s="143"/>
      <c r="K40" s="143"/>
      <c r="L40" s="158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72"/>
      <c r="Y40" s="72"/>
      <c r="Z40" s="737"/>
      <c r="AA40" s="73"/>
      <c r="AB40" s="186"/>
      <c r="AC40" s="186"/>
      <c r="AD40" s="73"/>
      <c r="AE40" s="136"/>
    </row>
    <row r="41" spans="1:31" ht="13.5" thickBot="1" x14ac:dyDescent="0.25">
      <c r="A41" s="143"/>
      <c r="B41" s="143"/>
      <c r="C41" s="143"/>
      <c r="D41" s="143"/>
      <c r="E41" s="143"/>
      <c r="F41" s="125"/>
      <c r="G41" s="144"/>
      <c r="I41" s="157"/>
      <c r="J41" s="365"/>
      <c r="K41" s="157"/>
      <c r="L41" s="158"/>
      <c r="Z41" s="990" t="s">
        <v>539</v>
      </c>
      <c r="AA41" s="985"/>
      <c r="AB41" s="987">
        <v>7.4999999999999997E-3</v>
      </c>
      <c r="AC41" s="988" t="s">
        <v>540</v>
      </c>
      <c r="AD41" s="989"/>
      <c r="AE41" s="136"/>
    </row>
    <row r="42" spans="1:31" ht="13.5" thickBot="1" x14ac:dyDescent="0.25">
      <c r="A42" s="84" t="s">
        <v>297</v>
      </c>
      <c r="X42" s="71"/>
      <c r="Y42" s="71"/>
      <c r="Z42" s="85" t="s">
        <v>286</v>
      </c>
      <c r="AA42" s="73"/>
      <c r="AB42" s="180">
        <v>0.121061</v>
      </c>
      <c r="AC42" s="199"/>
      <c r="AD42" s="198"/>
      <c r="AE42" s="136"/>
    </row>
    <row r="43" spans="1:31" ht="13.5" thickBot="1" x14ac:dyDescent="0.25">
      <c r="A43" s="78"/>
      <c r="B43" s="74"/>
      <c r="C43" s="90" t="s">
        <v>255</v>
      </c>
      <c r="D43" s="91"/>
      <c r="E43" s="92"/>
      <c r="F43" s="93"/>
      <c r="I43" s="90" t="s">
        <v>256</v>
      </c>
      <c r="J43" s="91"/>
      <c r="K43" s="92"/>
      <c r="M43" s="144"/>
      <c r="N43" s="74"/>
      <c r="O43" s="366" t="s">
        <v>257</v>
      </c>
      <c r="P43" s="367"/>
      <c r="Q43" s="368"/>
      <c r="R43" s="369"/>
      <c r="S43" s="144"/>
      <c r="T43" s="74"/>
      <c r="U43" s="366" t="s">
        <v>258</v>
      </c>
      <c r="V43" s="367"/>
      <c r="W43" s="368"/>
      <c r="X43" s="93"/>
      <c r="Y43" s="76"/>
      <c r="Z43" s="686" t="s">
        <v>290</v>
      </c>
      <c r="AA43" s="201"/>
      <c r="AB43" s="967">
        <f>'Spring 2019 CAF'!BU25</f>
        <v>1.8120393120392975E-2</v>
      </c>
      <c r="AC43" s="713"/>
      <c r="AD43" s="202"/>
      <c r="AE43" s="203"/>
    </row>
    <row r="44" spans="1:31" s="101" customFormat="1" x14ac:dyDescent="0.2">
      <c r="A44" s="94" t="s">
        <v>261</v>
      </c>
      <c r="B44" s="95" t="s">
        <v>339</v>
      </c>
      <c r="C44" s="96" t="s">
        <v>262</v>
      </c>
      <c r="D44" s="97">
        <v>365</v>
      </c>
      <c r="E44" s="98">
        <f>D44*B45</f>
        <v>4380</v>
      </c>
      <c r="F44" s="99"/>
      <c r="G44" s="94" t="s">
        <v>261</v>
      </c>
      <c r="H44" s="100" t="s">
        <v>340</v>
      </c>
      <c r="I44" s="96" t="s">
        <v>262</v>
      </c>
      <c r="J44" s="97">
        <v>365</v>
      </c>
      <c r="K44" s="98">
        <f>H45*J44</f>
        <v>5657.5</v>
      </c>
      <c r="M44" s="216" t="s">
        <v>261</v>
      </c>
      <c r="N44" s="102" t="s">
        <v>263</v>
      </c>
      <c r="O44" s="371" t="s">
        <v>262</v>
      </c>
      <c r="P44" s="97">
        <v>365</v>
      </c>
      <c r="Q44" s="372">
        <f>N45*P44</f>
        <v>7300</v>
      </c>
      <c r="R44" s="218"/>
      <c r="S44" s="216" t="s">
        <v>261</v>
      </c>
      <c r="T44" s="102" t="s">
        <v>264</v>
      </c>
      <c r="U44" s="371" t="s">
        <v>262</v>
      </c>
      <c r="V44" s="97">
        <v>365</v>
      </c>
      <c r="W44" s="372">
        <f>T45*V44</f>
        <v>9125</v>
      </c>
      <c r="X44" s="99"/>
    </row>
    <row r="45" spans="1:31" s="101" customFormat="1" x14ac:dyDescent="0.2">
      <c r="A45" s="94"/>
      <c r="B45" s="102">
        <v>12</v>
      </c>
      <c r="C45" s="96"/>
      <c r="D45" s="97"/>
      <c r="E45" s="98"/>
      <c r="F45" s="99"/>
      <c r="G45" s="94"/>
      <c r="H45" s="102">
        <v>15.5</v>
      </c>
      <c r="I45" s="96"/>
      <c r="J45" s="97"/>
      <c r="K45" s="98"/>
      <c r="M45" s="216"/>
      <c r="N45" s="102">
        <v>20</v>
      </c>
      <c r="O45" s="371"/>
      <c r="P45" s="97"/>
      <c r="Q45" s="372"/>
      <c r="R45" s="218"/>
      <c r="S45" s="216"/>
      <c r="T45" s="102">
        <v>25</v>
      </c>
      <c r="U45" s="371"/>
      <c r="V45" s="97"/>
      <c r="W45" s="372"/>
      <c r="X45" s="99"/>
    </row>
    <row r="46" spans="1:31" s="101" customFormat="1" x14ac:dyDescent="0.2">
      <c r="A46" s="94"/>
      <c r="B46" s="102"/>
      <c r="C46" s="108"/>
      <c r="D46" s="97"/>
      <c r="E46" s="98"/>
      <c r="F46" s="99"/>
      <c r="G46" s="94"/>
      <c r="H46" s="102"/>
      <c r="I46" s="96"/>
      <c r="J46" s="97"/>
      <c r="K46" s="98"/>
      <c r="M46" s="216"/>
      <c r="N46" s="102"/>
      <c r="O46" s="371"/>
      <c r="P46" s="97"/>
      <c r="Q46" s="372"/>
      <c r="R46" s="218"/>
      <c r="S46" s="216"/>
      <c r="T46" s="102"/>
      <c r="U46" s="371"/>
      <c r="V46" s="97"/>
      <c r="W46" s="372"/>
      <c r="X46" s="99"/>
      <c r="Y46" s="106"/>
      <c r="Z46" s="204"/>
      <c r="AA46" s="106"/>
      <c r="AB46" s="106"/>
      <c r="AC46" s="106"/>
    </row>
    <row r="47" spans="1:31" s="357" customFormat="1" ht="28.5" customHeight="1" x14ac:dyDescent="0.2">
      <c r="A47" s="375"/>
      <c r="B47" s="376" t="s">
        <v>269</v>
      </c>
      <c r="C47" s="377" t="s">
        <v>341</v>
      </c>
      <c r="D47" s="378" t="s">
        <v>270</v>
      </c>
      <c r="E47" s="377" t="s">
        <v>342</v>
      </c>
      <c r="F47" s="379"/>
      <c r="G47" s="375"/>
      <c r="H47" s="376" t="s">
        <v>269</v>
      </c>
      <c r="I47" s="377" t="s">
        <v>341</v>
      </c>
      <c r="J47" s="378" t="s">
        <v>270</v>
      </c>
      <c r="K47" s="377" t="s">
        <v>342</v>
      </c>
      <c r="L47" s="217"/>
      <c r="M47" s="375"/>
      <c r="N47" s="376" t="s">
        <v>269</v>
      </c>
      <c r="O47" s="377" t="s">
        <v>341</v>
      </c>
      <c r="P47" s="378" t="s">
        <v>270</v>
      </c>
      <c r="Q47" s="377" t="s">
        <v>342</v>
      </c>
      <c r="R47" s="379"/>
      <c r="S47" s="375"/>
      <c r="T47" s="376" t="s">
        <v>269</v>
      </c>
      <c r="U47" s="377" t="s">
        <v>341</v>
      </c>
      <c r="V47" s="378" t="s">
        <v>270</v>
      </c>
      <c r="W47" s="377" t="s">
        <v>342</v>
      </c>
      <c r="X47" s="207"/>
      <c r="Y47" s="205"/>
      <c r="Z47" s="205"/>
      <c r="AA47" s="205"/>
      <c r="AB47" s="205"/>
      <c r="AC47" s="354"/>
    </row>
    <row r="48" spans="1:31" s="75" customFormat="1" x14ac:dyDescent="0.2">
      <c r="A48" s="380" t="s">
        <v>272</v>
      </c>
      <c r="B48" s="381"/>
      <c r="C48" s="382">
        <f>$AC$10</f>
        <v>65368.626426372299</v>
      </c>
      <c r="D48" s="124">
        <f>AB17</f>
        <v>2.15</v>
      </c>
      <c r="E48" s="157">
        <f>C48*D48</f>
        <v>140542.54681670043</v>
      </c>
      <c r="F48" s="158"/>
      <c r="G48" s="380" t="s">
        <v>272</v>
      </c>
      <c r="H48" s="381"/>
      <c r="I48" s="382">
        <f>$AC$10</f>
        <v>65368.626426372299</v>
      </c>
      <c r="J48" s="124">
        <f>AC17</f>
        <v>2.15</v>
      </c>
      <c r="K48" s="157">
        <f>I48*J48</f>
        <v>140542.54681670043</v>
      </c>
      <c r="L48" s="157"/>
      <c r="M48" s="380" t="s">
        <v>272</v>
      </c>
      <c r="N48" s="381"/>
      <c r="O48" s="382">
        <f>$AC$10</f>
        <v>65368.626426372299</v>
      </c>
      <c r="P48" s="124">
        <f>AD17</f>
        <v>2.15</v>
      </c>
      <c r="Q48" s="157">
        <f>O48*P48</f>
        <v>140542.54681670043</v>
      </c>
      <c r="R48" s="158"/>
      <c r="S48" s="380" t="s">
        <v>272</v>
      </c>
      <c r="T48" s="381"/>
      <c r="U48" s="382">
        <f>$AC$10</f>
        <v>65368.626426372299</v>
      </c>
      <c r="V48" s="124">
        <f>AE17</f>
        <v>2.15</v>
      </c>
      <c r="W48" s="157">
        <f>U48*V48</f>
        <v>140542.54681670043</v>
      </c>
      <c r="X48" s="77"/>
      <c r="Y48" s="87"/>
      <c r="Z48" s="77"/>
      <c r="AA48" s="77"/>
      <c r="AB48" s="77"/>
      <c r="AC48" s="77"/>
    </row>
    <row r="49" spans="1:31" s="75" customFormat="1" x14ac:dyDescent="0.2">
      <c r="A49" s="380" t="s">
        <v>273</v>
      </c>
      <c r="B49" s="381"/>
      <c r="C49" s="382">
        <f>$AC$11</f>
        <v>56879.606800509006</v>
      </c>
      <c r="D49" s="124">
        <f>AB18</f>
        <v>3</v>
      </c>
      <c r="E49" s="157">
        <f>C49*D49</f>
        <v>170638.82040152702</v>
      </c>
      <c r="F49" s="158"/>
      <c r="G49" s="380" t="s">
        <v>273</v>
      </c>
      <c r="H49" s="381"/>
      <c r="I49" s="382">
        <f>$AC$11</f>
        <v>56879.606800509006</v>
      </c>
      <c r="J49" s="124">
        <f>AC18</f>
        <v>3</v>
      </c>
      <c r="K49" s="157">
        <f>I49*J49</f>
        <v>170638.82040152702</v>
      </c>
      <c r="L49" s="157"/>
      <c r="M49" s="380" t="s">
        <v>273</v>
      </c>
      <c r="N49" s="381"/>
      <c r="O49" s="382">
        <f>$AC$11</f>
        <v>56879.606800509006</v>
      </c>
      <c r="P49" s="124">
        <f>AD18</f>
        <v>3</v>
      </c>
      <c r="Q49" s="157">
        <f>O49*P49</f>
        <v>170638.82040152702</v>
      </c>
      <c r="R49" s="158"/>
      <c r="S49" s="380" t="s">
        <v>273</v>
      </c>
      <c r="T49" s="381"/>
      <c r="U49" s="382">
        <f>$AC$11</f>
        <v>56879.606800509006</v>
      </c>
      <c r="V49" s="124">
        <f>AE18</f>
        <v>4</v>
      </c>
      <c r="W49" s="157">
        <f>U49*V49</f>
        <v>227518.42720203602</v>
      </c>
      <c r="X49" s="77"/>
      <c r="Y49" s="205"/>
      <c r="Z49" s="87"/>
      <c r="AA49" s="77"/>
      <c r="AB49" s="77"/>
      <c r="AC49" s="77"/>
    </row>
    <row r="50" spans="1:31" s="133" customFormat="1" x14ac:dyDescent="0.2">
      <c r="A50" s="383" t="s">
        <v>275</v>
      </c>
      <c r="B50" s="124">
        <f>AB27</f>
        <v>0.57999999999999996</v>
      </c>
      <c r="C50" s="382">
        <f>$AC$12</f>
        <v>34055.717454304911</v>
      </c>
      <c r="D50" s="124">
        <f>B45/B50</f>
        <v>20.689655172413794</v>
      </c>
      <c r="E50" s="157">
        <f>C50*D50</f>
        <v>704601.05077872227</v>
      </c>
      <c r="F50" s="158"/>
      <c r="G50" s="383" t="s">
        <v>275</v>
      </c>
      <c r="H50" s="124">
        <f>AC27</f>
        <v>0.69099999999999995</v>
      </c>
      <c r="I50" s="382">
        <f>$AC$12</f>
        <v>34055.717454304911</v>
      </c>
      <c r="J50" s="124">
        <f>H45/H50</f>
        <v>22.431259044862522</v>
      </c>
      <c r="K50" s="157">
        <f>I50*J50</f>
        <v>763912.62017615954</v>
      </c>
      <c r="L50" s="243"/>
      <c r="M50" s="383" t="s">
        <v>275</v>
      </c>
      <c r="N50" s="124">
        <f>AD27</f>
        <v>0.89149999999999996</v>
      </c>
      <c r="O50" s="382">
        <f>$AC$12</f>
        <v>34055.717454304911</v>
      </c>
      <c r="P50" s="124">
        <f>N45/N50</f>
        <v>22.434099831744252</v>
      </c>
      <c r="Q50" s="157">
        <f>O50*P50</f>
        <v>764009.36521155154</v>
      </c>
      <c r="R50" s="158"/>
      <c r="S50" s="383" t="s">
        <v>275</v>
      </c>
      <c r="T50" s="124">
        <f>AE27</f>
        <v>1.0349999999999999</v>
      </c>
      <c r="U50" s="382">
        <f>$AC$12</f>
        <v>34055.717454304911</v>
      </c>
      <c r="V50" s="124">
        <f>T45/T50</f>
        <v>24.154589371980677</v>
      </c>
      <c r="W50" s="157">
        <f>U50*V50</f>
        <v>822601.8708769303</v>
      </c>
      <c r="X50" s="77"/>
      <c r="Y50" s="86"/>
      <c r="Z50" s="87"/>
      <c r="AA50" s="88"/>
      <c r="AB50" s="88"/>
      <c r="AC50" s="88"/>
    </row>
    <row r="51" spans="1:31" s="133" customFormat="1" x14ac:dyDescent="0.2">
      <c r="A51" s="380" t="s">
        <v>370</v>
      </c>
      <c r="B51" s="124"/>
      <c r="C51" s="382">
        <f>$AC$13</f>
        <v>33504.965890805717</v>
      </c>
      <c r="D51" s="124">
        <f>AB22</f>
        <v>3</v>
      </c>
      <c r="E51" s="157">
        <f>C51*D51</f>
        <v>100514.89767241715</v>
      </c>
      <c r="F51" s="158"/>
      <c r="G51" s="380" t="s">
        <v>370</v>
      </c>
      <c r="H51" s="124"/>
      <c r="I51" s="382">
        <f>$AC$13</f>
        <v>33504.965890805717</v>
      </c>
      <c r="J51" s="124">
        <f>AC22</f>
        <v>3</v>
      </c>
      <c r="K51" s="157">
        <f>I51*J51</f>
        <v>100514.89767241715</v>
      </c>
      <c r="L51" s="157"/>
      <c r="M51" s="380" t="s">
        <v>370</v>
      </c>
      <c r="N51" s="124"/>
      <c r="O51" s="382">
        <f>$AC$13</f>
        <v>33504.965890805717</v>
      </c>
      <c r="P51" s="124">
        <f>AD22</f>
        <v>3</v>
      </c>
      <c r="Q51" s="157">
        <f>O51*P51</f>
        <v>100514.89767241715</v>
      </c>
      <c r="R51" s="158"/>
      <c r="S51" s="380" t="s">
        <v>370</v>
      </c>
      <c r="T51" s="124"/>
      <c r="U51" s="382">
        <f>$AC$13</f>
        <v>33504.965890805717</v>
      </c>
      <c r="V51" s="124">
        <f>AE22</f>
        <v>4</v>
      </c>
      <c r="W51" s="157">
        <f>U51*V51</f>
        <v>134019.86356322287</v>
      </c>
      <c r="X51" s="77"/>
      <c r="Y51" s="86"/>
      <c r="Z51" s="87"/>
      <c r="AA51" s="88"/>
      <c r="AB51" s="88"/>
      <c r="AC51" s="88"/>
    </row>
    <row r="52" spans="1:31" s="75" customFormat="1" x14ac:dyDescent="0.2">
      <c r="A52" s="387" t="s">
        <v>277</v>
      </c>
      <c r="B52" s="387"/>
      <c r="C52" s="388"/>
      <c r="D52" s="389">
        <f>SUM(D48:D51)</f>
        <v>28.839655172413792</v>
      </c>
      <c r="E52" s="388">
        <f>SUM(E48:E51)</f>
        <v>1116297.3156693669</v>
      </c>
      <c r="F52" s="369"/>
      <c r="G52" s="387" t="s">
        <v>277</v>
      </c>
      <c r="H52" s="387"/>
      <c r="I52" s="388"/>
      <c r="J52" s="389">
        <f>SUM(J48:J51)</f>
        <v>30.58125904486252</v>
      </c>
      <c r="K52" s="388">
        <f>SUM(K48:K51)</f>
        <v>1175608.885066804</v>
      </c>
      <c r="L52" s="71"/>
      <c r="M52" s="387" t="s">
        <v>277</v>
      </c>
      <c r="N52" s="387"/>
      <c r="O52" s="388"/>
      <c r="P52" s="389">
        <f>SUM(P48:P51)</f>
        <v>30.584099831744254</v>
      </c>
      <c r="Q52" s="388">
        <f>SUM(Q48:Q51)</f>
        <v>1175705.6301021962</v>
      </c>
      <c r="R52" s="369"/>
      <c r="S52" s="387" t="s">
        <v>277</v>
      </c>
      <c r="T52" s="387"/>
      <c r="U52" s="388"/>
      <c r="V52" s="389">
        <f>SUM(V48:V51)</f>
        <v>34.304589371980676</v>
      </c>
      <c r="W52" s="388">
        <f>SUM(W48:W51)</f>
        <v>1324682.7084588895</v>
      </c>
      <c r="X52" s="77"/>
      <c r="Y52" s="86"/>
      <c r="Z52" s="87"/>
      <c r="AA52" s="77"/>
      <c r="AB52" s="77"/>
      <c r="AC52" s="77"/>
    </row>
    <row r="53" spans="1:31" s="101" customFormat="1" x14ac:dyDescent="0.2">
      <c r="A53" s="198"/>
      <c r="B53" s="198"/>
      <c r="C53" s="369"/>
      <c r="D53" s="390"/>
      <c r="E53" s="369"/>
      <c r="F53" s="369"/>
      <c r="G53" s="198"/>
      <c r="H53" s="198"/>
      <c r="I53" s="369"/>
      <c r="J53" s="390"/>
      <c r="K53" s="369"/>
      <c r="L53" s="71"/>
      <c r="M53" s="198"/>
      <c r="N53" s="198"/>
      <c r="O53" s="369"/>
      <c r="P53" s="390"/>
      <c r="Q53" s="369"/>
      <c r="R53" s="369"/>
      <c r="S53" s="198"/>
      <c r="T53" s="198"/>
      <c r="U53" s="369"/>
      <c r="V53" s="390"/>
      <c r="W53" s="369"/>
      <c r="X53" s="93"/>
      <c r="Y53" s="86"/>
      <c r="Z53" s="87"/>
      <c r="AA53" s="106"/>
      <c r="AB53" s="106"/>
      <c r="AC53" s="106"/>
    </row>
    <row r="54" spans="1:31" s="101" customFormat="1" x14ac:dyDescent="0.2">
      <c r="A54" s="391" t="s">
        <v>278</v>
      </c>
      <c r="B54" s="391"/>
      <c r="C54" s="392"/>
      <c r="D54" s="393" t="s">
        <v>279</v>
      </c>
      <c r="E54" s="392"/>
      <c r="F54" s="394"/>
      <c r="G54" s="391" t="s">
        <v>278</v>
      </c>
      <c r="H54" s="391"/>
      <c r="I54" s="392"/>
      <c r="J54" s="393" t="s">
        <v>279</v>
      </c>
      <c r="K54" s="392"/>
      <c r="L54" s="71"/>
      <c r="M54" s="391" t="s">
        <v>278</v>
      </c>
      <c r="N54" s="391"/>
      <c r="O54" s="392"/>
      <c r="P54" s="393" t="s">
        <v>279</v>
      </c>
      <c r="Q54" s="392"/>
      <c r="R54" s="394"/>
      <c r="S54" s="391" t="s">
        <v>278</v>
      </c>
      <c r="T54" s="391"/>
      <c r="U54" s="392"/>
      <c r="V54" s="393" t="s">
        <v>279</v>
      </c>
      <c r="W54" s="392"/>
      <c r="X54" s="93"/>
      <c r="Y54" s="86"/>
      <c r="Z54" s="87"/>
      <c r="AA54" s="106"/>
      <c r="AB54" s="106"/>
      <c r="AC54" s="106"/>
    </row>
    <row r="55" spans="1:31" s="101" customFormat="1" x14ac:dyDescent="0.2">
      <c r="A55" s="143" t="s">
        <v>280</v>
      </c>
      <c r="B55" s="144"/>
      <c r="C55" s="160">
        <f>$AB$30</f>
        <v>0.25578770213785851</v>
      </c>
      <c r="D55" s="395"/>
      <c r="E55" s="157">
        <f>C55*E52</f>
        <v>285535.12527772703</v>
      </c>
      <c r="F55" s="396"/>
      <c r="G55" s="143" t="s">
        <v>280</v>
      </c>
      <c r="H55" s="144"/>
      <c r="I55" s="160">
        <f>$AB$30</f>
        <v>0.25578770213785851</v>
      </c>
      <c r="J55" s="395"/>
      <c r="K55" s="157">
        <f>I55*K52</f>
        <v>300706.29532408761</v>
      </c>
      <c r="L55" s="144"/>
      <c r="M55" s="143" t="s">
        <v>280</v>
      </c>
      <c r="N55" s="144"/>
      <c r="O55" s="160">
        <f>$AB$30</f>
        <v>0.25578770213785851</v>
      </c>
      <c r="P55" s="395"/>
      <c r="Q55" s="157">
        <f>O55*Q52</f>
        <v>300731.0415143838</v>
      </c>
      <c r="R55" s="396"/>
      <c r="S55" s="143" t="s">
        <v>280</v>
      </c>
      <c r="T55" s="144"/>
      <c r="U55" s="160">
        <f>$AB$30</f>
        <v>0.25578770213785851</v>
      </c>
      <c r="V55" s="395"/>
      <c r="W55" s="157">
        <f>U55*W52</f>
        <v>338837.54605845409</v>
      </c>
      <c r="X55" s="114"/>
      <c r="Y55" s="20"/>
      <c r="Z55" s="87"/>
      <c r="AA55" s="106"/>
      <c r="AB55" s="106"/>
      <c r="AC55" s="106"/>
    </row>
    <row r="56" spans="1:31" s="78" customFormat="1" x14ac:dyDescent="0.2">
      <c r="A56" s="397" t="s">
        <v>282</v>
      </c>
      <c r="B56" s="397"/>
      <c r="C56" s="398"/>
      <c r="D56" s="151">
        <f>E56/E44</f>
        <v>320.05306870938222</v>
      </c>
      <c r="E56" s="399">
        <f>E55+E52</f>
        <v>1401832.440947094</v>
      </c>
      <c r="F56" s="158"/>
      <c r="G56" s="397" t="s">
        <v>282</v>
      </c>
      <c r="H56" s="397"/>
      <c r="I56" s="398"/>
      <c r="J56" s="151">
        <f>K56/K44</f>
        <v>260.94833060378113</v>
      </c>
      <c r="K56" s="399">
        <f>K55+K52</f>
        <v>1476315.1803908916</v>
      </c>
      <c r="L56" s="158"/>
      <c r="M56" s="397" t="s">
        <v>282</v>
      </c>
      <c r="N56" s="397"/>
      <c r="O56" s="398"/>
      <c r="P56" s="151">
        <f>Q56/Q44</f>
        <v>202.25159885158632</v>
      </c>
      <c r="Q56" s="399">
        <f>Q55+Q52</f>
        <v>1476436.6716165801</v>
      </c>
      <c r="R56" s="394"/>
      <c r="S56" s="397" t="s">
        <v>282</v>
      </c>
      <c r="T56" s="397"/>
      <c r="U56" s="398"/>
      <c r="V56" s="151">
        <f>W56/W44</f>
        <v>182.30358953614726</v>
      </c>
      <c r="W56" s="399">
        <f>W55+W52</f>
        <v>1663520.2545173436</v>
      </c>
      <c r="X56" s="146"/>
      <c r="Y56" s="69"/>
      <c r="Z56" s="87"/>
      <c r="AA56" s="206"/>
      <c r="AB56" s="206"/>
      <c r="AC56" s="206"/>
    </row>
    <row r="57" spans="1:31" x14ac:dyDescent="0.2">
      <c r="A57" s="1083" t="s">
        <v>276</v>
      </c>
      <c r="B57" s="143"/>
      <c r="C57" s="157"/>
      <c r="D57" s="365"/>
      <c r="E57" s="157">
        <v>25000</v>
      </c>
      <c r="F57" s="158"/>
      <c r="G57" s="1083" t="s">
        <v>276</v>
      </c>
      <c r="H57" s="143"/>
      <c r="I57" s="157"/>
      <c r="J57" s="365"/>
      <c r="K57" s="157">
        <v>25000</v>
      </c>
      <c r="L57" s="158"/>
      <c r="M57" s="1083" t="s">
        <v>276</v>
      </c>
      <c r="N57" s="143"/>
      <c r="O57" s="157"/>
      <c r="P57" s="365"/>
      <c r="Q57" s="157">
        <v>30000</v>
      </c>
      <c r="R57" s="158"/>
      <c r="S57" s="1083" t="s">
        <v>276</v>
      </c>
      <c r="T57" s="143"/>
      <c r="U57" s="157"/>
      <c r="V57" s="365"/>
      <c r="W57" s="157">
        <v>30000</v>
      </c>
      <c r="X57" s="114"/>
      <c r="Y57" s="125"/>
      <c r="Z57" s="73"/>
      <c r="AA57" s="73"/>
      <c r="AB57" s="73"/>
      <c r="AC57" s="73"/>
      <c r="AD57" s="72"/>
      <c r="AE57" s="72"/>
    </row>
    <row r="58" spans="1:31" x14ac:dyDescent="0.2">
      <c r="A58" s="143" t="s">
        <v>91</v>
      </c>
      <c r="B58" s="143"/>
      <c r="C58" s="157"/>
      <c r="D58" s="124">
        <f>$AB$33</f>
        <v>19.209698401603287</v>
      </c>
      <c r="E58" s="157">
        <f>D58*E$44</f>
        <v>84138.478999022394</v>
      </c>
      <c r="F58" s="158"/>
      <c r="G58" s="143" t="s">
        <v>91</v>
      </c>
      <c r="H58" s="143"/>
      <c r="I58" s="157"/>
      <c r="J58" s="124">
        <f>$AB$33</f>
        <v>19.209698401603287</v>
      </c>
      <c r="K58" s="157">
        <f>J58*K$44</f>
        <v>108678.86870707059</v>
      </c>
      <c r="L58" s="158"/>
      <c r="M58" s="143" t="s">
        <v>91</v>
      </c>
      <c r="N58" s="143"/>
      <c r="O58" s="157"/>
      <c r="P58" s="124">
        <f>$AB$33</f>
        <v>19.209698401603287</v>
      </c>
      <c r="Q58" s="157">
        <f>P58*Q$44</f>
        <v>140230.79833170399</v>
      </c>
      <c r="R58" s="158"/>
      <c r="S58" s="143" t="s">
        <v>91</v>
      </c>
      <c r="T58" s="143"/>
      <c r="U58" s="157"/>
      <c r="V58" s="124">
        <f>$AB$33</f>
        <v>19.209698401603287</v>
      </c>
      <c r="W58" s="157">
        <f>V58*W$44</f>
        <v>175288.49791462999</v>
      </c>
      <c r="Y58" s="207"/>
      <c r="Z58" s="73"/>
      <c r="AA58" s="73"/>
      <c r="AB58" s="73"/>
      <c r="AC58" s="73"/>
      <c r="AD58" s="72"/>
      <c r="AE58" s="72"/>
    </row>
    <row r="59" spans="1:31" x14ac:dyDescent="0.2">
      <c r="A59" s="143"/>
      <c r="B59" s="143"/>
      <c r="C59" s="157"/>
      <c r="D59" s="124"/>
      <c r="E59" s="157"/>
      <c r="F59" s="158"/>
      <c r="G59" s="143"/>
      <c r="H59" s="143"/>
      <c r="I59" s="157"/>
      <c r="J59" s="124"/>
      <c r="K59" s="157"/>
      <c r="L59" s="158"/>
      <c r="M59" s="143"/>
      <c r="N59" s="143"/>
      <c r="O59" s="157"/>
      <c r="P59" s="124"/>
      <c r="Q59" s="157"/>
      <c r="R59" s="158"/>
      <c r="S59" s="143"/>
      <c r="T59" s="143"/>
      <c r="U59" s="157"/>
      <c r="V59" s="124"/>
      <c r="W59" s="157"/>
      <c r="Y59" s="135"/>
      <c r="Z59" s="73"/>
      <c r="AA59" s="73"/>
      <c r="AB59" s="73"/>
      <c r="AC59" s="73"/>
      <c r="AD59" s="72"/>
      <c r="AE59" s="135"/>
    </row>
    <row r="60" spans="1:31" x14ac:dyDescent="0.2">
      <c r="A60" s="143" t="s">
        <v>283</v>
      </c>
      <c r="B60" s="143"/>
      <c r="C60" s="157"/>
      <c r="D60" s="124">
        <f>$AB$36</f>
        <v>18.364580498704061</v>
      </c>
      <c r="E60" s="157">
        <f>D60*E$44</f>
        <v>80436.862584323782</v>
      </c>
      <c r="F60" s="158"/>
      <c r="G60" s="143" t="s">
        <v>283</v>
      </c>
      <c r="H60" s="143"/>
      <c r="I60" s="157"/>
      <c r="J60" s="124">
        <f>$AB$36</f>
        <v>18.364580498704061</v>
      </c>
      <c r="K60" s="157">
        <f>J60*K$44</f>
        <v>103897.61417141823</v>
      </c>
      <c r="L60" s="158"/>
      <c r="M60" s="143" t="s">
        <v>283</v>
      </c>
      <c r="N60" s="143"/>
      <c r="O60" s="157"/>
      <c r="P60" s="124">
        <f>$AB$36</f>
        <v>18.364580498704061</v>
      </c>
      <c r="Q60" s="157">
        <f>P60*Q$44</f>
        <v>134061.43764053966</v>
      </c>
      <c r="R60" s="158"/>
      <c r="S60" s="143" t="s">
        <v>283</v>
      </c>
      <c r="T60" s="143"/>
      <c r="U60" s="157"/>
      <c r="V60" s="124">
        <f>$AB$36</f>
        <v>18.364580498704061</v>
      </c>
      <c r="W60" s="157">
        <f>V60*W$44</f>
        <v>167576.79705067456</v>
      </c>
      <c r="X60" s="158"/>
      <c r="Y60" s="135"/>
      <c r="Z60" s="73"/>
      <c r="AA60" s="73"/>
      <c r="AB60" s="73"/>
      <c r="AC60" s="73"/>
      <c r="AD60" s="72"/>
      <c r="AE60" s="135"/>
    </row>
    <row r="61" spans="1:31" x14ac:dyDescent="0.2">
      <c r="A61" s="143"/>
      <c r="B61" s="143"/>
      <c r="C61" s="157"/>
      <c r="D61" s="159">
        <f>SUM(D58:D60)</f>
        <v>37.574278900307348</v>
      </c>
      <c r="E61" s="157"/>
      <c r="F61" s="158"/>
      <c r="G61" s="143"/>
      <c r="H61" s="143"/>
      <c r="I61" s="157"/>
      <c r="J61" s="159">
        <f>SUM(J58:J60)</f>
        <v>37.574278900307348</v>
      </c>
      <c r="K61" s="157"/>
      <c r="L61" s="158"/>
      <c r="M61" s="143"/>
      <c r="N61" s="143"/>
      <c r="O61" s="157"/>
      <c r="P61" s="159">
        <f>SUM(P58:P60)</f>
        <v>37.574278900307348</v>
      </c>
      <c r="Q61" s="157"/>
      <c r="R61" s="158"/>
      <c r="S61" s="143"/>
      <c r="T61" s="143"/>
      <c r="U61" s="157"/>
      <c r="V61" s="159">
        <f>SUM(V58:V60)</f>
        <v>37.574278900307348</v>
      </c>
      <c r="W61" s="157"/>
      <c r="Y61" s="135"/>
      <c r="Z61" s="73"/>
      <c r="AA61" s="73"/>
      <c r="AB61" s="73"/>
      <c r="AC61" s="73"/>
      <c r="AD61" s="72"/>
      <c r="AE61" s="72"/>
    </row>
    <row r="62" spans="1:31" x14ac:dyDescent="0.2">
      <c r="A62" s="387" t="s">
        <v>371</v>
      </c>
      <c r="B62" s="387"/>
      <c r="C62" s="388"/>
      <c r="D62" s="389"/>
      <c r="E62" s="388">
        <f>SUM(E56:E60)</f>
        <v>1591407.7825304403</v>
      </c>
      <c r="F62" s="369"/>
      <c r="G62" s="387" t="s">
        <v>371</v>
      </c>
      <c r="H62" s="387"/>
      <c r="I62" s="388"/>
      <c r="J62" s="389"/>
      <c r="K62" s="388">
        <f>SUM(K56:K60)</f>
        <v>1713891.6632693803</v>
      </c>
      <c r="L62" s="158"/>
      <c r="M62" s="387" t="s">
        <v>371</v>
      </c>
      <c r="N62" s="387"/>
      <c r="O62" s="388"/>
      <c r="P62" s="389"/>
      <c r="Q62" s="388">
        <f>SUM(Q56:Q60)</f>
        <v>1780728.9075888237</v>
      </c>
      <c r="R62" s="369"/>
      <c r="S62" s="387" t="s">
        <v>371</v>
      </c>
      <c r="T62" s="387"/>
      <c r="U62" s="388"/>
      <c r="V62" s="389"/>
      <c r="W62" s="388">
        <f>SUM(W56:W60)</f>
        <v>2036385.5494826483</v>
      </c>
      <c r="Y62" s="135"/>
      <c r="Z62" s="73"/>
      <c r="AA62" s="73"/>
      <c r="AB62" s="73"/>
      <c r="AC62" s="73"/>
      <c r="AD62" s="72"/>
      <c r="AE62" s="72"/>
    </row>
    <row r="63" spans="1:31" x14ac:dyDescent="0.2">
      <c r="A63" s="143" t="s">
        <v>286</v>
      </c>
      <c r="B63" s="143"/>
      <c r="C63" s="160">
        <f>$AB$42</f>
        <v>0.121061</v>
      </c>
      <c r="D63" s="124"/>
      <c r="E63" s="157">
        <f>C63*E62</f>
        <v>192657.41756091762</v>
      </c>
      <c r="F63" s="158"/>
      <c r="G63" s="143" t="s">
        <v>286</v>
      </c>
      <c r="H63" s="143"/>
      <c r="I63" s="160">
        <f>$AB$42</f>
        <v>0.121061</v>
      </c>
      <c r="J63" s="124"/>
      <c r="K63" s="157">
        <f>I63*K62</f>
        <v>207485.43864705446</v>
      </c>
      <c r="L63" s="158"/>
      <c r="M63" s="143" t="s">
        <v>286</v>
      </c>
      <c r="N63" s="143"/>
      <c r="O63" s="160">
        <f>$AB$42</f>
        <v>0.121061</v>
      </c>
      <c r="P63" s="124"/>
      <c r="Q63" s="157">
        <f>O63*Q62</f>
        <v>215576.8222816106</v>
      </c>
      <c r="R63" s="158"/>
      <c r="S63" s="143" t="s">
        <v>286</v>
      </c>
      <c r="T63" s="143"/>
      <c r="U63" s="160">
        <f>$AB$42</f>
        <v>0.121061</v>
      </c>
      <c r="V63" s="124"/>
      <c r="W63" s="157">
        <f>U63*W62</f>
        <v>246526.87100591889</v>
      </c>
      <c r="X63" s="93"/>
      <c r="Y63" s="135"/>
      <c r="Z63" s="73"/>
      <c r="AA63" s="73"/>
      <c r="AB63" s="73"/>
      <c r="AC63" s="73"/>
      <c r="AD63" s="72"/>
      <c r="AE63" s="72"/>
    </row>
    <row r="64" spans="1:31" x14ac:dyDescent="0.2">
      <c r="A64" s="973" t="s">
        <v>539</v>
      </c>
      <c r="B64" s="974"/>
      <c r="C64" s="975">
        <f>AB41</f>
        <v>7.4999999999999997E-3</v>
      </c>
      <c r="D64" s="976"/>
      <c r="E64" s="973">
        <f>E52*C64</f>
        <v>8372.229867520251</v>
      </c>
      <c r="F64" s="977"/>
      <c r="G64" s="973" t="s">
        <v>539</v>
      </c>
      <c r="H64" s="974"/>
      <c r="I64" s="975">
        <f>AB41</f>
        <v>7.4999999999999997E-3</v>
      </c>
      <c r="J64" s="976"/>
      <c r="K64" s="973">
        <f>K52*I64</f>
        <v>8817.0666380010298</v>
      </c>
      <c r="L64" s="977"/>
      <c r="M64" s="973" t="s">
        <v>539</v>
      </c>
      <c r="N64" s="974"/>
      <c r="O64" s="975">
        <f>AB41</f>
        <v>7.4999999999999997E-3</v>
      </c>
      <c r="P64" s="976"/>
      <c r="Q64" s="973">
        <f>Q52*O64</f>
        <v>8817.7922257664723</v>
      </c>
      <c r="R64" s="977"/>
      <c r="S64" s="973" t="s">
        <v>539</v>
      </c>
      <c r="T64" s="974"/>
      <c r="U64" s="975">
        <f>AB41</f>
        <v>7.4999999999999997E-3</v>
      </c>
      <c r="V64" s="124"/>
      <c r="W64" s="973">
        <f>W52*U64</f>
        <v>9935.1203134416701</v>
      </c>
      <c r="Y64" s="208"/>
      <c r="Z64" s="208"/>
      <c r="AA64" s="208"/>
      <c r="AB64" s="208"/>
      <c r="AC64" s="73"/>
      <c r="AD64" s="72"/>
      <c r="AE64" s="72"/>
    </row>
    <row r="65" spans="1:31" ht="13.5" thickBot="1" x14ac:dyDescent="0.25">
      <c r="A65" s="401" t="s">
        <v>288</v>
      </c>
      <c r="B65" s="401"/>
      <c r="C65" s="402"/>
      <c r="D65" s="403"/>
      <c r="E65" s="404">
        <f>ROUND(SUM(E62:E64),2)</f>
        <v>1792437.43</v>
      </c>
      <c r="F65" s="369"/>
      <c r="G65" s="401" t="s">
        <v>288</v>
      </c>
      <c r="H65" s="401"/>
      <c r="I65" s="402"/>
      <c r="J65" s="403"/>
      <c r="K65" s="404">
        <f>ROUND(SUM(K62:K64),2)</f>
        <v>1930194.17</v>
      </c>
      <c r="L65" s="71"/>
      <c r="M65" s="401" t="s">
        <v>288</v>
      </c>
      <c r="N65" s="401"/>
      <c r="O65" s="402"/>
      <c r="P65" s="403"/>
      <c r="Q65" s="404">
        <f>ROUND(SUM(Q62:Q64),2)</f>
        <v>2005123.52</v>
      </c>
      <c r="R65" s="369"/>
      <c r="S65" s="401" t="s">
        <v>288</v>
      </c>
      <c r="T65" s="401"/>
      <c r="U65" s="402"/>
      <c r="V65" s="403"/>
      <c r="W65" s="404">
        <f>ROUND(SUM(W62:W64),2)</f>
        <v>2292847.54</v>
      </c>
      <c r="Y65" s="208"/>
      <c r="Z65" s="208"/>
      <c r="AA65" s="208"/>
      <c r="AB65" s="208"/>
      <c r="AC65" s="73"/>
      <c r="AD65" s="72"/>
      <c r="AE65" s="72"/>
    </row>
    <row r="66" spans="1:31" s="101" customFormat="1" ht="15" customHeight="1" thickTop="1" x14ac:dyDescent="0.2">
      <c r="A66" s="391"/>
      <c r="B66" s="391"/>
      <c r="C66" s="392"/>
      <c r="D66" s="405"/>
      <c r="E66" s="392"/>
      <c r="F66" s="394"/>
      <c r="G66" s="391"/>
      <c r="H66" s="391"/>
      <c r="I66" s="392"/>
      <c r="J66" s="405"/>
      <c r="K66" s="392"/>
      <c r="L66" s="71"/>
      <c r="M66" s="391"/>
      <c r="N66" s="391"/>
      <c r="O66" s="392"/>
      <c r="P66" s="405"/>
      <c r="Q66" s="392"/>
      <c r="R66" s="394"/>
      <c r="S66" s="391"/>
      <c r="T66" s="391"/>
      <c r="U66" s="392"/>
      <c r="V66" s="405"/>
      <c r="W66" s="392"/>
      <c r="X66" s="93"/>
      <c r="Y66" s="209"/>
      <c r="Z66" s="210"/>
      <c r="AA66" s="211"/>
      <c r="AB66" s="210"/>
      <c r="AC66" s="106"/>
    </row>
    <row r="67" spans="1:31" s="101" customFormat="1" x14ac:dyDescent="0.2">
      <c r="A67" s="167" t="s">
        <v>289</v>
      </c>
      <c r="B67" s="167"/>
      <c r="C67" s="168"/>
      <c r="D67" s="168"/>
      <c r="E67" s="169">
        <f>E65/E44</f>
        <v>409.23228995433789</v>
      </c>
      <c r="F67" s="171"/>
      <c r="G67" s="167" t="s">
        <v>289</v>
      </c>
      <c r="H67" s="167"/>
      <c r="I67" s="168"/>
      <c r="J67" s="168"/>
      <c r="K67" s="169">
        <f>K65/K44</f>
        <v>341.17440035351302</v>
      </c>
      <c r="L67" s="170"/>
      <c r="M67" s="406" t="s">
        <v>289</v>
      </c>
      <c r="N67" s="406"/>
      <c r="O67" s="407"/>
      <c r="P67" s="407"/>
      <c r="Q67" s="408">
        <f>Q65/Q44</f>
        <v>274.67445479452056</v>
      </c>
      <c r="R67" s="409"/>
      <c r="S67" s="406" t="s">
        <v>289</v>
      </c>
      <c r="T67" s="406"/>
      <c r="U67" s="407"/>
      <c r="V67" s="407"/>
      <c r="W67" s="408">
        <f>W65/W44</f>
        <v>251.27096328767124</v>
      </c>
      <c r="X67" s="114"/>
      <c r="Y67" s="153"/>
      <c r="Z67" s="153"/>
      <c r="AA67" s="153"/>
      <c r="AB67" s="212"/>
      <c r="AC67" s="106"/>
    </row>
    <row r="68" spans="1:31" s="170" customFormat="1" ht="13.15" customHeight="1" thickBot="1" x14ac:dyDescent="0.25">
      <c r="A68" s="167" t="s">
        <v>290</v>
      </c>
      <c r="B68" s="167"/>
      <c r="C68" s="172">
        <f>AB43</f>
        <v>1.8120393120392975E-2</v>
      </c>
      <c r="D68" s="168"/>
      <c r="E68" s="169"/>
      <c r="F68" s="171"/>
      <c r="G68" s="167" t="s">
        <v>290</v>
      </c>
      <c r="H68" s="167"/>
      <c r="I68" s="172">
        <f>AB43</f>
        <v>1.8120393120392975E-2</v>
      </c>
      <c r="J68" s="168"/>
      <c r="K68" s="169"/>
      <c r="M68" s="406" t="s">
        <v>290</v>
      </c>
      <c r="N68" s="406"/>
      <c r="O68" s="199">
        <f>AB43</f>
        <v>1.8120393120392975E-2</v>
      </c>
      <c r="P68" s="407"/>
      <c r="Q68" s="408"/>
      <c r="R68" s="125"/>
      <c r="S68" s="406" t="s">
        <v>290</v>
      </c>
      <c r="T68" s="406"/>
      <c r="U68" s="199">
        <f>AB43</f>
        <v>1.8120393120392975E-2</v>
      </c>
      <c r="V68" s="407"/>
      <c r="W68" s="408"/>
      <c r="Y68" s="153"/>
      <c r="Z68" s="153"/>
      <c r="AA68" s="153"/>
      <c r="AB68" s="153"/>
      <c r="AC68" s="213"/>
    </row>
    <row r="69" spans="1:31" s="170" customFormat="1" ht="13.5" thickBot="1" x14ac:dyDescent="0.25">
      <c r="A69" s="175" t="s">
        <v>292</v>
      </c>
      <c r="B69" s="130"/>
      <c r="C69" s="176">
        <v>0.9</v>
      </c>
      <c r="D69" s="82"/>
      <c r="E69" s="414">
        <f t="shared" ref="E69:E77" si="4">E$65*(C$68+1)/(E$44*C69)</f>
        <v>462.94193325096575</v>
      </c>
      <c r="F69" s="73"/>
      <c r="G69" s="175" t="s">
        <v>292</v>
      </c>
      <c r="H69" s="130"/>
      <c r="I69" s="176">
        <v>0.9</v>
      </c>
      <c r="J69" s="82"/>
      <c r="K69" s="178">
        <f t="shared" ref="K69:K77" si="5">K$65*(I$68+1)/(K$44*I69)</f>
        <v>385.95179401170338</v>
      </c>
      <c r="L69" s="77"/>
      <c r="M69" s="411" t="s">
        <v>292</v>
      </c>
      <c r="N69" s="385"/>
      <c r="O69" s="412">
        <v>0.9</v>
      </c>
      <c r="P69" s="370"/>
      <c r="Q69" s="414">
        <f t="shared" ref="Q69:Q77" si="6">Q$65*(O$68+1)/(Q$44*O69)</f>
        <v>310.72407099502988</v>
      </c>
      <c r="R69" s="158"/>
      <c r="S69" s="411" t="s">
        <v>292</v>
      </c>
      <c r="T69" s="385"/>
      <c r="U69" s="412">
        <v>0.9</v>
      </c>
      <c r="V69" s="370"/>
      <c r="W69" s="414">
        <f t="shared" ref="W69:W77" si="7">W$65*(U$68+1)/(W$44*U69)</f>
        <v>284.24899102464855</v>
      </c>
      <c r="X69" s="73"/>
      <c r="Y69" s="153"/>
      <c r="Z69" s="153"/>
      <c r="AA69" s="153"/>
      <c r="AB69" s="153"/>
      <c r="AC69" s="213"/>
    </row>
    <row r="70" spans="1:31" ht="13.5" thickBot="1" x14ac:dyDescent="0.25">
      <c r="A70" s="181"/>
      <c r="B70" s="73"/>
      <c r="C70" s="182">
        <v>0.85</v>
      </c>
      <c r="D70" s="77"/>
      <c r="E70" s="178">
        <f t="shared" si="4"/>
        <v>490.17381167749312</v>
      </c>
      <c r="G70" s="181"/>
      <c r="H70" s="73"/>
      <c r="I70" s="182">
        <v>0.85</v>
      </c>
      <c r="J70" s="77"/>
      <c r="K70" s="178">
        <f t="shared" si="5"/>
        <v>408.65484071827416</v>
      </c>
      <c r="M70" s="415"/>
      <c r="N70" s="125"/>
      <c r="O70" s="416">
        <v>0.85</v>
      </c>
      <c r="P70" s="158"/>
      <c r="Q70" s="414">
        <f t="shared" si="6"/>
        <v>329.00195752414925</v>
      </c>
      <c r="R70" s="158"/>
      <c r="S70" s="415"/>
      <c r="T70" s="125"/>
      <c r="U70" s="416">
        <v>0.85</v>
      </c>
      <c r="V70" s="158"/>
      <c r="W70" s="414">
        <f t="shared" si="7"/>
        <v>300.96951990845145</v>
      </c>
      <c r="X70" s="169"/>
      <c r="Y70" s="153"/>
      <c r="Z70" s="212"/>
      <c r="AA70" s="212"/>
      <c r="AB70" s="212"/>
      <c r="AC70" s="73"/>
      <c r="AD70" s="72"/>
      <c r="AE70" s="72"/>
    </row>
    <row r="71" spans="1:31" ht="13.5" thickBot="1" x14ac:dyDescent="0.25">
      <c r="A71" s="181"/>
      <c r="B71" s="73"/>
      <c r="C71" s="182">
        <v>0.8</v>
      </c>
      <c r="D71" s="77"/>
      <c r="E71" s="178">
        <f t="shared" si="4"/>
        <v>520.80967490733644</v>
      </c>
      <c r="G71" s="181"/>
      <c r="H71" s="73"/>
      <c r="I71" s="182">
        <v>0.8</v>
      </c>
      <c r="J71" s="77"/>
      <c r="K71" s="178">
        <f t="shared" si="5"/>
        <v>434.19576826316631</v>
      </c>
      <c r="M71" s="415"/>
      <c r="N71" s="125"/>
      <c r="O71" s="416">
        <v>0.8</v>
      </c>
      <c r="P71" s="158"/>
      <c r="Q71" s="414">
        <f t="shared" si="6"/>
        <v>349.56457986940859</v>
      </c>
      <c r="R71" s="158"/>
      <c r="S71" s="415"/>
      <c r="T71" s="125"/>
      <c r="U71" s="416">
        <v>0.8</v>
      </c>
      <c r="V71" s="158"/>
      <c r="W71" s="414">
        <f t="shared" si="7"/>
        <v>319.78011490272962</v>
      </c>
      <c r="X71" s="169"/>
      <c r="Y71" s="214"/>
      <c r="Z71" s="214"/>
      <c r="AA71" s="214"/>
      <c r="AB71" s="214"/>
      <c r="AC71" s="73"/>
      <c r="AD71" s="72"/>
      <c r="AE71" s="72"/>
    </row>
    <row r="72" spans="1:31" ht="13.5" thickBot="1" x14ac:dyDescent="0.25">
      <c r="A72" s="181"/>
      <c r="B72" s="73"/>
      <c r="C72" s="182">
        <v>0.75</v>
      </c>
      <c r="D72" s="77"/>
      <c r="E72" s="178">
        <f t="shared" si="4"/>
        <v>555.53031990115892</v>
      </c>
      <c r="G72" s="181"/>
      <c r="H72" s="73"/>
      <c r="I72" s="182">
        <v>0.75</v>
      </c>
      <c r="J72" s="77"/>
      <c r="K72" s="178">
        <f t="shared" si="5"/>
        <v>463.14215281404404</v>
      </c>
      <c r="M72" s="415"/>
      <c r="N72" s="125"/>
      <c r="O72" s="416">
        <v>0.75</v>
      </c>
      <c r="P72" s="158"/>
      <c r="Q72" s="414">
        <f t="shared" si="6"/>
        <v>372.86888519403584</v>
      </c>
      <c r="R72" s="158"/>
      <c r="S72" s="415"/>
      <c r="T72" s="125"/>
      <c r="U72" s="416">
        <v>0.75</v>
      </c>
      <c r="V72" s="158"/>
      <c r="W72" s="414">
        <f t="shared" si="7"/>
        <v>341.0987892295783</v>
      </c>
      <c r="X72" s="169"/>
      <c r="Y72" s="209"/>
      <c r="Z72" s="210"/>
      <c r="AA72" s="211"/>
      <c r="AB72" s="210"/>
      <c r="AC72" s="73"/>
      <c r="AD72" s="72"/>
      <c r="AE72" s="72"/>
    </row>
    <row r="73" spans="1:31" ht="13.5" thickBot="1" x14ac:dyDescent="0.25">
      <c r="A73" s="181"/>
      <c r="B73" s="73"/>
      <c r="C73" s="182">
        <v>0.7</v>
      </c>
      <c r="D73" s="77"/>
      <c r="E73" s="178">
        <f t="shared" si="4"/>
        <v>595.21105703695594</v>
      </c>
      <c r="G73" s="181"/>
      <c r="H73" s="73"/>
      <c r="I73" s="182">
        <v>0.7</v>
      </c>
      <c r="J73" s="77"/>
      <c r="K73" s="178">
        <f t="shared" si="5"/>
        <v>496.2237351579044</v>
      </c>
      <c r="M73" s="415"/>
      <c r="N73" s="125"/>
      <c r="O73" s="416">
        <v>0.7</v>
      </c>
      <c r="P73" s="158"/>
      <c r="Q73" s="414">
        <f t="shared" si="6"/>
        <v>399.50237699360986</v>
      </c>
      <c r="R73" s="158"/>
      <c r="S73" s="415"/>
      <c r="T73" s="125"/>
      <c r="U73" s="416">
        <v>0.7</v>
      </c>
      <c r="V73" s="158"/>
      <c r="W73" s="414">
        <f t="shared" si="7"/>
        <v>365.46298846026247</v>
      </c>
      <c r="X73" s="169"/>
      <c r="Y73" s="153"/>
      <c r="Z73" s="153"/>
      <c r="AA73" s="153"/>
      <c r="AB73" s="153"/>
      <c r="AC73" s="73"/>
      <c r="AD73" s="72"/>
      <c r="AE73" s="72"/>
    </row>
    <row r="74" spans="1:31" ht="13.5" thickBot="1" x14ac:dyDescent="0.25">
      <c r="A74" s="181"/>
      <c r="B74" s="73"/>
      <c r="C74" s="182">
        <v>0.65</v>
      </c>
      <c r="D74" s="77"/>
      <c r="E74" s="178">
        <f t="shared" si="4"/>
        <v>640.99652296287559</v>
      </c>
      <c r="G74" s="181"/>
      <c r="H74" s="73"/>
      <c r="I74" s="182">
        <v>0.65</v>
      </c>
      <c r="J74" s="77"/>
      <c r="K74" s="178">
        <f t="shared" si="5"/>
        <v>534.39479170851234</v>
      </c>
      <c r="M74" s="415"/>
      <c r="N74" s="125"/>
      <c r="O74" s="416">
        <v>0.65</v>
      </c>
      <c r="P74" s="158"/>
      <c r="Q74" s="414">
        <f t="shared" si="6"/>
        <v>430.23332907004135</v>
      </c>
      <c r="R74" s="158"/>
      <c r="S74" s="415"/>
      <c r="T74" s="125"/>
      <c r="U74" s="416">
        <v>0.65</v>
      </c>
      <c r="V74" s="158"/>
      <c r="W74" s="414">
        <f t="shared" si="7"/>
        <v>393.57552603412881</v>
      </c>
      <c r="X74" s="169"/>
      <c r="Y74" s="153"/>
      <c r="Z74" s="153"/>
      <c r="AA74" s="153"/>
      <c r="AB74" s="153"/>
      <c r="AC74" s="73"/>
      <c r="AD74" s="72"/>
      <c r="AE74" s="72"/>
    </row>
    <row r="75" spans="1:31" ht="13.5" thickBot="1" x14ac:dyDescent="0.25">
      <c r="A75" s="181"/>
      <c r="B75" s="73"/>
      <c r="C75" s="182">
        <v>0.6</v>
      </c>
      <c r="D75" s="77"/>
      <c r="E75" s="178">
        <f t="shared" si="4"/>
        <v>694.41289987644859</v>
      </c>
      <c r="G75" s="181"/>
      <c r="H75" s="73"/>
      <c r="I75" s="182">
        <v>0.6</v>
      </c>
      <c r="J75" s="77"/>
      <c r="K75" s="178">
        <f t="shared" si="5"/>
        <v>578.92769101755505</v>
      </c>
      <c r="M75" s="415"/>
      <c r="N75" s="125"/>
      <c r="O75" s="416">
        <v>0.6</v>
      </c>
      <c r="P75" s="158"/>
      <c r="Q75" s="414">
        <f t="shared" si="6"/>
        <v>466.08610649254479</v>
      </c>
      <c r="R75" s="158"/>
      <c r="S75" s="415"/>
      <c r="T75" s="125"/>
      <c r="U75" s="416">
        <v>0.6</v>
      </c>
      <c r="V75" s="158"/>
      <c r="W75" s="414">
        <f t="shared" si="7"/>
        <v>426.37348653697285</v>
      </c>
      <c r="X75" s="169"/>
      <c r="Z75" s="73"/>
      <c r="AA75" s="73"/>
      <c r="AB75" s="73"/>
      <c r="AC75" s="73"/>
      <c r="AD75" s="72"/>
      <c r="AE75" s="72"/>
    </row>
    <row r="76" spans="1:31" ht="13.5" thickBot="1" x14ac:dyDescent="0.25">
      <c r="A76" s="181"/>
      <c r="B76" s="73"/>
      <c r="C76" s="182">
        <v>0.55000000000000004</v>
      </c>
      <c r="D76" s="77"/>
      <c r="E76" s="178">
        <f t="shared" si="4"/>
        <v>757.54134531976206</v>
      </c>
      <c r="G76" s="181"/>
      <c r="H76" s="73"/>
      <c r="I76" s="182">
        <v>0.55000000000000004</v>
      </c>
      <c r="J76" s="77"/>
      <c r="K76" s="178">
        <f t="shared" si="5"/>
        <v>631.55748111005994</v>
      </c>
      <c r="M76" s="415"/>
      <c r="N76" s="125"/>
      <c r="O76" s="416">
        <v>0.55000000000000004</v>
      </c>
      <c r="P76" s="158"/>
      <c r="Q76" s="414">
        <f t="shared" si="6"/>
        <v>508.45757071913971</v>
      </c>
      <c r="R76" s="158"/>
      <c r="S76" s="415"/>
      <c r="T76" s="125"/>
      <c r="U76" s="416">
        <v>0.55000000000000004</v>
      </c>
      <c r="V76" s="158"/>
      <c r="W76" s="414">
        <f t="shared" si="7"/>
        <v>465.13471258578858</v>
      </c>
      <c r="X76" s="169"/>
      <c r="Y76" s="180"/>
      <c r="Z76" s="172"/>
      <c r="AA76" s="73"/>
      <c r="AB76" s="73"/>
      <c r="AC76" s="73"/>
      <c r="AD76" s="72"/>
      <c r="AE76" s="72"/>
    </row>
    <row r="77" spans="1:31" ht="13.5" thickBot="1" x14ac:dyDescent="0.25">
      <c r="A77" s="189"/>
      <c r="B77" s="190"/>
      <c r="C77" s="191">
        <v>0.5</v>
      </c>
      <c r="D77" s="192"/>
      <c r="E77" s="1081">
        <f t="shared" si="4"/>
        <v>833.29547985173826</v>
      </c>
      <c r="G77" s="189"/>
      <c r="H77" s="190"/>
      <c r="I77" s="191">
        <v>0.5</v>
      </c>
      <c r="J77" s="192"/>
      <c r="K77" s="1081">
        <f t="shared" si="5"/>
        <v>694.71322922106606</v>
      </c>
      <c r="M77" s="418"/>
      <c r="N77" s="419"/>
      <c r="O77" s="420">
        <v>0.5</v>
      </c>
      <c r="P77" s="421"/>
      <c r="Q77" s="1082">
        <f t="shared" si="6"/>
        <v>559.30332779105379</v>
      </c>
      <c r="R77" s="158"/>
      <c r="S77" s="418"/>
      <c r="T77" s="419"/>
      <c r="U77" s="420">
        <v>0.5</v>
      </c>
      <c r="V77" s="421"/>
      <c r="W77" s="1082">
        <f t="shared" si="7"/>
        <v>511.64818384436745</v>
      </c>
      <c r="X77" s="169"/>
      <c r="Z77" s="186"/>
      <c r="AA77" s="73"/>
      <c r="AB77" s="106"/>
      <c r="AC77" s="198"/>
      <c r="AD77" s="71"/>
      <c r="AE77" s="71"/>
    </row>
    <row r="78" spans="1:31" x14ac:dyDescent="0.2">
      <c r="G78" s="72"/>
      <c r="H78" s="72"/>
      <c r="I78" s="72"/>
      <c r="J78" s="72"/>
      <c r="K78" s="72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69"/>
      <c r="Y78" s="185"/>
      <c r="Z78" s="186"/>
      <c r="AA78" s="73"/>
      <c r="AB78" s="73"/>
      <c r="AC78" s="106"/>
      <c r="AD78" s="101"/>
      <c r="AE78" s="101"/>
    </row>
    <row r="79" spans="1:31" ht="15" customHeight="1" x14ac:dyDescent="0.2">
      <c r="G79" s="72"/>
      <c r="H79" s="72"/>
      <c r="I79" s="72"/>
      <c r="J79" s="72"/>
      <c r="K79" s="72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72"/>
      <c r="Y79" s="185"/>
      <c r="Z79" s="197"/>
      <c r="AA79" s="198"/>
      <c r="AB79" s="73"/>
      <c r="AC79" s="73"/>
      <c r="AD79" s="72"/>
      <c r="AE79" s="72"/>
    </row>
    <row r="80" spans="1:31" ht="15" customHeight="1" x14ac:dyDescent="0.2">
      <c r="G80" s="72"/>
      <c r="H80" s="72"/>
      <c r="I80" s="72"/>
      <c r="J80" s="72"/>
      <c r="K80" s="72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72"/>
      <c r="Y80" s="185"/>
      <c r="Z80" s="197"/>
      <c r="AA80" s="198"/>
      <c r="AB80" s="73"/>
      <c r="AC80" s="73"/>
      <c r="AD80" s="72"/>
      <c r="AE80" s="72"/>
    </row>
    <row r="81" spans="1:31" ht="15" customHeight="1" x14ac:dyDescent="0.2">
      <c r="G81" s="72"/>
      <c r="H81" s="72"/>
      <c r="I81" s="72"/>
      <c r="J81" s="72"/>
      <c r="K81" s="72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72"/>
      <c r="Y81" s="185"/>
      <c r="Z81" s="197"/>
      <c r="AA81" s="198"/>
      <c r="AB81" s="73"/>
      <c r="AC81" s="73"/>
      <c r="AD81" s="72"/>
      <c r="AE81" s="72"/>
    </row>
    <row r="82" spans="1:31" ht="15" customHeight="1" thickBot="1" x14ac:dyDescent="0.25">
      <c r="A82" s="77"/>
      <c r="B82" s="78"/>
      <c r="C82" s="74"/>
      <c r="D82" s="75"/>
      <c r="E82" s="76"/>
      <c r="F82" s="77"/>
      <c r="G82" s="77"/>
      <c r="H82" s="78"/>
      <c r="I82" s="74"/>
      <c r="J82" s="75"/>
      <c r="K82" s="76"/>
      <c r="L82" s="73"/>
      <c r="M82" s="143"/>
      <c r="Q82" s="143"/>
      <c r="S82" s="143"/>
      <c r="W82" s="143"/>
      <c r="X82" s="72"/>
      <c r="Y82" s="185"/>
      <c r="Z82" s="197"/>
      <c r="AA82" s="198"/>
      <c r="AB82" s="73"/>
      <c r="AC82" s="73"/>
      <c r="AD82" s="72"/>
      <c r="AE82" s="72"/>
    </row>
    <row r="83" spans="1:31" ht="13.5" thickBot="1" x14ac:dyDescent="0.25">
      <c r="A83" s="1119" t="s">
        <v>298</v>
      </c>
      <c r="B83" s="1120"/>
      <c r="X83" s="215"/>
      <c r="Y83" s="196"/>
      <c r="Z83" s="197"/>
      <c r="AA83" s="198"/>
      <c r="AB83" s="73"/>
      <c r="AC83" s="73"/>
      <c r="AD83" s="72"/>
      <c r="AE83" s="72"/>
    </row>
    <row r="84" spans="1:31" x14ac:dyDescent="0.2">
      <c r="A84" s="78"/>
      <c r="B84" s="74"/>
      <c r="C84" s="90" t="s">
        <v>255</v>
      </c>
      <c r="D84" s="91"/>
      <c r="E84" s="92"/>
      <c r="F84" s="93"/>
      <c r="I84" s="90" t="s">
        <v>256</v>
      </c>
      <c r="J84" s="91"/>
      <c r="K84" s="92"/>
      <c r="M84" s="144"/>
      <c r="N84" s="74"/>
      <c r="O84" s="366" t="s">
        <v>257</v>
      </c>
      <c r="P84" s="367"/>
      <c r="Q84" s="368"/>
      <c r="R84" s="369"/>
      <c r="S84" s="144"/>
      <c r="T84" s="74"/>
      <c r="U84" s="366" t="s">
        <v>258</v>
      </c>
      <c r="V84" s="367"/>
      <c r="W84" s="368"/>
      <c r="AB84" s="184"/>
      <c r="AC84" s="77"/>
      <c r="AD84" s="72"/>
      <c r="AE84" s="72"/>
    </row>
    <row r="85" spans="1:31" x14ac:dyDescent="0.2">
      <c r="A85" s="94" t="s">
        <v>261</v>
      </c>
      <c r="B85" s="95" t="s">
        <v>339</v>
      </c>
      <c r="C85" s="96" t="s">
        <v>262</v>
      </c>
      <c r="D85" s="97">
        <v>365</v>
      </c>
      <c r="E85" s="98">
        <f>D85*B86</f>
        <v>4380</v>
      </c>
      <c r="F85" s="99"/>
      <c r="G85" s="94" t="s">
        <v>261</v>
      </c>
      <c r="H85" s="100" t="s">
        <v>340</v>
      </c>
      <c r="I85" s="96" t="s">
        <v>262</v>
      </c>
      <c r="J85" s="97">
        <v>365</v>
      </c>
      <c r="K85" s="98">
        <f>H86*J85</f>
        <v>5657.5</v>
      </c>
      <c r="L85" s="101"/>
      <c r="M85" s="216" t="s">
        <v>261</v>
      </c>
      <c r="N85" s="102" t="s">
        <v>263</v>
      </c>
      <c r="O85" s="371" t="s">
        <v>262</v>
      </c>
      <c r="P85" s="97">
        <v>365</v>
      </c>
      <c r="Q85" s="372">
        <f>N86*P85</f>
        <v>7300</v>
      </c>
      <c r="R85" s="218"/>
      <c r="S85" s="216" t="s">
        <v>261</v>
      </c>
      <c r="T85" s="102" t="s">
        <v>264</v>
      </c>
      <c r="U85" s="371" t="s">
        <v>262</v>
      </c>
      <c r="V85" s="97">
        <v>365</v>
      </c>
      <c r="W85" s="372">
        <f>T86*V85</f>
        <v>9125</v>
      </c>
      <c r="X85" s="93"/>
      <c r="Y85" s="184"/>
      <c r="AA85" s="73"/>
      <c r="AB85" s="73"/>
      <c r="AC85" s="73"/>
      <c r="AD85" s="72"/>
      <c r="AE85" s="72"/>
    </row>
    <row r="86" spans="1:31" s="101" customFormat="1" x14ac:dyDescent="0.2">
      <c r="A86" s="94"/>
      <c r="B86" s="102">
        <v>12</v>
      </c>
      <c r="C86" s="96"/>
      <c r="D86" s="97"/>
      <c r="E86" s="98"/>
      <c r="F86" s="99"/>
      <c r="G86" s="94"/>
      <c r="H86" s="102">
        <v>15.5</v>
      </c>
      <c r="I86" s="96"/>
      <c r="J86" s="97"/>
      <c r="K86" s="98"/>
      <c r="M86" s="216"/>
      <c r="N86" s="102">
        <v>20</v>
      </c>
      <c r="O86" s="371"/>
      <c r="P86" s="97"/>
      <c r="Q86" s="372"/>
      <c r="R86" s="218"/>
      <c r="S86" s="216"/>
      <c r="T86" s="102">
        <v>25</v>
      </c>
      <c r="U86" s="371"/>
      <c r="V86" s="97"/>
      <c r="W86" s="372"/>
      <c r="X86" s="99"/>
      <c r="Y86" s="106"/>
      <c r="Z86" s="106"/>
      <c r="AA86" s="106"/>
      <c r="AB86" s="106"/>
      <c r="AC86" s="106"/>
    </row>
    <row r="87" spans="1:31" s="101" customFormat="1" x14ac:dyDescent="0.2">
      <c r="A87" s="94"/>
      <c r="B87" s="102"/>
      <c r="C87" s="108"/>
      <c r="D87" s="97"/>
      <c r="E87" s="98"/>
      <c r="F87" s="99"/>
      <c r="G87" s="94"/>
      <c r="H87" s="102"/>
      <c r="I87" s="96"/>
      <c r="J87" s="97"/>
      <c r="K87" s="98"/>
      <c r="M87" s="216"/>
      <c r="N87" s="102"/>
      <c r="O87" s="371"/>
      <c r="P87" s="97"/>
      <c r="Q87" s="372"/>
      <c r="R87" s="218"/>
      <c r="S87" s="216"/>
      <c r="T87" s="102"/>
      <c r="U87" s="371"/>
      <c r="V87" s="97"/>
      <c r="W87" s="372"/>
      <c r="X87" s="99"/>
      <c r="Y87" s="106"/>
      <c r="Z87" s="106"/>
      <c r="AA87" s="106"/>
      <c r="AB87" s="106"/>
      <c r="AC87" s="106"/>
    </row>
    <row r="88" spans="1:31" s="101" customFormat="1" ht="38.25" x14ac:dyDescent="0.2">
      <c r="A88" s="356"/>
      <c r="B88" s="292" t="s">
        <v>269</v>
      </c>
      <c r="C88" s="293" t="s">
        <v>341</v>
      </c>
      <c r="D88" s="294" t="s">
        <v>270</v>
      </c>
      <c r="E88" s="293" t="s">
        <v>342</v>
      </c>
      <c r="F88" s="207"/>
      <c r="G88" s="356"/>
      <c r="H88" s="292" t="s">
        <v>269</v>
      </c>
      <c r="I88" s="293" t="s">
        <v>341</v>
      </c>
      <c r="J88" s="294" t="s">
        <v>270</v>
      </c>
      <c r="K88" s="293" t="s">
        <v>342</v>
      </c>
      <c r="L88" s="357"/>
      <c r="M88" s="375"/>
      <c r="N88" s="376" t="s">
        <v>269</v>
      </c>
      <c r="O88" s="377" t="s">
        <v>341</v>
      </c>
      <c r="P88" s="378" t="s">
        <v>270</v>
      </c>
      <c r="Q88" s="377" t="s">
        <v>342</v>
      </c>
      <c r="R88" s="379"/>
      <c r="S88" s="375"/>
      <c r="T88" s="376" t="s">
        <v>269</v>
      </c>
      <c r="U88" s="377" t="s">
        <v>341</v>
      </c>
      <c r="V88" s="378" t="s">
        <v>270</v>
      </c>
      <c r="W88" s="377" t="s">
        <v>342</v>
      </c>
      <c r="X88" s="99"/>
      <c r="Y88" s="106"/>
      <c r="Z88" s="204"/>
      <c r="AA88" s="106"/>
      <c r="AB88" s="106"/>
      <c r="AC88" s="106"/>
    </row>
    <row r="89" spans="1:31" s="357" customFormat="1" ht="28.5" customHeight="1" x14ac:dyDescent="0.2">
      <c r="A89" s="380" t="s">
        <v>272</v>
      </c>
      <c r="B89" s="381"/>
      <c r="C89" s="382">
        <f>$AC$10</f>
        <v>65368.626426372299</v>
      </c>
      <c r="D89" s="124">
        <f>AB17</f>
        <v>2.15</v>
      </c>
      <c r="E89" s="157">
        <f>C89*D89</f>
        <v>140542.54681670043</v>
      </c>
      <c r="F89" s="158"/>
      <c r="G89" s="380" t="s">
        <v>272</v>
      </c>
      <c r="H89" s="381"/>
      <c r="I89" s="382">
        <f>$AC$10</f>
        <v>65368.626426372299</v>
      </c>
      <c r="J89" s="124">
        <f>AC17</f>
        <v>2.15</v>
      </c>
      <c r="K89" s="157">
        <f>I89*J89</f>
        <v>140542.54681670043</v>
      </c>
      <c r="L89" s="157"/>
      <c r="M89" s="380" t="s">
        <v>272</v>
      </c>
      <c r="N89" s="381"/>
      <c r="O89" s="382">
        <f>$AC$10</f>
        <v>65368.626426372299</v>
      </c>
      <c r="P89" s="124">
        <f>AD17</f>
        <v>2.15</v>
      </c>
      <c r="Q89" s="157">
        <f>O89*P89</f>
        <v>140542.54681670043</v>
      </c>
      <c r="R89" s="158"/>
      <c r="S89" s="380" t="s">
        <v>272</v>
      </c>
      <c r="T89" s="381"/>
      <c r="U89" s="382">
        <f>$AC$10</f>
        <v>65368.626426372299</v>
      </c>
      <c r="V89" s="124">
        <f>AE17</f>
        <v>2.15</v>
      </c>
      <c r="W89" s="157">
        <f>U89*V89</f>
        <v>140542.54681670043</v>
      </c>
      <c r="X89" s="207"/>
      <c r="Y89" s="205"/>
      <c r="Z89" s="205"/>
      <c r="AA89" s="205"/>
      <c r="AB89" s="205"/>
      <c r="AC89" s="354"/>
    </row>
    <row r="90" spans="1:31" s="75" customFormat="1" x14ac:dyDescent="0.2">
      <c r="A90" s="380" t="s">
        <v>273</v>
      </c>
      <c r="B90" s="381"/>
      <c r="C90" s="382">
        <f>$AC$11</f>
        <v>56879.606800509006</v>
      </c>
      <c r="D90" s="124">
        <f>AB18</f>
        <v>3</v>
      </c>
      <c r="E90" s="157">
        <f>C90*D90</f>
        <v>170638.82040152702</v>
      </c>
      <c r="F90" s="158"/>
      <c r="G90" s="380" t="s">
        <v>273</v>
      </c>
      <c r="H90" s="381"/>
      <c r="I90" s="382">
        <f>$AC$11</f>
        <v>56879.606800509006</v>
      </c>
      <c r="J90" s="124">
        <f>$AC$18</f>
        <v>3</v>
      </c>
      <c r="K90" s="157">
        <f>I90*J90</f>
        <v>170638.82040152702</v>
      </c>
      <c r="L90" s="157"/>
      <c r="M90" s="380" t="s">
        <v>273</v>
      </c>
      <c r="N90" s="381"/>
      <c r="O90" s="382">
        <f>$AC$11</f>
        <v>56879.606800509006</v>
      </c>
      <c r="P90" s="124">
        <f>AD18</f>
        <v>3</v>
      </c>
      <c r="Q90" s="157">
        <f>O90*P90</f>
        <v>170638.82040152702</v>
      </c>
      <c r="R90" s="158"/>
      <c r="S90" s="380" t="s">
        <v>273</v>
      </c>
      <c r="T90" s="381"/>
      <c r="U90" s="382">
        <f>$AC$11</f>
        <v>56879.606800509006</v>
      </c>
      <c r="V90" s="124">
        <f>AE18</f>
        <v>4</v>
      </c>
      <c r="W90" s="157">
        <f>U90*V90</f>
        <v>227518.42720203602</v>
      </c>
      <c r="X90" s="77"/>
      <c r="Y90" s="87"/>
      <c r="Z90" s="77"/>
      <c r="AA90" s="77"/>
      <c r="AB90" s="77"/>
      <c r="AC90" s="77"/>
    </row>
    <row r="91" spans="1:31" s="75" customFormat="1" x14ac:dyDescent="0.2">
      <c r="A91" s="383" t="s">
        <v>275</v>
      </c>
      <c r="B91" s="124">
        <f>AB27</f>
        <v>0.57999999999999996</v>
      </c>
      <c r="C91" s="382">
        <f>$AC$12</f>
        <v>34055.717454304911</v>
      </c>
      <c r="D91" s="124">
        <f>B86/B91</f>
        <v>20.689655172413794</v>
      </c>
      <c r="E91" s="157">
        <f>C91*D91</f>
        <v>704601.05077872227</v>
      </c>
      <c r="F91" s="158"/>
      <c r="G91" s="383" t="s">
        <v>275</v>
      </c>
      <c r="H91" s="124">
        <f>AC27</f>
        <v>0.69099999999999995</v>
      </c>
      <c r="I91" s="382">
        <f>$AC$12</f>
        <v>34055.717454304911</v>
      </c>
      <c r="J91" s="124">
        <f>H86/H91</f>
        <v>22.431259044862522</v>
      </c>
      <c r="K91" s="157">
        <f>I91*J91</f>
        <v>763912.62017615954</v>
      </c>
      <c r="L91" s="243"/>
      <c r="M91" s="383" t="s">
        <v>275</v>
      </c>
      <c r="N91" s="124">
        <f>AD27</f>
        <v>0.89149999999999996</v>
      </c>
      <c r="O91" s="382">
        <f>$AC$12</f>
        <v>34055.717454304911</v>
      </c>
      <c r="P91" s="124">
        <f>N86/N91</f>
        <v>22.434099831744252</v>
      </c>
      <c r="Q91" s="157">
        <f>O91*P91</f>
        <v>764009.36521155154</v>
      </c>
      <c r="R91" s="158"/>
      <c r="S91" s="383" t="s">
        <v>275</v>
      </c>
      <c r="T91" s="124">
        <f>'FTE Ratios'!$N$26</f>
        <v>0.93530864197530861</v>
      </c>
      <c r="U91" s="382">
        <f>$AC$12</f>
        <v>34055.717454304911</v>
      </c>
      <c r="V91" s="124">
        <f>T86/T91</f>
        <v>26.729144667370644</v>
      </c>
      <c r="W91" s="157">
        <f>U91*V91</f>
        <v>910280.19858721551</v>
      </c>
      <c r="X91" s="77"/>
      <c r="Y91" s="205"/>
      <c r="Z91" s="87"/>
      <c r="AA91" s="77"/>
      <c r="AB91" s="77"/>
      <c r="AC91" s="77"/>
    </row>
    <row r="92" spans="1:31" s="133" customFormat="1" x14ac:dyDescent="0.2">
      <c r="A92" s="380" t="s">
        <v>370</v>
      </c>
      <c r="B92" s="124"/>
      <c r="C92" s="382">
        <f>$AC$13</f>
        <v>33504.965890805717</v>
      </c>
      <c r="D92" s="124">
        <f>AB22</f>
        <v>3</v>
      </c>
      <c r="E92" s="157">
        <f>C92*D92</f>
        <v>100514.89767241715</v>
      </c>
      <c r="F92" s="158"/>
      <c r="G92" s="380" t="s">
        <v>370</v>
      </c>
      <c r="H92" s="124"/>
      <c r="I92" s="382">
        <f>$AC$13</f>
        <v>33504.965890805717</v>
      </c>
      <c r="J92" s="124">
        <f>AC22</f>
        <v>3</v>
      </c>
      <c r="K92" s="157">
        <f>I92*J92</f>
        <v>100514.89767241715</v>
      </c>
      <c r="L92" s="157"/>
      <c r="M92" s="380" t="s">
        <v>370</v>
      </c>
      <c r="N92" s="124"/>
      <c r="O92" s="382">
        <f>$AC$13</f>
        <v>33504.965890805717</v>
      </c>
      <c r="P92" s="124">
        <f>AD22</f>
        <v>3</v>
      </c>
      <c r="Q92" s="157">
        <f>O92*P92</f>
        <v>100514.89767241715</v>
      </c>
      <c r="R92" s="158"/>
      <c r="S92" s="380" t="s">
        <v>370</v>
      </c>
      <c r="T92" s="124"/>
      <c r="U92" s="382">
        <f>$AC$13</f>
        <v>33504.965890805717</v>
      </c>
      <c r="V92" s="124">
        <f>AE22</f>
        <v>4</v>
      </c>
      <c r="W92" s="157">
        <f>U92*V92</f>
        <v>134019.86356322287</v>
      </c>
      <c r="X92" s="77"/>
      <c r="Y92" s="86"/>
      <c r="Z92" s="87"/>
      <c r="AA92" s="88"/>
      <c r="AB92" s="88"/>
      <c r="AC92" s="88"/>
    </row>
    <row r="93" spans="1:31" s="133" customFormat="1" x14ac:dyDescent="0.2">
      <c r="A93" s="387" t="s">
        <v>277</v>
      </c>
      <c r="B93" s="387"/>
      <c r="C93" s="388"/>
      <c r="D93" s="389">
        <f>SUM(D89:D92)</f>
        <v>28.839655172413792</v>
      </c>
      <c r="E93" s="388">
        <f>SUM(E89:E92)</f>
        <v>1116297.3156693669</v>
      </c>
      <c r="F93" s="369"/>
      <c r="G93" s="387" t="s">
        <v>277</v>
      </c>
      <c r="H93" s="387"/>
      <c r="I93" s="388"/>
      <c r="J93" s="389">
        <f>SUM(J89:J92)</f>
        <v>30.58125904486252</v>
      </c>
      <c r="K93" s="388">
        <f>SUM(K89:K92)</f>
        <v>1175608.885066804</v>
      </c>
      <c r="L93" s="71"/>
      <c r="M93" s="387" t="s">
        <v>277</v>
      </c>
      <c r="N93" s="387"/>
      <c r="O93" s="388"/>
      <c r="P93" s="389">
        <f>SUM(P89:P92)</f>
        <v>30.584099831744254</v>
      </c>
      <c r="Q93" s="388">
        <f>SUM(Q89:Q92)</f>
        <v>1175705.6301021962</v>
      </c>
      <c r="R93" s="369"/>
      <c r="S93" s="387" t="s">
        <v>277</v>
      </c>
      <c r="T93" s="387"/>
      <c r="U93" s="388"/>
      <c r="V93" s="389">
        <f>SUM(V89:V92)</f>
        <v>36.879144667370646</v>
      </c>
      <c r="W93" s="388">
        <f>SUM(W89:W92)</f>
        <v>1412361.0361691748</v>
      </c>
      <c r="X93" s="77"/>
      <c r="Y93" s="86"/>
      <c r="Z93" s="87"/>
      <c r="AA93" s="88"/>
      <c r="AB93" s="88"/>
      <c r="AC93" s="88"/>
    </row>
    <row r="94" spans="1:31" s="75" customFormat="1" x14ac:dyDescent="0.2">
      <c r="A94" s="198"/>
      <c r="B94" s="198"/>
      <c r="C94" s="369"/>
      <c r="D94" s="390"/>
      <c r="E94" s="369"/>
      <c r="F94" s="369"/>
      <c r="G94" s="198"/>
      <c r="H94" s="198"/>
      <c r="I94" s="369"/>
      <c r="J94" s="390"/>
      <c r="K94" s="369"/>
      <c r="L94" s="71"/>
      <c r="M94" s="198"/>
      <c r="N94" s="198"/>
      <c r="O94" s="369"/>
      <c r="P94" s="390"/>
      <c r="Q94" s="369"/>
      <c r="R94" s="369"/>
      <c r="S94" s="198"/>
      <c r="T94" s="198"/>
      <c r="U94" s="369"/>
      <c r="V94" s="390"/>
      <c r="W94" s="369"/>
      <c r="X94" s="77"/>
      <c r="Y94" s="86"/>
      <c r="Z94" s="87"/>
      <c r="AA94" s="77"/>
      <c r="AB94" s="77"/>
      <c r="AC94" s="77"/>
    </row>
    <row r="95" spans="1:31" s="101" customFormat="1" x14ac:dyDescent="0.2">
      <c r="A95" s="391" t="s">
        <v>278</v>
      </c>
      <c r="B95" s="391"/>
      <c r="C95" s="392"/>
      <c r="D95" s="393" t="s">
        <v>279</v>
      </c>
      <c r="E95" s="392"/>
      <c r="F95" s="394"/>
      <c r="G95" s="391" t="s">
        <v>278</v>
      </c>
      <c r="H95" s="391"/>
      <c r="I95" s="392"/>
      <c r="J95" s="393" t="s">
        <v>279</v>
      </c>
      <c r="K95" s="392"/>
      <c r="L95" s="71"/>
      <c r="M95" s="391" t="s">
        <v>278</v>
      </c>
      <c r="N95" s="391"/>
      <c r="O95" s="392"/>
      <c r="P95" s="393" t="s">
        <v>279</v>
      </c>
      <c r="Q95" s="392"/>
      <c r="R95" s="394"/>
      <c r="S95" s="391" t="s">
        <v>278</v>
      </c>
      <c r="T95" s="391"/>
      <c r="U95" s="392"/>
      <c r="V95" s="393" t="s">
        <v>279</v>
      </c>
      <c r="W95" s="392"/>
      <c r="X95" s="93"/>
      <c r="Y95" s="86"/>
      <c r="Z95" s="87"/>
      <c r="AA95" s="106"/>
      <c r="AB95" s="106"/>
      <c r="AC95" s="106"/>
    </row>
    <row r="96" spans="1:31" s="101" customFormat="1" x14ac:dyDescent="0.2">
      <c r="A96" s="143" t="s">
        <v>280</v>
      </c>
      <c r="B96" s="144"/>
      <c r="C96" s="160">
        <f>$AB$30</f>
        <v>0.25578770213785851</v>
      </c>
      <c r="D96" s="395"/>
      <c r="E96" s="157">
        <f>C96*E93</f>
        <v>285535.12527772703</v>
      </c>
      <c r="F96" s="396"/>
      <c r="G96" s="143" t="s">
        <v>280</v>
      </c>
      <c r="H96" s="144"/>
      <c r="I96" s="160">
        <f>$AB$30</f>
        <v>0.25578770213785851</v>
      </c>
      <c r="J96" s="395"/>
      <c r="K96" s="157">
        <f>I96*K93</f>
        <v>300706.29532408761</v>
      </c>
      <c r="L96" s="144"/>
      <c r="M96" s="143" t="s">
        <v>280</v>
      </c>
      <c r="N96" s="144"/>
      <c r="O96" s="160">
        <f>$AB$30</f>
        <v>0.25578770213785851</v>
      </c>
      <c r="P96" s="395"/>
      <c r="Q96" s="157">
        <f>O96*Q93</f>
        <v>300731.0415143838</v>
      </c>
      <c r="R96" s="396"/>
      <c r="S96" s="143" t="s">
        <v>280</v>
      </c>
      <c r="T96" s="144"/>
      <c r="U96" s="160">
        <f>$AB$30</f>
        <v>0.25578770213785851</v>
      </c>
      <c r="V96" s="395"/>
      <c r="W96" s="157">
        <f>U96*W93</f>
        <v>361264.58403075812</v>
      </c>
      <c r="X96" s="93"/>
      <c r="Y96" s="86"/>
      <c r="Z96" s="87"/>
      <c r="AA96" s="106"/>
      <c r="AB96" s="106"/>
      <c r="AC96" s="106"/>
    </row>
    <row r="97" spans="1:31" s="101" customFormat="1" x14ac:dyDescent="0.2">
      <c r="A97" s="397" t="s">
        <v>282</v>
      </c>
      <c r="B97" s="397"/>
      <c r="C97" s="398"/>
      <c r="D97" s="151">
        <f>E97/E85</f>
        <v>320.05306870938222</v>
      </c>
      <c r="E97" s="399">
        <f>E96+E93</f>
        <v>1401832.440947094</v>
      </c>
      <c r="F97" s="158"/>
      <c r="G97" s="397" t="s">
        <v>282</v>
      </c>
      <c r="H97" s="397"/>
      <c r="I97" s="398"/>
      <c r="J97" s="151">
        <f>K97/K85</f>
        <v>260.94833060378113</v>
      </c>
      <c r="K97" s="399">
        <f>K96+K93</f>
        <v>1476315.1803908916</v>
      </c>
      <c r="L97" s="158"/>
      <c r="M97" s="397" t="s">
        <v>282</v>
      </c>
      <c r="N97" s="397"/>
      <c r="O97" s="398"/>
      <c r="P97" s="151">
        <f>Q97/Q85</f>
        <v>202.25159885158632</v>
      </c>
      <c r="Q97" s="399">
        <f>Q96+Q93</f>
        <v>1476436.6716165801</v>
      </c>
      <c r="R97" s="394"/>
      <c r="S97" s="397" t="s">
        <v>282</v>
      </c>
      <c r="T97" s="397"/>
      <c r="U97" s="398"/>
      <c r="V97" s="151">
        <f>W97/W85</f>
        <v>194.36993098081456</v>
      </c>
      <c r="W97" s="399">
        <f>W96+W93</f>
        <v>1773625.6201999329</v>
      </c>
      <c r="X97" s="114"/>
      <c r="Y97" s="20"/>
      <c r="Z97" s="87"/>
      <c r="AA97" s="106"/>
      <c r="AB97" s="106"/>
      <c r="AC97" s="106"/>
    </row>
    <row r="98" spans="1:31" s="78" customFormat="1" x14ac:dyDescent="0.2">
      <c r="A98" s="1083" t="s">
        <v>276</v>
      </c>
      <c r="B98" s="143"/>
      <c r="C98" s="157"/>
      <c r="D98" s="365"/>
      <c r="E98" s="157">
        <v>25000</v>
      </c>
      <c r="F98" s="158"/>
      <c r="G98" s="1083" t="s">
        <v>276</v>
      </c>
      <c r="H98" s="143"/>
      <c r="I98" s="157"/>
      <c r="J98" s="365"/>
      <c r="K98" s="157">
        <v>25000</v>
      </c>
      <c r="L98" s="158"/>
      <c r="M98" s="1083" t="s">
        <v>276</v>
      </c>
      <c r="N98" s="143"/>
      <c r="O98" s="157"/>
      <c r="P98" s="365"/>
      <c r="Q98" s="157">
        <v>30000</v>
      </c>
      <c r="R98" s="158"/>
      <c r="S98" s="1083" t="s">
        <v>276</v>
      </c>
      <c r="T98" s="143"/>
      <c r="U98" s="157"/>
      <c r="V98" s="365"/>
      <c r="W98" s="157">
        <v>30000</v>
      </c>
      <c r="X98" s="146"/>
      <c r="Y98" s="69"/>
      <c r="Z98" s="87"/>
      <c r="AA98" s="206"/>
      <c r="AB98" s="206"/>
      <c r="AC98" s="206"/>
    </row>
    <row r="99" spans="1:31" x14ac:dyDescent="0.2">
      <c r="A99" s="143" t="s">
        <v>91</v>
      </c>
      <c r="B99" s="143"/>
      <c r="C99" s="157"/>
      <c r="D99" s="124">
        <f>$AB$34</f>
        <v>5.2851727610295196</v>
      </c>
      <c r="E99" s="157">
        <f>D99*E$85</f>
        <v>23149.056693309296</v>
      </c>
      <c r="F99" s="158"/>
      <c r="G99" s="143" t="s">
        <v>91</v>
      </c>
      <c r="H99" s="143"/>
      <c r="I99" s="157"/>
      <c r="J99" s="124">
        <f>$AB$34</f>
        <v>5.2851727610295196</v>
      </c>
      <c r="K99" s="157">
        <f>J99*K$85</f>
        <v>29900.864895524508</v>
      </c>
      <c r="L99" s="158"/>
      <c r="M99" s="143" t="s">
        <v>91</v>
      </c>
      <c r="N99" s="143"/>
      <c r="O99" s="157"/>
      <c r="P99" s="124">
        <f>$AB$34</f>
        <v>5.2851727610295196</v>
      </c>
      <c r="Q99" s="157">
        <f>P99*Q$85</f>
        <v>38581.761155515494</v>
      </c>
      <c r="R99" s="158"/>
      <c r="S99" s="143" t="s">
        <v>91</v>
      </c>
      <c r="T99" s="143"/>
      <c r="U99" s="157"/>
      <c r="V99" s="124">
        <f>$AB$34</f>
        <v>5.2851727610295196</v>
      </c>
      <c r="W99" s="157">
        <f>V99*W$85</f>
        <v>48227.20144439437</v>
      </c>
      <c r="X99" s="114"/>
      <c r="Y99" s="125"/>
      <c r="Z99" s="73"/>
      <c r="AA99" s="73"/>
      <c r="AB99" s="73"/>
      <c r="AC99" s="73"/>
      <c r="AD99" s="72"/>
      <c r="AE99" s="72"/>
    </row>
    <row r="100" spans="1:31" x14ac:dyDescent="0.2">
      <c r="A100" s="143"/>
      <c r="B100" s="143"/>
      <c r="C100" s="157"/>
      <c r="D100" s="124"/>
      <c r="E100" s="157"/>
      <c r="F100" s="158"/>
      <c r="G100" s="143"/>
      <c r="H100" s="143"/>
      <c r="I100" s="157"/>
      <c r="J100" s="124"/>
      <c r="K100" s="157"/>
      <c r="L100" s="158"/>
      <c r="M100" s="143"/>
      <c r="N100" s="143"/>
      <c r="O100" s="157"/>
      <c r="P100" s="124"/>
      <c r="Q100" s="157"/>
      <c r="R100" s="158"/>
      <c r="S100" s="143"/>
      <c r="T100" s="143"/>
      <c r="U100" s="157"/>
      <c r="V100" s="124"/>
      <c r="W100" s="157"/>
      <c r="Y100" s="207"/>
      <c r="Z100" s="73"/>
      <c r="AA100" s="73"/>
      <c r="AB100" s="73"/>
      <c r="AC100" s="73"/>
      <c r="AD100" s="72"/>
      <c r="AE100" s="72"/>
    </row>
    <row r="101" spans="1:31" x14ac:dyDescent="0.2">
      <c r="A101" s="143" t="s">
        <v>283</v>
      </c>
      <c r="B101" s="143"/>
      <c r="C101" s="157"/>
      <c r="D101" s="124">
        <f>$AB$36</f>
        <v>18.364580498704061</v>
      </c>
      <c r="E101" s="157">
        <f>D101*E$85</f>
        <v>80436.862584323782</v>
      </c>
      <c r="F101" s="158"/>
      <c r="G101" s="143" t="s">
        <v>283</v>
      </c>
      <c r="H101" s="143"/>
      <c r="I101" s="157"/>
      <c r="J101" s="124">
        <f>$AB$36</f>
        <v>18.364580498704061</v>
      </c>
      <c r="K101" s="157">
        <f>J101*K$85</f>
        <v>103897.61417141823</v>
      </c>
      <c r="L101" s="158"/>
      <c r="M101" s="143" t="s">
        <v>283</v>
      </c>
      <c r="N101" s="143"/>
      <c r="O101" s="157"/>
      <c r="P101" s="124">
        <f>$AB$36</f>
        <v>18.364580498704061</v>
      </c>
      <c r="Q101" s="157">
        <f>P101*Q$85</f>
        <v>134061.43764053966</v>
      </c>
      <c r="R101" s="158"/>
      <c r="S101" s="143" t="s">
        <v>283</v>
      </c>
      <c r="T101" s="143"/>
      <c r="U101" s="157"/>
      <c r="V101" s="124">
        <f>$AB$36</f>
        <v>18.364580498704061</v>
      </c>
      <c r="W101" s="157">
        <f>V101*W$85</f>
        <v>167576.79705067456</v>
      </c>
      <c r="Y101" s="135"/>
      <c r="Z101" s="73"/>
      <c r="AA101" s="73"/>
      <c r="AB101" s="73"/>
      <c r="AC101" s="73"/>
      <c r="AD101" s="72"/>
      <c r="AE101" s="72"/>
    </row>
    <row r="102" spans="1:31" x14ac:dyDescent="0.2">
      <c r="A102" s="143"/>
      <c r="B102" s="143"/>
      <c r="C102" s="157"/>
      <c r="D102" s="159">
        <f>SUM(D99:D101)</f>
        <v>23.649753259733579</v>
      </c>
      <c r="E102" s="157"/>
      <c r="F102" s="158"/>
      <c r="G102" s="143"/>
      <c r="H102" s="143"/>
      <c r="I102" s="157"/>
      <c r="J102" s="159">
        <f>SUM(J99:J101)</f>
        <v>23.649753259733579</v>
      </c>
      <c r="K102" s="157"/>
      <c r="L102" s="158"/>
      <c r="M102" s="143"/>
      <c r="N102" s="143"/>
      <c r="O102" s="157"/>
      <c r="P102" s="159">
        <f>SUM(P99:P101)</f>
        <v>23.649753259733579</v>
      </c>
      <c r="Q102" s="157"/>
      <c r="R102" s="158"/>
      <c r="S102" s="143"/>
      <c r="T102" s="143"/>
      <c r="U102" s="157"/>
      <c r="V102" s="159">
        <f>SUM(V99:V101)</f>
        <v>23.649753259733579</v>
      </c>
      <c r="W102" s="157"/>
      <c r="X102" s="158"/>
      <c r="Y102" s="135"/>
      <c r="Z102" s="73"/>
      <c r="AA102" s="73"/>
      <c r="AB102" s="73"/>
      <c r="AC102" s="73"/>
      <c r="AD102" s="72"/>
      <c r="AE102" s="72"/>
    </row>
    <row r="103" spans="1:31" x14ac:dyDescent="0.2">
      <c r="A103" s="387" t="s">
        <v>371</v>
      </c>
      <c r="B103" s="387"/>
      <c r="C103" s="388"/>
      <c r="D103" s="389"/>
      <c r="E103" s="388">
        <f>SUM(E97:E101)</f>
        <v>1530418.3602247271</v>
      </c>
      <c r="F103" s="369"/>
      <c r="G103" s="387" t="s">
        <v>371</v>
      </c>
      <c r="H103" s="387"/>
      <c r="I103" s="388"/>
      <c r="J103" s="389"/>
      <c r="K103" s="388">
        <f>SUM(K97:K101)</f>
        <v>1635113.6594578342</v>
      </c>
      <c r="L103" s="158"/>
      <c r="M103" s="387" t="s">
        <v>371</v>
      </c>
      <c r="N103" s="387"/>
      <c r="O103" s="388"/>
      <c r="P103" s="389"/>
      <c r="Q103" s="388">
        <f>SUM(Q97:Q101)</f>
        <v>1679079.8704126352</v>
      </c>
      <c r="R103" s="369"/>
      <c r="S103" s="387" t="s">
        <v>371</v>
      </c>
      <c r="T103" s="387"/>
      <c r="U103" s="388"/>
      <c r="V103" s="389"/>
      <c r="W103" s="388">
        <f>SUM(W97:W101)</f>
        <v>2019429.618695002</v>
      </c>
      <c r="Y103" s="135"/>
      <c r="Z103" s="73"/>
      <c r="AA103" s="73"/>
      <c r="AB103" s="73"/>
      <c r="AC103" s="73"/>
      <c r="AD103" s="72"/>
      <c r="AE103" s="72"/>
    </row>
    <row r="104" spans="1:31" x14ac:dyDescent="0.2">
      <c r="A104" s="143" t="s">
        <v>286</v>
      </c>
      <c r="B104" s="143"/>
      <c r="C104" s="160">
        <f>$AB$42</f>
        <v>0.121061</v>
      </c>
      <c r="D104" s="124"/>
      <c r="E104" s="157">
        <f>C104*E103</f>
        <v>185273.9771071657</v>
      </c>
      <c r="F104" s="158"/>
      <c r="G104" s="143" t="s">
        <v>286</v>
      </c>
      <c r="H104" s="143"/>
      <c r="I104" s="160">
        <f>$AB$42</f>
        <v>0.121061</v>
      </c>
      <c r="J104" s="124"/>
      <c r="K104" s="157">
        <f>I104*K103</f>
        <v>197948.49472762487</v>
      </c>
      <c r="L104" s="158"/>
      <c r="M104" s="143" t="s">
        <v>286</v>
      </c>
      <c r="N104" s="143"/>
      <c r="O104" s="160">
        <f>$AB$42</f>
        <v>0.121061</v>
      </c>
      <c r="P104" s="124"/>
      <c r="Q104" s="157">
        <f>O104*Q103</f>
        <v>203271.08819202404</v>
      </c>
      <c r="R104" s="158"/>
      <c r="S104" s="143" t="s">
        <v>286</v>
      </c>
      <c r="T104" s="143"/>
      <c r="U104" s="160">
        <f>$AB$42</f>
        <v>0.121061</v>
      </c>
      <c r="V104" s="124"/>
      <c r="W104" s="157">
        <f>U104*W103</f>
        <v>244474.16906883565</v>
      </c>
      <c r="Y104" s="135"/>
      <c r="Z104" s="73"/>
      <c r="AA104" s="73"/>
      <c r="AB104" s="73"/>
      <c r="AC104" s="73"/>
      <c r="AD104" s="72"/>
      <c r="AE104" s="72"/>
    </row>
    <row r="105" spans="1:31" x14ac:dyDescent="0.2">
      <c r="A105" s="973" t="s">
        <v>539</v>
      </c>
      <c r="B105" s="974"/>
      <c r="C105" s="975">
        <f>AB41</f>
        <v>7.4999999999999997E-3</v>
      </c>
      <c r="D105" s="976"/>
      <c r="E105" s="973">
        <f>E93*C105</f>
        <v>8372.229867520251</v>
      </c>
      <c r="F105" s="977"/>
      <c r="G105" s="973" t="s">
        <v>539</v>
      </c>
      <c r="H105" s="974"/>
      <c r="I105" s="975">
        <f>AB41</f>
        <v>7.4999999999999997E-3</v>
      </c>
      <c r="J105" s="976"/>
      <c r="K105" s="973">
        <f>K93*I105</f>
        <v>8817.0666380010298</v>
      </c>
      <c r="L105" s="977"/>
      <c r="M105" s="973" t="s">
        <v>539</v>
      </c>
      <c r="N105" s="974"/>
      <c r="O105" s="975">
        <f>AB41</f>
        <v>7.4999999999999997E-3</v>
      </c>
      <c r="P105" s="976"/>
      <c r="Q105" s="973">
        <f>Q93*O105</f>
        <v>8817.7922257664723</v>
      </c>
      <c r="R105" s="977"/>
      <c r="S105" s="973" t="s">
        <v>539</v>
      </c>
      <c r="T105" s="974"/>
      <c r="U105" s="975">
        <f>AB41</f>
        <v>7.4999999999999997E-3</v>
      </c>
      <c r="V105" s="124"/>
      <c r="W105" s="973">
        <f>W93*U105</f>
        <v>10592.707771268811</v>
      </c>
      <c r="X105" s="93"/>
      <c r="Y105" s="135"/>
      <c r="Z105" s="73"/>
      <c r="AA105" s="73"/>
      <c r="AB105" s="73"/>
      <c r="AC105" s="73"/>
      <c r="AD105" s="72"/>
      <c r="AE105" s="72"/>
    </row>
    <row r="106" spans="1:31" ht="13.5" thickBot="1" x14ac:dyDescent="0.25">
      <c r="A106" s="401" t="s">
        <v>288</v>
      </c>
      <c r="B106" s="401"/>
      <c r="C106" s="402"/>
      <c r="D106" s="403"/>
      <c r="E106" s="404">
        <f>ROUND(SUM(E103:E105),2)</f>
        <v>1724064.57</v>
      </c>
      <c r="F106" s="369"/>
      <c r="G106" s="401" t="s">
        <v>288</v>
      </c>
      <c r="H106" s="401"/>
      <c r="I106" s="402"/>
      <c r="J106" s="403"/>
      <c r="K106" s="404">
        <f>ROUND(SUM(K103:K105),2)</f>
        <v>1841879.22</v>
      </c>
      <c r="L106" s="71"/>
      <c r="M106" s="401" t="s">
        <v>288</v>
      </c>
      <c r="N106" s="401"/>
      <c r="O106" s="402"/>
      <c r="P106" s="403"/>
      <c r="Q106" s="404">
        <f>ROUND(SUM(Q103:Q105),2)</f>
        <v>1891168.75</v>
      </c>
      <c r="R106" s="369"/>
      <c r="S106" s="401" t="s">
        <v>288</v>
      </c>
      <c r="T106" s="401"/>
      <c r="U106" s="402"/>
      <c r="V106" s="403"/>
      <c r="W106" s="404">
        <f>ROUND(SUM(W103:W105),2)</f>
        <v>2274496.5</v>
      </c>
      <c r="Y106" s="208"/>
      <c r="Z106" s="208"/>
      <c r="AA106" s="208"/>
      <c r="AB106" s="208"/>
      <c r="AC106" s="73"/>
      <c r="AD106" s="72"/>
      <c r="AE106" s="72"/>
    </row>
    <row r="107" spans="1:31" ht="13.5" thickTop="1" x14ac:dyDescent="0.2">
      <c r="A107" s="391"/>
      <c r="B107" s="391"/>
      <c r="C107" s="392"/>
      <c r="D107" s="405"/>
      <c r="E107" s="392"/>
      <c r="F107" s="394"/>
      <c r="G107" s="391"/>
      <c r="H107" s="391"/>
      <c r="I107" s="392"/>
      <c r="J107" s="405"/>
      <c r="K107" s="392"/>
      <c r="L107" s="71"/>
      <c r="M107" s="391"/>
      <c r="N107" s="391"/>
      <c r="O107" s="392"/>
      <c r="P107" s="405"/>
      <c r="Q107" s="392"/>
      <c r="R107" s="394"/>
      <c r="S107" s="391"/>
      <c r="T107" s="391"/>
      <c r="U107" s="392"/>
      <c r="V107" s="405"/>
      <c r="W107" s="392"/>
      <c r="Y107" s="208"/>
      <c r="Z107" s="208"/>
      <c r="AA107" s="208"/>
      <c r="AB107" s="208"/>
      <c r="AC107" s="73"/>
      <c r="AD107" s="72"/>
      <c r="AE107" s="72"/>
    </row>
    <row r="108" spans="1:31" s="101" customFormat="1" ht="15" customHeight="1" x14ac:dyDescent="0.2">
      <c r="A108" s="167" t="s">
        <v>289</v>
      </c>
      <c r="B108" s="167"/>
      <c r="C108" s="168"/>
      <c r="D108" s="168"/>
      <c r="E108" s="169">
        <f>E106/E85</f>
        <v>393.62204794520551</v>
      </c>
      <c r="F108" s="171"/>
      <c r="G108" s="167" t="s">
        <v>289</v>
      </c>
      <c r="H108" s="167"/>
      <c r="I108" s="168"/>
      <c r="J108" s="168"/>
      <c r="K108" s="169">
        <f>K106/K85</f>
        <v>325.56415731330094</v>
      </c>
      <c r="L108" s="170"/>
      <c r="M108" s="406" t="s">
        <v>289</v>
      </c>
      <c r="N108" s="406"/>
      <c r="O108" s="407"/>
      <c r="P108" s="407"/>
      <c r="Q108" s="408">
        <f>Q106/Q85</f>
        <v>259.0642123287671</v>
      </c>
      <c r="R108" s="409"/>
      <c r="S108" s="406" t="s">
        <v>289</v>
      </c>
      <c r="T108" s="406"/>
      <c r="U108" s="407"/>
      <c r="V108" s="407"/>
      <c r="W108" s="408">
        <f>W106/W85</f>
        <v>249.25989041095892</v>
      </c>
      <c r="X108" s="93"/>
      <c r="Y108" s="209"/>
      <c r="Z108" s="210"/>
      <c r="AA108" s="211"/>
      <c r="AB108" s="210"/>
      <c r="AC108" s="106"/>
    </row>
    <row r="109" spans="1:31" s="101" customFormat="1" ht="13.5" thickBot="1" x14ac:dyDescent="0.25">
      <c r="A109" s="167" t="s">
        <v>290</v>
      </c>
      <c r="B109" s="167"/>
      <c r="C109" s="172">
        <f>AB43</f>
        <v>1.8120393120392975E-2</v>
      </c>
      <c r="D109" s="168"/>
      <c r="E109" s="169"/>
      <c r="F109" s="171"/>
      <c r="G109" s="167" t="s">
        <v>290</v>
      </c>
      <c r="H109" s="167"/>
      <c r="I109" s="172">
        <f>AB43</f>
        <v>1.8120393120392975E-2</v>
      </c>
      <c r="J109" s="168"/>
      <c r="K109" s="169"/>
      <c r="L109" s="170"/>
      <c r="M109" s="406" t="s">
        <v>290</v>
      </c>
      <c r="N109" s="406"/>
      <c r="O109" s="199">
        <f>AB43</f>
        <v>1.8120393120392975E-2</v>
      </c>
      <c r="P109" s="407"/>
      <c r="Q109" s="408"/>
      <c r="R109" s="125"/>
      <c r="S109" s="406" t="s">
        <v>290</v>
      </c>
      <c r="T109" s="406"/>
      <c r="U109" s="199">
        <f>AB43</f>
        <v>1.8120393120392975E-2</v>
      </c>
      <c r="V109" s="407"/>
      <c r="W109" s="408"/>
      <c r="X109" s="114"/>
      <c r="Y109" s="153"/>
      <c r="Z109" s="153"/>
      <c r="AA109" s="153"/>
      <c r="AB109" s="212"/>
      <c r="AC109" s="106"/>
    </row>
    <row r="110" spans="1:31" s="170" customFormat="1" ht="13.15" customHeight="1" thickBot="1" x14ac:dyDescent="0.25">
      <c r="A110" s="175" t="s">
        <v>292</v>
      </c>
      <c r="B110" s="130"/>
      <c r="C110" s="176">
        <v>0.9</v>
      </c>
      <c r="D110" s="82"/>
      <c r="E110" s="414">
        <f t="shared" ref="E110:E118" si="8">E$106*(C$109+1)/(E$85*C110)</f>
        <v>445.28292688314087</v>
      </c>
      <c r="F110" s="73"/>
      <c r="G110" s="175" t="s">
        <v>292</v>
      </c>
      <c r="H110" s="130"/>
      <c r="I110" s="176">
        <v>0.9</v>
      </c>
      <c r="J110" s="82"/>
      <c r="K110" s="178">
        <f t="shared" ref="K110:K118" si="9">K$106*(I$109+1)/(K$85*I110)</f>
        <v>368.29278647747492</v>
      </c>
      <c r="L110" s="77"/>
      <c r="M110" s="411" t="s">
        <v>292</v>
      </c>
      <c r="N110" s="385"/>
      <c r="O110" s="412">
        <v>0.9</v>
      </c>
      <c r="P110" s="370"/>
      <c r="Q110" s="414">
        <f t="shared" ref="Q110:Q118" si="10">Q$106*(O$109+1)/(Q$85*O110)</f>
        <v>293.06506411065487</v>
      </c>
      <c r="R110" s="158"/>
      <c r="S110" s="411" t="s">
        <v>292</v>
      </c>
      <c r="T110" s="385"/>
      <c r="U110" s="412">
        <v>0.9</v>
      </c>
      <c r="V110" s="370"/>
      <c r="W110" s="414">
        <f t="shared" ref="W110:W118" si="11">W$106*(U$109+1)/(W$85*U110)</f>
        <v>281.97397512705726</v>
      </c>
      <c r="Y110" s="153"/>
      <c r="Z110" s="153"/>
      <c r="AA110" s="153"/>
      <c r="AB110" s="153"/>
      <c r="AC110" s="213"/>
    </row>
    <row r="111" spans="1:31" s="170" customFormat="1" ht="13.5" thickBot="1" x14ac:dyDescent="0.25">
      <c r="A111" s="181"/>
      <c r="B111" s="73"/>
      <c r="C111" s="182">
        <v>0.85</v>
      </c>
      <c r="D111" s="77"/>
      <c r="E111" s="178">
        <f t="shared" si="8"/>
        <v>471.47604022920802</v>
      </c>
      <c r="F111" s="73"/>
      <c r="G111" s="181"/>
      <c r="H111" s="73"/>
      <c r="I111" s="182">
        <v>0.85</v>
      </c>
      <c r="J111" s="77"/>
      <c r="K111" s="178">
        <f t="shared" si="9"/>
        <v>389.95706803497342</v>
      </c>
      <c r="L111" s="77"/>
      <c r="M111" s="415"/>
      <c r="N111" s="125"/>
      <c r="O111" s="416">
        <v>0.85</v>
      </c>
      <c r="P111" s="158"/>
      <c r="Q111" s="414">
        <f t="shared" si="10"/>
        <v>310.30418552892866</v>
      </c>
      <c r="R111" s="158"/>
      <c r="S111" s="415"/>
      <c r="T111" s="125"/>
      <c r="U111" s="416">
        <v>0.85</v>
      </c>
      <c r="V111" s="158"/>
      <c r="W111" s="414">
        <f t="shared" si="11"/>
        <v>298.56067954629594</v>
      </c>
      <c r="X111" s="73"/>
      <c r="Y111" s="153"/>
      <c r="Z111" s="153"/>
      <c r="AA111" s="153"/>
      <c r="AB111" s="153"/>
      <c r="AC111" s="213"/>
    </row>
    <row r="112" spans="1:31" ht="13.5" thickBot="1" x14ac:dyDescent="0.25">
      <c r="A112" s="181"/>
      <c r="B112" s="73"/>
      <c r="C112" s="182">
        <v>0.8</v>
      </c>
      <c r="D112" s="77"/>
      <c r="E112" s="178">
        <f t="shared" si="8"/>
        <v>500.9432927435335</v>
      </c>
      <c r="G112" s="181"/>
      <c r="H112" s="73"/>
      <c r="I112" s="182">
        <v>0.8</v>
      </c>
      <c r="J112" s="77"/>
      <c r="K112" s="178">
        <f t="shared" si="9"/>
        <v>414.32938478715926</v>
      </c>
      <c r="M112" s="415"/>
      <c r="N112" s="125"/>
      <c r="O112" s="416">
        <v>0.8</v>
      </c>
      <c r="P112" s="158"/>
      <c r="Q112" s="414">
        <f t="shared" si="10"/>
        <v>329.69819712448674</v>
      </c>
      <c r="R112" s="158"/>
      <c r="S112" s="415"/>
      <c r="T112" s="125"/>
      <c r="U112" s="416">
        <v>0.8</v>
      </c>
      <c r="V112" s="158"/>
      <c r="W112" s="414">
        <f t="shared" si="11"/>
        <v>317.22072201793941</v>
      </c>
      <c r="X112" s="169"/>
      <c r="Y112" s="153"/>
      <c r="Z112" s="212"/>
      <c r="AA112" s="212"/>
      <c r="AB112" s="212"/>
      <c r="AC112" s="73"/>
      <c r="AD112" s="72"/>
      <c r="AE112" s="72"/>
    </row>
    <row r="113" spans="1:31" ht="13.5" thickBot="1" x14ac:dyDescent="0.25">
      <c r="A113" s="181"/>
      <c r="B113" s="73"/>
      <c r="C113" s="182">
        <v>0.75</v>
      </c>
      <c r="D113" s="77"/>
      <c r="E113" s="178">
        <f t="shared" si="8"/>
        <v>534.33951225976909</v>
      </c>
      <c r="G113" s="181"/>
      <c r="H113" s="73"/>
      <c r="I113" s="182">
        <v>0.75</v>
      </c>
      <c r="J113" s="77"/>
      <c r="K113" s="178">
        <f t="shared" si="9"/>
        <v>441.95134377296989</v>
      </c>
      <c r="M113" s="415"/>
      <c r="N113" s="125"/>
      <c r="O113" s="416">
        <v>0.75</v>
      </c>
      <c r="P113" s="158"/>
      <c r="Q113" s="414">
        <f t="shared" si="10"/>
        <v>351.67807693278581</v>
      </c>
      <c r="R113" s="158"/>
      <c r="S113" s="415"/>
      <c r="T113" s="125"/>
      <c r="U113" s="416">
        <v>0.75</v>
      </c>
      <c r="V113" s="158"/>
      <c r="W113" s="414">
        <f t="shared" si="11"/>
        <v>338.36877015246876</v>
      </c>
      <c r="X113" s="169"/>
      <c r="Y113" s="214"/>
      <c r="Z113" s="214"/>
      <c r="AA113" s="214"/>
      <c r="AB113" s="214"/>
      <c r="AC113" s="73"/>
      <c r="AD113" s="72"/>
      <c r="AE113" s="72"/>
    </row>
    <row r="114" spans="1:31" ht="13.5" thickBot="1" x14ac:dyDescent="0.25">
      <c r="A114" s="181"/>
      <c r="B114" s="73"/>
      <c r="C114" s="182">
        <v>0.7</v>
      </c>
      <c r="D114" s="77"/>
      <c r="E114" s="178">
        <f t="shared" si="8"/>
        <v>572.50662027832402</v>
      </c>
      <c r="G114" s="181"/>
      <c r="H114" s="73"/>
      <c r="I114" s="182">
        <v>0.7</v>
      </c>
      <c r="J114" s="77"/>
      <c r="K114" s="178">
        <f t="shared" si="9"/>
        <v>473.51929689961065</v>
      </c>
      <c r="M114" s="415"/>
      <c r="N114" s="125"/>
      <c r="O114" s="416">
        <v>0.7</v>
      </c>
      <c r="P114" s="158"/>
      <c r="Q114" s="414">
        <f t="shared" si="10"/>
        <v>376.79793957084195</v>
      </c>
      <c r="R114" s="158"/>
      <c r="S114" s="415"/>
      <c r="T114" s="125"/>
      <c r="U114" s="416">
        <v>0.7</v>
      </c>
      <c r="V114" s="158"/>
      <c r="W114" s="414">
        <f t="shared" si="11"/>
        <v>362.53796802050221</v>
      </c>
      <c r="X114" s="169"/>
      <c r="Y114" s="209"/>
      <c r="Z114" s="210"/>
      <c r="AA114" s="211"/>
      <c r="AB114" s="210"/>
      <c r="AC114" s="73"/>
      <c r="AD114" s="72"/>
      <c r="AE114" s="72"/>
    </row>
    <row r="115" spans="1:31" ht="13.5" thickBot="1" x14ac:dyDescent="0.25">
      <c r="A115" s="181"/>
      <c r="B115" s="73"/>
      <c r="C115" s="182">
        <v>0.65</v>
      </c>
      <c r="D115" s="77"/>
      <c r="E115" s="178">
        <f t="shared" si="8"/>
        <v>616.54559106896431</v>
      </c>
      <c r="G115" s="181"/>
      <c r="H115" s="73"/>
      <c r="I115" s="182">
        <v>0.65</v>
      </c>
      <c r="J115" s="77"/>
      <c r="K115" s="178">
        <f t="shared" si="9"/>
        <v>509.94385819958063</v>
      </c>
      <c r="M115" s="415"/>
      <c r="N115" s="125"/>
      <c r="O115" s="416">
        <v>0.65</v>
      </c>
      <c r="P115" s="158"/>
      <c r="Q115" s="414">
        <f t="shared" si="10"/>
        <v>405.78239646090674</v>
      </c>
      <c r="R115" s="158"/>
      <c r="S115" s="415"/>
      <c r="T115" s="125"/>
      <c r="U115" s="416">
        <v>0.65</v>
      </c>
      <c r="V115" s="158"/>
      <c r="W115" s="414">
        <f t="shared" si="11"/>
        <v>390.42550402207928</v>
      </c>
      <c r="X115" s="169"/>
      <c r="Y115" s="153"/>
      <c r="Z115" s="153"/>
      <c r="AA115" s="153"/>
      <c r="AB115" s="153"/>
      <c r="AC115" s="73"/>
      <c r="AD115" s="72"/>
      <c r="AE115" s="72"/>
    </row>
    <row r="116" spans="1:31" ht="13.5" thickBot="1" x14ac:dyDescent="0.25">
      <c r="A116" s="181"/>
      <c r="B116" s="73"/>
      <c r="C116" s="182">
        <v>0.6</v>
      </c>
      <c r="D116" s="77"/>
      <c r="E116" s="178">
        <f t="shared" si="8"/>
        <v>667.92439032471134</v>
      </c>
      <c r="G116" s="181"/>
      <c r="H116" s="73"/>
      <c r="I116" s="182">
        <v>0.6</v>
      </c>
      <c r="J116" s="77"/>
      <c r="K116" s="178">
        <f t="shared" si="9"/>
        <v>552.43917971621238</v>
      </c>
      <c r="M116" s="415"/>
      <c r="N116" s="125"/>
      <c r="O116" s="416">
        <v>0.6</v>
      </c>
      <c r="P116" s="158"/>
      <c r="Q116" s="414">
        <f t="shared" si="10"/>
        <v>439.59759616598228</v>
      </c>
      <c r="R116" s="158"/>
      <c r="S116" s="415"/>
      <c r="T116" s="125"/>
      <c r="U116" s="416">
        <v>0.6</v>
      </c>
      <c r="V116" s="158"/>
      <c r="W116" s="414">
        <f t="shared" si="11"/>
        <v>422.96096269058592</v>
      </c>
      <c r="X116" s="169"/>
      <c r="Y116" s="153"/>
      <c r="Z116" s="153"/>
      <c r="AA116" s="153"/>
      <c r="AB116" s="153"/>
      <c r="AC116" s="73"/>
      <c r="AD116" s="72"/>
      <c r="AE116" s="72"/>
    </row>
    <row r="117" spans="1:31" ht="13.5" thickBot="1" x14ac:dyDescent="0.25">
      <c r="A117" s="181"/>
      <c r="B117" s="73"/>
      <c r="C117" s="182">
        <v>0.55000000000000004</v>
      </c>
      <c r="D117" s="77"/>
      <c r="E117" s="178">
        <f t="shared" si="8"/>
        <v>728.64478944513962</v>
      </c>
      <c r="G117" s="181"/>
      <c r="H117" s="73"/>
      <c r="I117" s="182">
        <v>0.55000000000000004</v>
      </c>
      <c r="J117" s="77"/>
      <c r="K117" s="178">
        <f t="shared" si="9"/>
        <v>602.66092332677704</v>
      </c>
      <c r="M117" s="415"/>
      <c r="N117" s="125"/>
      <c r="O117" s="416">
        <v>0.55000000000000004</v>
      </c>
      <c r="P117" s="158"/>
      <c r="Q117" s="414">
        <f t="shared" si="10"/>
        <v>479.56101399925336</v>
      </c>
      <c r="R117" s="158"/>
      <c r="S117" s="415"/>
      <c r="T117" s="125"/>
      <c r="U117" s="416">
        <v>0.55000000000000004</v>
      </c>
      <c r="V117" s="158"/>
      <c r="W117" s="414">
        <f t="shared" si="11"/>
        <v>461.41195929882099</v>
      </c>
      <c r="X117" s="169"/>
      <c r="Z117" s="73"/>
      <c r="AA117" s="73"/>
      <c r="AB117" s="73"/>
      <c r="AC117" s="73"/>
      <c r="AD117" s="72"/>
      <c r="AE117" s="72"/>
    </row>
    <row r="118" spans="1:31" ht="13.5" thickBot="1" x14ac:dyDescent="0.25">
      <c r="A118" s="189"/>
      <c r="B118" s="190"/>
      <c r="C118" s="191">
        <v>0.5</v>
      </c>
      <c r="D118" s="192"/>
      <c r="E118" s="1081">
        <f t="shared" si="8"/>
        <v>801.50926838965358</v>
      </c>
      <c r="G118" s="189"/>
      <c r="H118" s="190"/>
      <c r="I118" s="191">
        <v>0.5</v>
      </c>
      <c r="J118" s="192"/>
      <c r="K118" s="1081">
        <f t="shared" si="9"/>
        <v>662.92701565945481</v>
      </c>
      <c r="M118" s="418"/>
      <c r="N118" s="419"/>
      <c r="O118" s="420">
        <v>0.5</v>
      </c>
      <c r="P118" s="421"/>
      <c r="Q118" s="1082">
        <f t="shared" si="10"/>
        <v>527.51711539917869</v>
      </c>
      <c r="R118" s="158"/>
      <c r="S118" s="418"/>
      <c r="T118" s="419"/>
      <c r="U118" s="420">
        <v>0.5</v>
      </c>
      <c r="V118" s="421"/>
      <c r="W118" s="1082">
        <f t="shared" si="11"/>
        <v>507.55315522870308</v>
      </c>
      <c r="X118" s="169"/>
      <c r="Y118" s="180"/>
      <c r="Z118" s="73"/>
      <c r="AA118" s="73"/>
      <c r="AB118" s="73"/>
      <c r="AC118" s="73"/>
      <c r="AD118" s="72"/>
      <c r="AE118" s="72"/>
    </row>
    <row r="119" spans="1:31" ht="13.5" thickBot="1" x14ac:dyDescent="0.25">
      <c r="A119" s="168"/>
      <c r="B119" s="73"/>
      <c r="C119" s="182"/>
      <c r="D119" s="77"/>
      <c r="E119" s="169"/>
      <c r="G119" s="168"/>
      <c r="H119" s="73"/>
      <c r="I119" s="182"/>
      <c r="J119" s="77"/>
      <c r="K119" s="169"/>
      <c r="M119" s="407"/>
      <c r="N119" s="125"/>
      <c r="O119" s="416"/>
      <c r="P119" s="158"/>
      <c r="Q119" s="408"/>
      <c r="R119" s="158"/>
      <c r="S119" s="407"/>
      <c r="T119" s="125"/>
      <c r="U119" s="416"/>
      <c r="V119" s="158"/>
      <c r="W119" s="408"/>
      <c r="X119" s="169"/>
      <c r="Z119" s="186"/>
      <c r="AA119" s="73"/>
      <c r="AB119" s="73"/>
      <c r="AC119" s="106"/>
      <c r="AD119" s="101"/>
      <c r="AE119" s="101"/>
    </row>
    <row r="120" spans="1:31" ht="13.5" thickBot="1" x14ac:dyDescent="0.25">
      <c r="A120" s="1119" t="s">
        <v>299</v>
      </c>
      <c r="B120" s="1120"/>
      <c r="X120" s="169"/>
      <c r="Y120" s="185"/>
      <c r="Z120" s="197"/>
      <c r="AA120" s="198"/>
      <c r="AB120" s="73"/>
      <c r="AC120" s="73"/>
      <c r="AD120" s="72"/>
      <c r="AE120" s="72"/>
    </row>
    <row r="121" spans="1:31" x14ac:dyDescent="0.2">
      <c r="A121" s="78"/>
      <c r="B121" s="74"/>
      <c r="C121" s="90" t="s">
        <v>255</v>
      </c>
      <c r="D121" s="91"/>
      <c r="E121" s="92"/>
      <c r="F121" s="93"/>
      <c r="G121" s="1121" t="s">
        <v>256</v>
      </c>
      <c r="H121" s="1121"/>
      <c r="I121" s="1121"/>
      <c r="J121" s="1121"/>
      <c r="K121" s="1121"/>
      <c r="M121" s="144"/>
      <c r="N121" s="74"/>
      <c r="O121" s="366" t="s">
        <v>257</v>
      </c>
      <c r="P121" s="367"/>
      <c r="Q121" s="368"/>
      <c r="R121" s="369"/>
      <c r="S121" s="144"/>
      <c r="T121" s="74"/>
      <c r="U121" s="366" t="s">
        <v>258</v>
      </c>
      <c r="V121" s="367"/>
      <c r="W121" s="368"/>
      <c r="X121" s="169"/>
      <c r="Y121" s="185"/>
      <c r="Z121" s="197"/>
      <c r="AA121" s="198"/>
      <c r="AB121" s="73"/>
      <c r="AC121" s="73"/>
      <c r="AD121" s="72"/>
      <c r="AE121" s="72"/>
    </row>
    <row r="122" spans="1:31" x14ac:dyDescent="0.2">
      <c r="A122" s="94" t="s">
        <v>261</v>
      </c>
      <c r="B122" s="95" t="s">
        <v>339</v>
      </c>
      <c r="C122" s="96" t="s">
        <v>262</v>
      </c>
      <c r="D122" s="97">
        <v>365</v>
      </c>
      <c r="E122" s="98">
        <f>D122*B123</f>
        <v>4380</v>
      </c>
      <c r="F122" s="99"/>
      <c r="G122" s="94" t="s">
        <v>261</v>
      </c>
      <c r="H122" s="100" t="s">
        <v>340</v>
      </c>
      <c r="I122" s="96" t="s">
        <v>262</v>
      </c>
      <c r="J122" s="97">
        <v>365</v>
      </c>
      <c r="K122" s="98">
        <f>H123*J122</f>
        <v>5657.5</v>
      </c>
      <c r="L122" s="101"/>
      <c r="M122" s="216" t="s">
        <v>261</v>
      </c>
      <c r="N122" s="102" t="s">
        <v>263</v>
      </c>
      <c r="O122" s="371" t="s">
        <v>262</v>
      </c>
      <c r="P122" s="97">
        <v>365</v>
      </c>
      <c r="Q122" s="372">
        <f>N123*P122</f>
        <v>7300</v>
      </c>
      <c r="R122" s="218"/>
      <c r="S122" s="216" t="s">
        <v>261</v>
      </c>
      <c r="T122" s="102" t="s">
        <v>264</v>
      </c>
      <c r="U122" s="371" t="s">
        <v>262</v>
      </c>
      <c r="V122" s="97">
        <v>365</v>
      </c>
      <c r="W122" s="372">
        <f>T123*V122</f>
        <v>9125</v>
      </c>
      <c r="AB122" s="184"/>
      <c r="AC122" s="77"/>
      <c r="AD122" s="72"/>
      <c r="AE122" s="72"/>
    </row>
    <row r="123" spans="1:31" ht="14.25" customHeight="1" x14ac:dyDescent="0.2">
      <c r="A123" s="94"/>
      <c r="B123" s="102">
        <v>12</v>
      </c>
      <c r="C123" s="96"/>
      <c r="D123" s="97"/>
      <c r="E123" s="98"/>
      <c r="F123" s="99"/>
      <c r="G123" s="94"/>
      <c r="H123" s="102">
        <v>15.5</v>
      </c>
      <c r="I123" s="96"/>
      <c r="J123" s="97"/>
      <c r="K123" s="98"/>
      <c r="L123" s="101"/>
      <c r="M123" s="216"/>
      <c r="N123" s="102">
        <v>20</v>
      </c>
      <c r="O123" s="371"/>
      <c r="P123" s="97"/>
      <c r="Q123" s="372"/>
      <c r="R123" s="218"/>
      <c r="S123" s="216"/>
      <c r="T123" s="102">
        <v>25</v>
      </c>
      <c r="U123" s="371"/>
      <c r="V123" s="97"/>
      <c r="W123" s="372"/>
      <c r="X123" s="93"/>
      <c r="Y123" s="184"/>
      <c r="AA123" s="73"/>
      <c r="AB123" s="73"/>
      <c r="AC123" s="73"/>
      <c r="AD123" s="72"/>
      <c r="AE123" s="72"/>
    </row>
    <row r="124" spans="1:31" s="101" customFormat="1" x14ac:dyDescent="0.2">
      <c r="A124" s="94"/>
      <c r="B124" s="102"/>
      <c r="C124" s="108"/>
      <c r="D124" s="97"/>
      <c r="E124" s="98"/>
      <c r="F124" s="99"/>
      <c r="G124" s="94"/>
      <c r="H124" s="102"/>
      <c r="I124" s="96"/>
      <c r="J124" s="97"/>
      <c r="K124" s="98"/>
      <c r="M124" s="216"/>
      <c r="N124" s="102"/>
      <c r="O124" s="371"/>
      <c r="P124" s="97"/>
      <c r="Q124" s="372"/>
      <c r="R124" s="218"/>
      <c r="S124" s="216"/>
      <c r="T124" s="102"/>
      <c r="U124" s="371"/>
      <c r="V124" s="97"/>
      <c r="W124" s="372"/>
      <c r="X124" s="99"/>
      <c r="Y124" s="106"/>
      <c r="Z124" s="106"/>
      <c r="AA124" s="106"/>
      <c r="AB124" s="106"/>
      <c r="AC124" s="106"/>
    </row>
    <row r="125" spans="1:31" s="101" customFormat="1" ht="38.25" x14ac:dyDescent="0.2">
      <c r="A125" s="356"/>
      <c r="B125" s="292" t="s">
        <v>269</v>
      </c>
      <c r="C125" s="293" t="s">
        <v>341</v>
      </c>
      <c r="D125" s="294" t="s">
        <v>270</v>
      </c>
      <c r="E125" s="293" t="s">
        <v>342</v>
      </c>
      <c r="F125" s="207"/>
      <c r="G125" s="356"/>
      <c r="H125" s="292" t="s">
        <v>269</v>
      </c>
      <c r="I125" s="293" t="s">
        <v>341</v>
      </c>
      <c r="J125" s="294" t="s">
        <v>270</v>
      </c>
      <c r="K125" s="293" t="s">
        <v>342</v>
      </c>
      <c r="L125" s="357"/>
      <c r="M125" s="375"/>
      <c r="N125" s="376" t="s">
        <v>269</v>
      </c>
      <c r="O125" s="377" t="s">
        <v>341</v>
      </c>
      <c r="P125" s="378" t="s">
        <v>270</v>
      </c>
      <c r="Q125" s="377" t="s">
        <v>342</v>
      </c>
      <c r="R125" s="379"/>
      <c r="S125" s="375"/>
      <c r="T125" s="376" t="s">
        <v>269</v>
      </c>
      <c r="U125" s="377" t="s">
        <v>341</v>
      </c>
      <c r="V125" s="378" t="s">
        <v>270</v>
      </c>
      <c r="W125" s="377" t="s">
        <v>342</v>
      </c>
      <c r="X125" s="99"/>
      <c r="Y125" s="106"/>
      <c r="Z125" s="106"/>
      <c r="AA125" s="106"/>
      <c r="AB125" s="106"/>
      <c r="AC125" s="106"/>
    </row>
    <row r="126" spans="1:31" s="101" customFormat="1" x14ac:dyDescent="0.2">
      <c r="A126" s="380" t="s">
        <v>272</v>
      </c>
      <c r="B126" s="381"/>
      <c r="C126" s="382">
        <f>$AC$10</f>
        <v>65368.626426372299</v>
      </c>
      <c r="D126" s="124">
        <f>AB17</f>
        <v>2.15</v>
      </c>
      <c r="E126" s="157">
        <f>C126*D126</f>
        <v>140542.54681670043</v>
      </c>
      <c r="F126" s="158"/>
      <c r="G126" s="380" t="s">
        <v>272</v>
      </c>
      <c r="H126" s="381"/>
      <c r="I126" s="382">
        <f>$AC$10</f>
        <v>65368.626426372299</v>
      </c>
      <c r="J126" s="124">
        <f>AB17</f>
        <v>2.15</v>
      </c>
      <c r="K126" s="157">
        <f>I126*J126</f>
        <v>140542.54681670043</v>
      </c>
      <c r="L126" s="157"/>
      <c r="M126" s="380" t="s">
        <v>272</v>
      </c>
      <c r="N126" s="381"/>
      <c r="O126" s="382">
        <f>$AC$10</f>
        <v>65368.626426372299</v>
      </c>
      <c r="P126" s="124">
        <f>AB17</f>
        <v>2.15</v>
      </c>
      <c r="Q126" s="157">
        <f>O126*P126</f>
        <v>140542.54681670043</v>
      </c>
      <c r="R126" s="158"/>
      <c r="S126" s="380" t="s">
        <v>272</v>
      </c>
      <c r="T126" s="381"/>
      <c r="U126" s="382">
        <f>$AC$10</f>
        <v>65368.626426372299</v>
      </c>
      <c r="V126" s="124">
        <f>AB17</f>
        <v>2.15</v>
      </c>
      <c r="W126" s="157">
        <f>U126*V126</f>
        <v>140542.54681670043</v>
      </c>
      <c r="X126" s="99"/>
      <c r="Y126" s="106"/>
      <c r="Z126" s="204"/>
      <c r="AA126" s="106"/>
      <c r="AB126" s="106"/>
      <c r="AC126" s="106"/>
    </row>
    <row r="127" spans="1:31" s="357" customFormat="1" ht="28.5" customHeight="1" x14ac:dyDescent="0.2">
      <c r="A127" s="380" t="s">
        <v>273</v>
      </c>
      <c r="B127" s="381"/>
      <c r="C127" s="382">
        <f>$AC$11</f>
        <v>56879.606800509006</v>
      </c>
      <c r="D127" s="124">
        <f>AB18</f>
        <v>3</v>
      </c>
      <c r="E127" s="157">
        <f>C127*D127</f>
        <v>170638.82040152702</v>
      </c>
      <c r="F127" s="158"/>
      <c r="G127" s="380" t="s">
        <v>273</v>
      </c>
      <c r="H127" s="381"/>
      <c r="I127" s="382">
        <f>$AC$11</f>
        <v>56879.606800509006</v>
      </c>
      <c r="J127" s="124">
        <f>$AC$18</f>
        <v>3</v>
      </c>
      <c r="K127" s="157">
        <f>I127*J127</f>
        <v>170638.82040152702</v>
      </c>
      <c r="L127" s="157"/>
      <c r="M127" s="380" t="s">
        <v>273</v>
      </c>
      <c r="N127" s="381"/>
      <c r="O127" s="382">
        <f>$AC$11</f>
        <v>56879.606800509006</v>
      </c>
      <c r="P127" s="124">
        <f>AB18</f>
        <v>3</v>
      </c>
      <c r="Q127" s="157">
        <f>O127*P127</f>
        <v>170638.82040152702</v>
      </c>
      <c r="R127" s="158"/>
      <c r="S127" s="380" t="s">
        <v>273</v>
      </c>
      <c r="T127" s="381"/>
      <c r="U127" s="382">
        <f>$AC$11</f>
        <v>56879.606800509006</v>
      </c>
      <c r="V127" s="124">
        <f>AB18</f>
        <v>3</v>
      </c>
      <c r="W127" s="157">
        <f>U127*V127</f>
        <v>170638.82040152702</v>
      </c>
      <c r="X127" s="207"/>
      <c r="Y127" s="205"/>
      <c r="Z127" s="205"/>
      <c r="AA127" s="205"/>
      <c r="AB127" s="205"/>
      <c r="AC127" s="354"/>
    </row>
    <row r="128" spans="1:31" s="75" customFormat="1" x14ac:dyDescent="0.2">
      <c r="A128" s="383" t="s">
        <v>275</v>
      </c>
      <c r="B128" s="124">
        <f>AB27</f>
        <v>0.57999999999999996</v>
      </c>
      <c r="C128" s="382">
        <f>$AC$12</f>
        <v>34055.717454304911</v>
      </c>
      <c r="D128" s="124">
        <f>B123/B128</f>
        <v>20.689655172413794</v>
      </c>
      <c r="E128" s="157">
        <f>C128*D128</f>
        <v>704601.05077872227</v>
      </c>
      <c r="F128" s="158"/>
      <c r="G128" s="383" t="s">
        <v>275</v>
      </c>
      <c r="H128" s="124">
        <f>AC27</f>
        <v>0.69099999999999995</v>
      </c>
      <c r="I128" s="382">
        <f>$AC$12</f>
        <v>34055.717454304911</v>
      </c>
      <c r="J128" s="124">
        <f>H123/H128</f>
        <v>22.431259044862522</v>
      </c>
      <c r="K128" s="157">
        <f>I128*J128</f>
        <v>763912.62017615954</v>
      </c>
      <c r="L128" s="243"/>
      <c r="M128" s="383" t="s">
        <v>275</v>
      </c>
      <c r="N128" s="124">
        <f>AD27</f>
        <v>0.89149999999999996</v>
      </c>
      <c r="O128" s="382">
        <f>$AC$12</f>
        <v>34055.717454304911</v>
      </c>
      <c r="P128" s="124">
        <f>N123/N128</f>
        <v>22.434099831744252</v>
      </c>
      <c r="Q128" s="157">
        <f>O128*P128</f>
        <v>764009.36521155154</v>
      </c>
      <c r="R128" s="158"/>
      <c r="S128" s="383" t="s">
        <v>275</v>
      </c>
      <c r="T128" s="124">
        <f>'FTE Ratios'!$N$26</f>
        <v>0.93530864197530861</v>
      </c>
      <c r="U128" s="382">
        <f>$AC$12</f>
        <v>34055.717454304911</v>
      </c>
      <c r="V128" s="124">
        <f>T123/T128</f>
        <v>26.729144667370644</v>
      </c>
      <c r="W128" s="157">
        <f>U128*V128</f>
        <v>910280.19858721551</v>
      </c>
      <c r="X128" s="77"/>
      <c r="Y128" s="87"/>
      <c r="Z128" s="77"/>
      <c r="AA128" s="77"/>
      <c r="AB128" s="77"/>
      <c r="AC128" s="77"/>
    </row>
    <row r="129" spans="1:31" s="75" customFormat="1" x14ac:dyDescent="0.2">
      <c r="A129" s="380" t="s">
        <v>370</v>
      </c>
      <c r="B129" s="124"/>
      <c r="C129" s="382">
        <f>$AC$13</f>
        <v>33504.965890805717</v>
      </c>
      <c r="D129" s="124">
        <f>AB21</f>
        <v>0.75</v>
      </c>
      <c r="E129" s="157">
        <f>C129*D129</f>
        <v>25128.724418104288</v>
      </c>
      <c r="F129" s="158"/>
      <c r="G129" s="380" t="s">
        <v>370</v>
      </c>
      <c r="H129" s="124"/>
      <c r="I129" s="382">
        <f>$AC$13</f>
        <v>33504.965890805717</v>
      </c>
      <c r="J129" s="124">
        <f>AC21</f>
        <v>0.9</v>
      </c>
      <c r="K129" s="157">
        <f>I129*J129</f>
        <v>30154.469301725145</v>
      </c>
      <c r="L129" s="157"/>
      <c r="M129" s="380" t="s">
        <v>370</v>
      </c>
      <c r="N129" s="124"/>
      <c r="O129" s="382">
        <f>$AC$13</f>
        <v>33504.965890805717</v>
      </c>
      <c r="P129" s="124">
        <f>AD21</f>
        <v>1</v>
      </c>
      <c r="Q129" s="157">
        <f>O129*P129</f>
        <v>33504.965890805717</v>
      </c>
      <c r="R129" s="158"/>
      <c r="S129" s="380" t="s">
        <v>370</v>
      </c>
      <c r="T129" s="124"/>
      <c r="U129" s="382">
        <f>$AC$13</f>
        <v>33504.965890805717</v>
      </c>
      <c r="V129" s="124">
        <f>$AE$21</f>
        <v>1.5</v>
      </c>
      <c r="W129" s="157">
        <f>U129*V129</f>
        <v>50257.448836208576</v>
      </c>
      <c r="X129" s="77"/>
      <c r="Y129" s="205"/>
      <c r="Z129" s="87"/>
      <c r="AA129" s="77"/>
      <c r="AB129" s="77"/>
      <c r="AC129" s="77"/>
    </row>
    <row r="130" spans="1:31" s="133" customFormat="1" x14ac:dyDescent="0.2">
      <c r="A130" s="387" t="s">
        <v>277</v>
      </c>
      <c r="B130" s="387"/>
      <c r="C130" s="388"/>
      <c r="D130" s="389">
        <f>SUM(D126:D129)</f>
        <v>26.589655172413792</v>
      </c>
      <c r="E130" s="388">
        <f>SUM(E126:E129)</f>
        <v>1040911.142415054</v>
      </c>
      <c r="F130" s="369"/>
      <c r="G130" s="387" t="s">
        <v>277</v>
      </c>
      <c r="H130" s="387"/>
      <c r="I130" s="388"/>
      <c r="J130" s="389">
        <f>SUM(J126:J129)</f>
        <v>28.481259044862519</v>
      </c>
      <c r="K130" s="388">
        <f>SUM(K126:K129)</f>
        <v>1105248.4566961119</v>
      </c>
      <c r="L130" s="71"/>
      <c r="M130" s="387" t="s">
        <v>277</v>
      </c>
      <c r="N130" s="387"/>
      <c r="O130" s="388"/>
      <c r="P130" s="389">
        <f>SUM(P126:P129)</f>
        <v>28.584099831744254</v>
      </c>
      <c r="Q130" s="388">
        <f>SUM(Q126:Q129)</f>
        <v>1108695.6983205848</v>
      </c>
      <c r="R130" s="369"/>
      <c r="S130" s="387" t="s">
        <v>277</v>
      </c>
      <c r="T130" s="387"/>
      <c r="U130" s="388"/>
      <c r="V130" s="389">
        <f>SUM(V126:V129)</f>
        <v>33.379144667370646</v>
      </c>
      <c r="W130" s="388">
        <f>SUM(W126:W129)</f>
        <v>1271719.0146416517</v>
      </c>
      <c r="X130" s="77"/>
      <c r="Y130" s="86"/>
      <c r="Z130" s="87"/>
      <c r="AA130" s="88"/>
      <c r="AB130" s="88"/>
      <c r="AC130" s="88"/>
    </row>
    <row r="131" spans="1:31" s="133" customFormat="1" x14ac:dyDescent="0.2">
      <c r="A131" s="198"/>
      <c r="B131" s="198"/>
      <c r="C131" s="369"/>
      <c r="D131" s="390"/>
      <c r="E131" s="369"/>
      <c r="F131" s="369"/>
      <c r="G131" s="198"/>
      <c r="H131" s="198"/>
      <c r="I131" s="369"/>
      <c r="J131" s="390"/>
      <c r="K131" s="369"/>
      <c r="L131" s="71"/>
      <c r="M131" s="198"/>
      <c r="N131" s="198"/>
      <c r="O131" s="369"/>
      <c r="P131" s="390"/>
      <c r="Q131" s="369"/>
      <c r="R131" s="369"/>
      <c r="S131" s="198"/>
      <c r="T131" s="198"/>
      <c r="U131" s="369"/>
      <c r="V131" s="390"/>
      <c r="W131" s="369"/>
      <c r="X131" s="77"/>
      <c r="Y131" s="86"/>
      <c r="Z131" s="87"/>
      <c r="AA131" s="88"/>
      <c r="AB131" s="88"/>
      <c r="AC131" s="88"/>
    </row>
    <row r="132" spans="1:31" s="75" customFormat="1" x14ac:dyDescent="0.2">
      <c r="A132" s="391" t="s">
        <v>278</v>
      </c>
      <c r="B132" s="391"/>
      <c r="C132" s="392"/>
      <c r="D132" s="393" t="s">
        <v>279</v>
      </c>
      <c r="E132" s="392"/>
      <c r="F132" s="394"/>
      <c r="G132" s="391" t="s">
        <v>278</v>
      </c>
      <c r="H132" s="391"/>
      <c r="I132" s="392"/>
      <c r="J132" s="393" t="s">
        <v>279</v>
      </c>
      <c r="K132" s="392"/>
      <c r="L132" s="71"/>
      <c r="M132" s="391" t="s">
        <v>278</v>
      </c>
      <c r="N132" s="391"/>
      <c r="O132" s="392"/>
      <c r="P132" s="393" t="s">
        <v>279</v>
      </c>
      <c r="Q132" s="392"/>
      <c r="R132" s="394"/>
      <c r="S132" s="391" t="s">
        <v>278</v>
      </c>
      <c r="T132" s="391"/>
      <c r="U132" s="392"/>
      <c r="V132" s="393" t="s">
        <v>279</v>
      </c>
      <c r="W132" s="392"/>
      <c r="X132" s="77"/>
      <c r="Y132" s="86"/>
      <c r="Z132" s="87"/>
      <c r="AA132" s="77"/>
      <c r="AB132" s="77"/>
      <c r="AC132" s="77"/>
    </row>
    <row r="133" spans="1:31" s="101" customFormat="1" x14ac:dyDescent="0.2">
      <c r="A133" s="143" t="s">
        <v>280</v>
      </c>
      <c r="B133" s="144"/>
      <c r="C133" s="160">
        <f>$AB$30</f>
        <v>0.25578770213785851</v>
      </c>
      <c r="D133" s="395"/>
      <c r="E133" s="157">
        <f>C133*E130</f>
        <v>266252.26924803987</v>
      </c>
      <c r="F133" s="396"/>
      <c r="G133" s="143" t="s">
        <v>280</v>
      </c>
      <c r="H133" s="144"/>
      <c r="I133" s="160">
        <f>$AB$30</f>
        <v>0.25578770213785851</v>
      </c>
      <c r="J133" s="395"/>
      <c r="K133" s="157">
        <f>I133*K130</f>
        <v>282708.9630297129</v>
      </c>
      <c r="L133" s="144"/>
      <c r="M133" s="143" t="s">
        <v>280</v>
      </c>
      <c r="N133" s="144"/>
      <c r="O133" s="160">
        <f>$AB$30</f>
        <v>0.25578770213785851</v>
      </c>
      <c r="P133" s="395"/>
      <c r="Q133" s="157">
        <f>O133*Q130</f>
        <v>283590.72504355077</v>
      </c>
      <c r="R133" s="396"/>
      <c r="S133" s="143" t="s">
        <v>280</v>
      </c>
      <c r="T133" s="144"/>
      <c r="U133" s="160">
        <f>$AB$30</f>
        <v>0.25578770213785851</v>
      </c>
      <c r="V133" s="395"/>
      <c r="W133" s="157">
        <f>U133*W130</f>
        <v>325290.0845202097</v>
      </c>
      <c r="X133" s="93"/>
      <c r="Y133" s="86"/>
      <c r="Z133" s="87"/>
      <c r="AA133" s="106"/>
      <c r="AB133" s="106"/>
      <c r="AC133" s="106"/>
    </row>
    <row r="134" spans="1:31" s="101" customFormat="1" x14ac:dyDescent="0.2">
      <c r="A134" s="397" t="s">
        <v>282</v>
      </c>
      <c r="B134" s="397"/>
      <c r="C134" s="398"/>
      <c r="D134" s="151">
        <f>E134/E122</f>
        <v>298.43913508289813</v>
      </c>
      <c r="E134" s="399">
        <f>E133+E130</f>
        <v>1307163.4116630938</v>
      </c>
      <c r="F134" s="158"/>
      <c r="G134" s="397" t="s">
        <v>282</v>
      </c>
      <c r="H134" s="397"/>
      <c r="I134" s="398"/>
      <c r="J134" s="151">
        <f>K134/K122</f>
        <v>245.33052049948296</v>
      </c>
      <c r="K134" s="399">
        <f>K133+K130</f>
        <v>1387957.4197258248</v>
      </c>
      <c r="L134" s="158"/>
      <c r="M134" s="397" t="s">
        <v>282</v>
      </c>
      <c r="N134" s="397"/>
      <c r="O134" s="398"/>
      <c r="P134" s="151">
        <f>Q134/Q122</f>
        <v>190.72416758412817</v>
      </c>
      <c r="Q134" s="399">
        <f>Q133+Q130</f>
        <v>1392286.4233641357</v>
      </c>
      <c r="R134" s="394"/>
      <c r="S134" s="397" t="s">
        <v>282</v>
      </c>
      <c r="T134" s="397"/>
      <c r="U134" s="398"/>
      <c r="V134" s="151">
        <f>W134/W122</f>
        <v>175.01469579856015</v>
      </c>
      <c r="W134" s="399">
        <f>W133+W130</f>
        <v>1597009.0991618615</v>
      </c>
      <c r="X134" s="93"/>
      <c r="Y134" s="86"/>
      <c r="Z134" s="87"/>
      <c r="AA134" s="106"/>
      <c r="AB134" s="106"/>
      <c r="AC134" s="106"/>
    </row>
    <row r="135" spans="1:31" s="101" customFormat="1" x14ac:dyDescent="0.2">
      <c r="A135" s="1083" t="s">
        <v>276</v>
      </c>
      <c r="B135" s="143"/>
      <c r="C135" s="157"/>
      <c r="D135" s="365"/>
      <c r="E135" s="157">
        <v>25000</v>
      </c>
      <c r="F135" s="158"/>
      <c r="G135" s="1083" t="s">
        <v>276</v>
      </c>
      <c r="H135" s="143"/>
      <c r="I135" s="157"/>
      <c r="J135" s="365"/>
      <c r="K135" s="157">
        <v>25000</v>
      </c>
      <c r="L135" s="158"/>
      <c r="M135" s="1083" t="s">
        <v>276</v>
      </c>
      <c r="N135" s="143"/>
      <c r="O135" s="157"/>
      <c r="P135" s="365"/>
      <c r="Q135" s="157">
        <v>30000</v>
      </c>
      <c r="R135" s="158"/>
      <c r="S135" s="1083" t="s">
        <v>276</v>
      </c>
      <c r="T135" s="143"/>
      <c r="U135" s="157"/>
      <c r="V135" s="365"/>
      <c r="W135" s="157">
        <v>30000</v>
      </c>
      <c r="X135" s="114"/>
      <c r="Y135" s="20"/>
      <c r="Z135" s="87"/>
      <c r="AA135" s="106"/>
      <c r="AB135" s="106"/>
      <c r="AC135" s="106"/>
    </row>
    <row r="136" spans="1:31" s="78" customFormat="1" x14ac:dyDescent="0.2">
      <c r="A136" s="143" t="s">
        <v>91</v>
      </c>
      <c r="B136" s="143"/>
      <c r="C136" s="157"/>
      <c r="D136" s="124">
        <f>$AB$34</f>
        <v>5.2851727610295196</v>
      </c>
      <c r="E136" s="157">
        <f>D136*E$85</f>
        <v>23149.056693309296</v>
      </c>
      <c r="F136" s="158"/>
      <c r="G136" s="143" t="s">
        <v>91</v>
      </c>
      <c r="H136" s="143"/>
      <c r="I136" s="157"/>
      <c r="J136" s="124">
        <f>$AB$34</f>
        <v>5.2851727610295196</v>
      </c>
      <c r="K136" s="157">
        <f>J136*K$85</f>
        <v>29900.864895524508</v>
      </c>
      <c r="L136" s="158"/>
      <c r="M136" s="143" t="s">
        <v>91</v>
      </c>
      <c r="N136" s="143"/>
      <c r="O136" s="157"/>
      <c r="P136" s="124">
        <f>$AB$34</f>
        <v>5.2851727610295196</v>
      </c>
      <c r="Q136" s="157">
        <f>P136*Q$85</f>
        <v>38581.761155515494</v>
      </c>
      <c r="R136" s="158"/>
      <c r="S136" s="143" t="s">
        <v>91</v>
      </c>
      <c r="T136" s="143"/>
      <c r="U136" s="157"/>
      <c r="V136" s="124">
        <f>$AB$34</f>
        <v>5.2851727610295196</v>
      </c>
      <c r="W136" s="157">
        <f>V136*W$85</f>
        <v>48227.20144439437</v>
      </c>
      <c r="X136" s="146"/>
      <c r="Y136" s="69"/>
      <c r="Z136" s="87"/>
      <c r="AA136" s="206"/>
      <c r="AB136" s="206"/>
      <c r="AC136" s="206"/>
    </row>
    <row r="137" spans="1:31" x14ac:dyDescent="0.2">
      <c r="A137" s="143"/>
      <c r="B137" s="143"/>
      <c r="C137" s="157"/>
      <c r="D137" s="124"/>
      <c r="E137" s="157"/>
      <c r="F137" s="158"/>
      <c r="G137" s="143"/>
      <c r="H137" s="143"/>
      <c r="I137" s="157"/>
      <c r="J137" s="124"/>
      <c r="K137" s="157"/>
      <c r="L137" s="158"/>
      <c r="M137" s="143"/>
      <c r="N137" s="143"/>
      <c r="O137" s="157"/>
      <c r="P137" s="124"/>
      <c r="Q137" s="157"/>
      <c r="R137" s="158"/>
      <c r="S137" s="143"/>
      <c r="T137" s="143"/>
      <c r="U137" s="157"/>
      <c r="V137" s="124"/>
      <c r="W137" s="157"/>
      <c r="X137" s="114"/>
      <c r="Y137" s="125"/>
      <c r="Z137" s="73"/>
      <c r="AA137" s="73"/>
      <c r="AB137" s="73"/>
      <c r="AC137" s="73"/>
      <c r="AD137" s="72"/>
      <c r="AE137" s="72"/>
    </row>
    <row r="138" spans="1:31" x14ac:dyDescent="0.2">
      <c r="A138" s="143" t="s">
        <v>283</v>
      </c>
      <c r="B138" s="143"/>
      <c r="C138" s="157"/>
      <c r="D138" s="124">
        <f>$AB$36</f>
        <v>18.364580498704061</v>
      </c>
      <c r="E138" s="157">
        <f>D138*E$85</f>
        <v>80436.862584323782</v>
      </c>
      <c r="F138" s="158"/>
      <c r="G138" s="143" t="s">
        <v>283</v>
      </c>
      <c r="H138" s="143"/>
      <c r="I138" s="157"/>
      <c r="J138" s="124">
        <f>$AB$36</f>
        <v>18.364580498704061</v>
      </c>
      <c r="K138" s="157">
        <f>J138*K$85</f>
        <v>103897.61417141823</v>
      </c>
      <c r="L138" s="158"/>
      <c r="M138" s="143" t="s">
        <v>283</v>
      </c>
      <c r="N138" s="143"/>
      <c r="O138" s="157"/>
      <c r="P138" s="124">
        <f>$AB$36</f>
        <v>18.364580498704061</v>
      </c>
      <c r="Q138" s="157">
        <f>P138*Q$85</f>
        <v>134061.43764053966</v>
      </c>
      <c r="R138" s="158"/>
      <c r="S138" s="143" t="s">
        <v>283</v>
      </c>
      <c r="T138" s="143"/>
      <c r="U138" s="157"/>
      <c r="V138" s="124">
        <f>$AB$36</f>
        <v>18.364580498704061</v>
      </c>
      <c r="W138" s="157">
        <f>V138*W$85</f>
        <v>167576.79705067456</v>
      </c>
      <c r="Y138" s="207"/>
      <c r="Z138" s="73"/>
      <c r="AA138" s="73"/>
      <c r="AB138" s="73"/>
      <c r="AC138" s="73"/>
      <c r="AD138" s="72"/>
      <c r="AE138" s="72"/>
    </row>
    <row r="139" spans="1:31" x14ac:dyDescent="0.2">
      <c r="C139" s="75"/>
      <c r="D139" s="159">
        <f>SUM(D136:D138)</f>
        <v>23.649753259733579</v>
      </c>
      <c r="E139" s="75"/>
      <c r="F139" s="77"/>
      <c r="G139" s="72"/>
      <c r="H139" s="72"/>
      <c r="J139" s="159">
        <f>SUM(J136:J138)</f>
        <v>23.649753259733579</v>
      </c>
      <c r="M139" s="143"/>
      <c r="N139" s="143"/>
      <c r="O139" s="157"/>
      <c r="P139" s="159">
        <f>SUM(P136:P138)</f>
        <v>23.649753259733579</v>
      </c>
      <c r="Q139" s="157"/>
      <c r="R139" s="158"/>
      <c r="S139" s="143"/>
      <c r="T139" s="143"/>
      <c r="U139" s="157"/>
      <c r="V139" s="159">
        <f>SUM(V136:V138)</f>
        <v>23.649753259733579</v>
      </c>
      <c r="W139" s="157"/>
      <c r="Y139" s="135"/>
      <c r="Z139" s="73"/>
      <c r="AA139" s="73"/>
      <c r="AB139" s="73"/>
      <c r="AC139" s="73"/>
      <c r="AD139" s="72"/>
      <c r="AE139" s="72"/>
    </row>
    <row r="140" spans="1:31" x14ac:dyDescent="0.2">
      <c r="A140" s="138" t="s">
        <v>371</v>
      </c>
      <c r="B140" s="138"/>
      <c r="C140" s="139"/>
      <c r="D140" s="140"/>
      <c r="E140" s="139">
        <f>SUM(E134:E138)</f>
        <v>1435749.3309407269</v>
      </c>
      <c r="F140" s="93"/>
      <c r="G140" s="138" t="s">
        <v>371</v>
      </c>
      <c r="H140" s="138"/>
      <c r="I140" s="139"/>
      <c r="J140" s="140"/>
      <c r="K140" s="139">
        <f>SUM(K134:K138)</f>
        <v>1546755.8987927674</v>
      </c>
      <c r="M140" s="387" t="s">
        <v>371</v>
      </c>
      <c r="N140" s="387"/>
      <c r="O140" s="388"/>
      <c r="P140" s="389"/>
      <c r="Q140" s="388">
        <f>SUM(Q134:Q138)</f>
        <v>1594929.6221601907</v>
      </c>
      <c r="R140" s="369"/>
      <c r="S140" s="387" t="s">
        <v>371</v>
      </c>
      <c r="T140" s="387"/>
      <c r="U140" s="388"/>
      <c r="V140" s="389"/>
      <c r="W140" s="388">
        <f>SUM(W134:W138)</f>
        <v>1842813.0976569303</v>
      </c>
      <c r="X140" s="158"/>
      <c r="Y140" s="135"/>
      <c r="Z140" s="73"/>
      <c r="AA140" s="73"/>
      <c r="AB140" s="73"/>
      <c r="AC140" s="73"/>
      <c r="AD140" s="72"/>
      <c r="AE140" s="72"/>
    </row>
    <row r="141" spans="1:31" x14ac:dyDescent="0.2">
      <c r="A141" s="72" t="s">
        <v>286</v>
      </c>
      <c r="C141" s="160">
        <f>$AB$42</f>
        <v>0.121061</v>
      </c>
      <c r="D141" s="132"/>
      <c r="E141" s="75">
        <f>C141*E140</f>
        <v>173813.24975301535</v>
      </c>
      <c r="F141" s="77"/>
      <c r="G141" s="72" t="s">
        <v>286</v>
      </c>
      <c r="H141" s="72"/>
      <c r="I141" s="160">
        <f>$AB$42</f>
        <v>0.121061</v>
      </c>
      <c r="J141" s="132"/>
      <c r="K141" s="75">
        <f>I141*K140</f>
        <v>187251.81586375122</v>
      </c>
      <c r="M141" s="143" t="s">
        <v>286</v>
      </c>
      <c r="N141" s="143"/>
      <c r="O141" s="160">
        <f>$AB$42</f>
        <v>0.121061</v>
      </c>
      <c r="P141" s="124"/>
      <c r="Q141" s="157">
        <f>O141*Q140</f>
        <v>193083.77498833486</v>
      </c>
      <c r="R141" s="158"/>
      <c r="S141" s="143" t="s">
        <v>286</v>
      </c>
      <c r="T141" s="143"/>
      <c r="U141" s="160">
        <f>$AB$42</f>
        <v>0.121061</v>
      </c>
      <c r="V141" s="124"/>
      <c r="W141" s="157">
        <f>U141*W140</f>
        <v>223092.79641544566</v>
      </c>
      <c r="Y141" s="135"/>
      <c r="Z141" s="73"/>
      <c r="AA141" s="73"/>
      <c r="AB141" s="73"/>
      <c r="AC141" s="73"/>
      <c r="AD141" s="72"/>
      <c r="AE141" s="72"/>
    </row>
    <row r="142" spans="1:31" x14ac:dyDescent="0.2">
      <c r="A142" s="973" t="s">
        <v>539</v>
      </c>
      <c r="B142" s="974"/>
      <c r="C142" s="975">
        <f>AB41</f>
        <v>7.4999999999999997E-3</v>
      </c>
      <c r="D142" s="976"/>
      <c r="E142" s="973">
        <f>E130*C142</f>
        <v>7806.8335681129047</v>
      </c>
      <c r="F142" s="977"/>
      <c r="G142" s="973" t="s">
        <v>539</v>
      </c>
      <c r="H142" s="974"/>
      <c r="I142" s="975">
        <f>AB41</f>
        <v>7.4999999999999997E-3</v>
      </c>
      <c r="J142" s="976"/>
      <c r="K142" s="973">
        <f>K130*I142</f>
        <v>8289.3634252208394</v>
      </c>
      <c r="L142" s="977"/>
      <c r="M142" s="973" t="s">
        <v>539</v>
      </c>
      <c r="N142" s="974"/>
      <c r="O142" s="975">
        <f>AB41</f>
        <v>7.4999999999999997E-3</v>
      </c>
      <c r="P142" s="976"/>
      <c r="Q142" s="973">
        <f>Q130*O142</f>
        <v>8315.2177374043858</v>
      </c>
      <c r="R142" s="977"/>
      <c r="S142" s="973" t="s">
        <v>539</v>
      </c>
      <c r="T142" s="974"/>
      <c r="U142" s="975">
        <f>AB41</f>
        <v>7.4999999999999997E-3</v>
      </c>
      <c r="V142" s="124"/>
      <c r="W142" s="973">
        <f>W130*U142</f>
        <v>9537.8926098123866</v>
      </c>
      <c r="Y142" s="135"/>
      <c r="Z142" s="73"/>
      <c r="AA142" s="73"/>
      <c r="AB142" s="73"/>
      <c r="AC142" s="73"/>
      <c r="AD142" s="72"/>
      <c r="AE142" s="72"/>
    </row>
    <row r="143" spans="1:31" ht="13.5" thickBot="1" x14ac:dyDescent="0.25">
      <c r="A143" s="161" t="s">
        <v>288</v>
      </c>
      <c r="B143" s="161"/>
      <c r="C143" s="162"/>
      <c r="D143" s="163"/>
      <c r="E143" s="164">
        <f>ROUND(SUM(E140:E142),2)</f>
        <v>1617369.41</v>
      </c>
      <c r="F143" s="93"/>
      <c r="G143" s="161" t="s">
        <v>288</v>
      </c>
      <c r="H143" s="161"/>
      <c r="I143" s="162"/>
      <c r="J143" s="163"/>
      <c r="K143" s="164">
        <f>ROUND(SUM(K140:K142),2)</f>
        <v>1742297.08</v>
      </c>
      <c r="L143" s="101"/>
      <c r="M143" s="401" t="s">
        <v>288</v>
      </c>
      <c r="N143" s="401"/>
      <c r="O143" s="402"/>
      <c r="P143" s="403"/>
      <c r="Q143" s="404">
        <f>ROUND(SUM(Q140:Q142),2)</f>
        <v>1796328.61</v>
      </c>
      <c r="R143" s="369"/>
      <c r="S143" s="401" t="s">
        <v>288</v>
      </c>
      <c r="T143" s="401"/>
      <c r="U143" s="402"/>
      <c r="V143" s="403"/>
      <c r="W143" s="404">
        <f>ROUND(SUM(W140:W142),2)</f>
        <v>2075443.79</v>
      </c>
      <c r="X143" s="93"/>
      <c r="Y143" s="135"/>
      <c r="Z143" s="73"/>
      <c r="AA143" s="73"/>
      <c r="AB143" s="73"/>
      <c r="AC143" s="73"/>
      <c r="AD143" s="72"/>
      <c r="AE143" s="72"/>
    </row>
    <row r="144" spans="1:31" ht="13.5" thickTop="1" x14ac:dyDescent="0.2">
      <c r="A144" s="111"/>
      <c r="B144" s="111"/>
      <c r="C144" s="112"/>
      <c r="D144" s="165"/>
      <c r="E144" s="112"/>
      <c r="F144" s="114"/>
      <c r="G144" s="111"/>
      <c r="H144" s="111"/>
      <c r="I144" s="112"/>
      <c r="J144" s="165"/>
      <c r="K144" s="112"/>
      <c r="L144" s="101"/>
      <c r="M144" s="391"/>
      <c r="N144" s="391"/>
      <c r="O144" s="392"/>
      <c r="P144" s="405"/>
      <c r="Q144" s="392"/>
      <c r="R144" s="394"/>
      <c r="S144" s="391"/>
      <c r="T144" s="391"/>
      <c r="U144" s="392"/>
      <c r="V144" s="405"/>
      <c r="W144" s="392"/>
      <c r="Y144" s="208"/>
      <c r="Z144" s="208"/>
      <c r="AA144" s="208"/>
      <c r="AB144" s="208"/>
      <c r="AC144" s="73"/>
      <c r="AD144" s="72"/>
      <c r="AE144" s="72"/>
    </row>
    <row r="145" spans="1:31" x14ac:dyDescent="0.2">
      <c r="A145" s="167" t="s">
        <v>289</v>
      </c>
      <c r="B145" s="167"/>
      <c r="C145" s="168"/>
      <c r="D145" s="168"/>
      <c r="E145" s="169">
        <f>E143/E122</f>
        <v>369.26242237442921</v>
      </c>
      <c r="F145" s="171"/>
      <c r="G145" s="167" t="s">
        <v>357</v>
      </c>
      <c r="H145" s="167"/>
      <c r="I145" s="168"/>
      <c r="J145" s="168"/>
      <c r="K145" s="169">
        <f>K143/K122</f>
        <v>307.96236500220948</v>
      </c>
      <c r="L145" s="170"/>
      <c r="M145" s="406" t="s">
        <v>289</v>
      </c>
      <c r="N145" s="406"/>
      <c r="O145" s="407"/>
      <c r="P145" s="407"/>
      <c r="Q145" s="408">
        <f>Q143/Q122</f>
        <v>246.07241232876714</v>
      </c>
      <c r="R145" s="409"/>
      <c r="S145" s="406" t="s">
        <v>289</v>
      </c>
      <c r="T145" s="406"/>
      <c r="U145" s="407"/>
      <c r="V145" s="407"/>
      <c r="W145" s="408">
        <f>W143/W122</f>
        <v>227.44589479452054</v>
      </c>
      <c r="Y145" s="208"/>
      <c r="Z145" s="208"/>
      <c r="AA145" s="208"/>
      <c r="AB145" s="208"/>
      <c r="AC145" s="73"/>
      <c r="AD145" s="72"/>
      <c r="AE145" s="72"/>
    </row>
    <row r="146" spans="1:31" s="101" customFormat="1" ht="15" customHeight="1" thickBot="1" x14ac:dyDescent="0.25">
      <c r="A146" s="167" t="s">
        <v>290</v>
      </c>
      <c r="B146" s="167"/>
      <c r="C146" s="172">
        <f>AB43</f>
        <v>1.8120393120392975E-2</v>
      </c>
      <c r="D146" s="168"/>
      <c r="E146" s="169"/>
      <c r="F146" s="171"/>
      <c r="G146" s="167" t="s">
        <v>290</v>
      </c>
      <c r="H146" s="167"/>
      <c r="I146" s="172">
        <f>AB43</f>
        <v>1.8120393120392975E-2</v>
      </c>
      <c r="J146" s="168"/>
      <c r="K146" s="319">
        <f>K145*1.0254</f>
        <v>315.78460907326564</v>
      </c>
      <c r="L146" s="170"/>
      <c r="M146" s="406" t="s">
        <v>290</v>
      </c>
      <c r="N146" s="406"/>
      <c r="O146" s="199">
        <f>AB43</f>
        <v>1.8120393120392975E-2</v>
      </c>
      <c r="P146" s="407"/>
      <c r="Q146" s="408"/>
      <c r="R146" s="125"/>
      <c r="S146" s="406" t="s">
        <v>290</v>
      </c>
      <c r="T146" s="406"/>
      <c r="U146" s="199">
        <f>AB43</f>
        <v>1.8120393120392975E-2</v>
      </c>
      <c r="V146" s="407"/>
      <c r="W146" s="408"/>
      <c r="X146" s="93"/>
      <c r="Y146" s="209"/>
      <c r="Z146" s="210"/>
      <c r="AA146" s="211"/>
      <c r="AB146" s="210"/>
      <c r="AC146" s="106"/>
    </row>
    <row r="147" spans="1:31" s="101" customFormat="1" ht="13.5" thickBot="1" x14ac:dyDescent="0.25">
      <c r="A147" s="175" t="s">
        <v>292</v>
      </c>
      <c r="B147" s="130"/>
      <c r="C147" s="176">
        <v>0.9</v>
      </c>
      <c r="D147" s="82"/>
      <c r="E147" s="178">
        <f t="shared" ref="E147:E155" si="12">E$143*(C$146+1)/(E$122*C147)</f>
        <v>417.72622514715829</v>
      </c>
      <c r="F147" s="73"/>
      <c r="G147" s="175" t="s">
        <v>292</v>
      </c>
      <c r="H147" s="130"/>
      <c r="I147" s="176">
        <v>0.9</v>
      </c>
      <c r="J147" s="82"/>
      <c r="K147" s="178">
        <f t="shared" ref="K147:K155" si="13">K$143*(I$146+1)/(K$122*I147)</f>
        <v>348.38084902481717</v>
      </c>
      <c r="L147" s="77"/>
      <c r="M147" s="411" t="s">
        <v>292</v>
      </c>
      <c r="N147" s="385"/>
      <c r="O147" s="412">
        <v>0.9</v>
      </c>
      <c r="P147" s="370"/>
      <c r="Q147" s="414">
        <f t="shared" ref="Q147:Q155" si="14">Q$143*(O$146+1)/(Q$122*O147)</f>
        <v>278.36815686249764</v>
      </c>
      <c r="R147" s="158"/>
      <c r="S147" s="411" t="s">
        <v>292</v>
      </c>
      <c r="T147" s="385"/>
      <c r="U147" s="412">
        <v>0.9</v>
      </c>
      <c r="V147" s="370"/>
      <c r="W147" s="414">
        <f t="shared" ref="W147:W155" si="15">W$143*(U$146+1)/(W$122*U147)</f>
        <v>257.29700424646313</v>
      </c>
      <c r="X147" s="114"/>
      <c r="Y147" s="153"/>
      <c r="Z147" s="153"/>
      <c r="AA147" s="153"/>
      <c r="AB147" s="212"/>
      <c r="AC147" s="106"/>
    </row>
    <row r="148" spans="1:31" s="170" customFormat="1" ht="13.15" customHeight="1" thickBot="1" x14ac:dyDescent="0.25">
      <c r="A148" s="181"/>
      <c r="B148" s="73"/>
      <c r="C148" s="182">
        <v>0.85</v>
      </c>
      <c r="D148" s="77"/>
      <c r="E148" s="178">
        <f t="shared" si="12"/>
        <v>442.29835603816758</v>
      </c>
      <c r="F148" s="73"/>
      <c r="G148" s="181"/>
      <c r="H148" s="73"/>
      <c r="I148" s="182">
        <v>0.85</v>
      </c>
      <c r="J148" s="77"/>
      <c r="K148" s="178">
        <f t="shared" si="13"/>
        <v>368.8738401439241</v>
      </c>
      <c r="L148" s="77"/>
      <c r="M148" s="415"/>
      <c r="N148" s="125"/>
      <c r="O148" s="416">
        <v>0.85</v>
      </c>
      <c r="P148" s="158"/>
      <c r="Q148" s="414">
        <f t="shared" si="14"/>
        <v>294.74275432499746</v>
      </c>
      <c r="R148" s="158"/>
      <c r="S148" s="415"/>
      <c r="T148" s="125"/>
      <c r="U148" s="416">
        <v>0.85</v>
      </c>
      <c r="V148" s="158"/>
      <c r="W148" s="414">
        <f t="shared" si="15"/>
        <v>272.4321221433139</v>
      </c>
      <c r="Y148" s="153"/>
      <c r="Z148" s="153"/>
      <c r="AA148" s="153"/>
      <c r="AB148" s="153"/>
      <c r="AC148" s="213"/>
    </row>
    <row r="149" spans="1:31" s="170" customFormat="1" ht="13.5" thickBot="1" x14ac:dyDescent="0.25">
      <c r="A149" s="181"/>
      <c r="B149" s="73"/>
      <c r="C149" s="182">
        <v>0.8</v>
      </c>
      <c r="D149" s="77"/>
      <c r="E149" s="178">
        <f t="shared" si="12"/>
        <v>469.94200329055309</v>
      </c>
      <c r="F149" s="73"/>
      <c r="G149" s="181"/>
      <c r="H149" s="73"/>
      <c r="I149" s="182">
        <v>0.8</v>
      </c>
      <c r="J149" s="77"/>
      <c r="K149" s="178">
        <f t="shared" si="13"/>
        <v>391.92845515291935</v>
      </c>
      <c r="L149" s="77"/>
      <c r="M149" s="415"/>
      <c r="N149" s="125"/>
      <c r="O149" s="416">
        <v>0.8</v>
      </c>
      <c r="P149" s="158"/>
      <c r="Q149" s="414">
        <f t="shared" si="14"/>
        <v>313.16417647030983</v>
      </c>
      <c r="R149" s="158"/>
      <c r="S149" s="415"/>
      <c r="T149" s="125"/>
      <c r="U149" s="416">
        <v>0.8</v>
      </c>
      <c r="V149" s="158"/>
      <c r="W149" s="414">
        <f t="shared" si="15"/>
        <v>289.45912977727107</v>
      </c>
      <c r="X149" s="73"/>
      <c r="Y149" s="153"/>
      <c r="Z149" s="153"/>
      <c r="AA149" s="153"/>
      <c r="AB149" s="153"/>
      <c r="AC149" s="213"/>
    </row>
    <row r="150" spans="1:31" ht="13.5" thickBot="1" x14ac:dyDescent="0.25">
      <c r="A150" s="181"/>
      <c r="B150" s="73"/>
      <c r="C150" s="182">
        <v>0.75</v>
      </c>
      <c r="D150" s="77"/>
      <c r="E150" s="178">
        <f t="shared" si="12"/>
        <v>501.27147017658996</v>
      </c>
      <c r="G150" s="181"/>
      <c r="H150" s="73"/>
      <c r="I150" s="182">
        <v>0.75</v>
      </c>
      <c r="J150" s="77"/>
      <c r="K150" s="178">
        <f t="shared" si="13"/>
        <v>418.05701882978065</v>
      </c>
      <c r="M150" s="415"/>
      <c r="N150" s="125"/>
      <c r="O150" s="416">
        <v>0.75</v>
      </c>
      <c r="P150" s="158"/>
      <c r="Q150" s="414">
        <f t="shared" si="14"/>
        <v>334.04178823499717</v>
      </c>
      <c r="R150" s="158"/>
      <c r="S150" s="415"/>
      <c r="T150" s="125"/>
      <c r="U150" s="416">
        <v>0.75</v>
      </c>
      <c r="V150" s="158"/>
      <c r="W150" s="414">
        <f t="shared" si="15"/>
        <v>308.75640509575578</v>
      </c>
      <c r="X150" s="169"/>
      <c r="Y150" s="153"/>
      <c r="Z150" s="212"/>
      <c r="AA150" s="212"/>
      <c r="AB150" s="212"/>
      <c r="AC150" s="73"/>
      <c r="AD150" s="72"/>
      <c r="AE150" s="72"/>
    </row>
    <row r="151" spans="1:31" ht="13.5" thickBot="1" x14ac:dyDescent="0.25">
      <c r="A151" s="181"/>
      <c r="B151" s="73"/>
      <c r="C151" s="182">
        <v>0.7</v>
      </c>
      <c r="D151" s="77"/>
      <c r="E151" s="178">
        <f t="shared" si="12"/>
        <v>537.07657518920348</v>
      </c>
      <c r="G151" s="181"/>
      <c r="H151" s="73"/>
      <c r="I151" s="182">
        <v>0.7</v>
      </c>
      <c r="J151" s="77"/>
      <c r="K151" s="178">
        <f t="shared" si="13"/>
        <v>447.91823446047931</v>
      </c>
      <c r="M151" s="415"/>
      <c r="N151" s="125"/>
      <c r="O151" s="416">
        <v>0.7</v>
      </c>
      <c r="P151" s="158"/>
      <c r="Q151" s="414">
        <f t="shared" si="14"/>
        <v>357.90191596606837</v>
      </c>
      <c r="R151" s="158"/>
      <c r="S151" s="415"/>
      <c r="T151" s="125"/>
      <c r="U151" s="416">
        <v>0.7</v>
      </c>
      <c r="V151" s="158"/>
      <c r="W151" s="414">
        <f t="shared" si="15"/>
        <v>330.81043403116689</v>
      </c>
      <c r="X151" s="169"/>
      <c r="Y151" s="214"/>
      <c r="Z151" s="214"/>
      <c r="AA151" s="214"/>
      <c r="AB151" s="214"/>
      <c r="AC151" s="73"/>
      <c r="AD151" s="72"/>
      <c r="AE151" s="72"/>
    </row>
    <row r="152" spans="1:31" ht="13.5" thickBot="1" x14ac:dyDescent="0.25">
      <c r="A152" s="181"/>
      <c r="B152" s="73"/>
      <c r="C152" s="182">
        <v>0.65</v>
      </c>
      <c r="D152" s="77"/>
      <c r="E152" s="178">
        <f t="shared" si="12"/>
        <v>578.39015789606538</v>
      </c>
      <c r="G152" s="181"/>
      <c r="H152" s="73"/>
      <c r="I152" s="182">
        <v>0.65</v>
      </c>
      <c r="J152" s="77"/>
      <c r="K152" s="178">
        <f t="shared" si="13"/>
        <v>482.37348326513148</v>
      </c>
      <c r="M152" s="415"/>
      <c r="N152" s="125"/>
      <c r="O152" s="416">
        <v>0.65</v>
      </c>
      <c r="P152" s="158"/>
      <c r="Q152" s="414">
        <f t="shared" si="14"/>
        <v>385.43283257884286</v>
      </c>
      <c r="R152" s="158"/>
      <c r="S152" s="415"/>
      <c r="T152" s="125"/>
      <c r="U152" s="416">
        <v>0.65</v>
      </c>
      <c r="V152" s="158"/>
      <c r="W152" s="414">
        <f t="shared" si="15"/>
        <v>356.25739049510281</v>
      </c>
      <c r="X152" s="169"/>
      <c r="Y152" s="209"/>
      <c r="Z152" s="210"/>
      <c r="AA152" s="211"/>
      <c r="AB152" s="210"/>
      <c r="AC152" s="73"/>
      <c r="AD152" s="72"/>
      <c r="AE152" s="72"/>
    </row>
    <row r="153" spans="1:31" ht="13.5" thickBot="1" x14ac:dyDescent="0.25">
      <c r="A153" s="181"/>
      <c r="B153" s="73"/>
      <c r="C153" s="182">
        <v>0.6</v>
      </c>
      <c r="D153" s="77"/>
      <c r="E153" s="178">
        <f t="shared" si="12"/>
        <v>626.58933772073738</v>
      </c>
      <c r="G153" s="181"/>
      <c r="H153" s="73"/>
      <c r="I153" s="182">
        <v>0.6</v>
      </c>
      <c r="J153" s="77"/>
      <c r="K153" s="178">
        <f t="shared" si="13"/>
        <v>522.57127353722581</v>
      </c>
      <c r="M153" s="415"/>
      <c r="N153" s="125"/>
      <c r="O153" s="416">
        <v>0.6</v>
      </c>
      <c r="P153" s="158"/>
      <c r="Q153" s="414">
        <f t="shared" si="14"/>
        <v>417.55223529374643</v>
      </c>
      <c r="R153" s="158"/>
      <c r="S153" s="415"/>
      <c r="T153" s="125"/>
      <c r="U153" s="416">
        <v>0.6</v>
      </c>
      <c r="V153" s="158"/>
      <c r="W153" s="414">
        <f t="shared" si="15"/>
        <v>385.94550636969473</v>
      </c>
      <c r="X153" s="169"/>
      <c r="Y153" s="153"/>
      <c r="Z153" s="153"/>
      <c r="AA153" s="153"/>
      <c r="AB153" s="153"/>
      <c r="AC153" s="73"/>
      <c r="AD153" s="72"/>
      <c r="AE153" s="72"/>
    </row>
    <row r="154" spans="1:31" ht="13.5" thickBot="1" x14ac:dyDescent="0.25">
      <c r="A154" s="181"/>
      <c r="B154" s="73"/>
      <c r="C154" s="182">
        <v>0.55000000000000004</v>
      </c>
      <c r="D154" s="77"/>
      <c r="E154" s="178">
        <f t="shared" si="12"/>
        <v>683.55200478625898</v>
      </c>
      <c r="G154" s="181"/>
      <c r="H154" s="73"/>
      <c r="I154" s="182">
        <v>0.55000000000000004</v>
      </c>
      <c r="J154" s="77"/>
      <c r="K154" s="178">
        <f t="shared" si="13"/>
        <v>570.07775294970077</v>
      </c>
      <c r="M154" s="415"/>
      <c r="N154" s="125"/>
      <c r="O154" s="416">
        <v>0.55000000000000004</v>
      </c>
      <c r="P154" s="158"/>
      <c r="Q154" s="414">
        <f t="shared" si="14"/>
        <v>455.51152941135967</v>
      </c>
      <c r="R154" s="158"/>
      <c r="S154" s="415"/>
      <c r="T154" s="125"/>
      <c r="U154" s="416">
        <v>0.55000000000000004</v>
      </c>
      <c r="V154" s="158"/>
      <c r="W154" s="414">
        <f t="shared" si="15"/>
        <v>421.03146149421241</v>
      </c>
      <c r="X154" s="169"/>
      <c r="Y154" s="153"/>
      <c r="Z154" s="153"/>
      <c r="AA154" s="153"/>
      <c r="AB154" s="153"/>
      <c r="AC154" s="73"/>
      <c r="AD154" s="72"/>
      <c r="AE154" s="72"/>
    </row>
    <row r="155" spans="1:31" ht="13.5" thickBot="1" x14ac:dyDescent="0.25">
      <c r="A155" s="189"/>
      <c r="B155" s="190"/>
      <c r="C155" s="191">
        <v>0.5</v>
      </c>
      <c r="D155" s="192"/>
      <c r="E155" s="1081">
        <f t="shared" si="12"/>
        <v>751.90720526488496</v>
      </c>
      <c r="G155" s="189"/>
      <c r="H155" s="190"/>
      <c r="I155" s="191">
        <v>0.5</v>
      </c>
      <c r="J155" s="192"/>
      <c r="K155" s="1081">
        <f t="shared" si="13"/>
        <v>627.08552824467097</v>
      </c>
      <c r="M155" s="418"/>
      <c r="N155" s="419"/>
      <c r="O155" s="420">
        <v>0.5</v>
      </c>
      <c r="P155" s="421"/>
      <c r="Q155" s="1082">
        <f t="shared" si="14"/>
        <v>501.0626823524957</v>
      </c>
      <c r="R155" s="158"/>
      <c r="S155" s="418"/>
      <c r="T155" s="419"/>
      <c r="U155" s="420">
        <v>0.5</v>
      </c>
      <c r="V155" s="421"/>
      <c r="W155" s="1082">
        <f t="shared" si="15"/>
        <v>463.13460764363367</v>
      </c>
      <c r="X155" s="169"/>
      <c r="Z155" s="73"/>
      <c r="AA155" s="73"/>
      <c r="AB155" s="73"/>
      <c r="AC155" s="73"/>
      <c r="AD155" s="72"/>
      <c r="AE155" s="72"/>
    </row>
    <row r="156" spans="1:31" x14ac:dyDescent="0.2">
      <c r="X156" s="169"/>
      <c r="Y156" s="180"/>
      <c r="Z156" s="172"/>
      <c r="AA156" s="73"/>
      <c r="AB156" s="73"/>
      <c r="AC156" s="73"/>
      <c r="AD156" s="72"/>
      <c r="AE156" s="72"/>
    </row>
    <row r="157" spans="1:31" x14ac:dyDescent="0.2">
      <c r="X157" s="169"/>
      <c r="Z157" s="71"/>
      <c r="AA157" s="71"/>
      <c r="AB157" s="72"/>
      <c r="AC157" s="72"/>
      <c r="AD157" s="72"/>
      <c r="AE157" s="72"/>
    </row>
    <row r="158" spans="1:31" x14ac:dyDescent="0.2">
      <c r="X158" s="169"/>
      <c r="Y158" s="185"/>
      <c r="Z158" s="72"/>
      <c r="AA158" s="72"/>
      <c r="AB158" s="71"/>
      <c r="AC158" s="71"/>
      <c r="AD158" s="71"/>
      <c r="AE158" s="71"/>
    </row>
  </sheetData>
  <mergeCells count="7">
    <mergeCell ref="A120:B120"/>
    <mergeCell ref="G121:K121"/>
    <mergeCell ref="A83:B83"/>
    <mergeCell ref="Z1:AE1"/>
    <mergeCell ref="G2:K2"/>
    <mergeCell ref="AB15:AE15"/>
    <mergeCell ref="AB25:AE25"/>
  </mergeCells>
  <pageMargins left="0" right="0" top="0.5" bottom="0.64" header="0.2" footer="0.34"/>
  <pageSetup paperSize="5" scale="47" fitToHeight="2" orientation="landscape" r:id="rId1"/>
  <headerFooter alignWithMargins="0">
    <oddHeader>&amp;C&amp;20YOUTH INTERMEDIATE TERM RESIDENTIAL RATES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AP155"/>
  <sheetViews>
    <sheetView zoomScale="80" zoomScaleNormal="80" zoomScaleSheetLayoutView="75" workbookViewId="0">
      <selection activeCell="I164" sqref="I164"/>
    </sheetView>
  </sheetViews>
  <sheetFormatPr defaultColWidth="8.25" defaultRowHeight="12.75" x14ac:dyDescent="0.2"/>
  <cols>
    <col min="1" max="1" width="22.125" style="72" customWidth="1"/>
    <col min="2" max="2" width="9" style="72" customWidth="1"/>
    <col min="3" max="3" width="8.375" style="72" bestFit="1" customWidth="1"/>
    <col min="4" max="4" width="7.875" style="72" customWidth="1"/>
    <col min="5" max="5" width="17.625" style="72" customWidth="1"/>
    <col min="6" max="7" width="11.75" style="72" customWidth="1"/>
    <col min="8" max="8" width="2.5" style="73" customWidth="1"/>
    <col min="9" max="9" width="22.75" style="78" customWidth="1"/>
    <col min="10" max="10" width="9" style="74" customWidth="1"/>
    <col min="11" max="11" width="10.375" style="75" customWidth="1"/>
    <col min="12" max="12" width="7.875" style="76" customWidth="1"/>
    <col min="13" max="13" width="9.625" style="75" customWidth="1"/>
    <col min="14" max="15" width="11.75" style="75" customWidth="1"/>
    <col min="16" max="16" width="2.25" style="77" customWidth="1"/>
    <col min="17" max="17" width="16.875" style="74" customWidth="1"/>
    <col min="18" max="18" width="9.125" style="75" customWidth="1"/>
    <col min="19" max="19" width="8.75" style="76" bestFit="1" customWidth="1"/>
    <col min="20" max="20" width="8.25" style="75" customWidth="1"/>
    <col min="21" max="21" width="9.625" style="77" customWidth="1"/>
    <col min="22" max="23" width="11.75" style="77" customWidth="1"/>
    <col min="24" max="24" width="2.75" style="78" customWidth="1"/>
    <col min="25" max="25" width="22.625" style="74" customWidth="1"/>
    <col min="26" max="26" width="9.125" style="75" customWidth="1"/>
    <col min="27" max="27" width="8.75" style="76" bestFit="1" customWidth="1"/>
    <col min="28" max="28" width="8.125" style="75" bestFit="1" customWidth="1"/>
    <col min="29" max="29" width="12.125" style="77" bestFit="1" customWidth="1"/>
    <col min="30" max="31" width="11.75" style="77" customWidth="1"/>
    <col min="32" max="32" width="3.625" style="77" customWidth="1"/>
    <col min="33" max="33" width="7.375" style="77" customWidth="1"/>
    <col min="34" max="34" width="28.375" style="77" bestFit="1" customWidth="1"/>
    <col min="35" max="35" width="7.375" style="77" customWidth="1"/>
    <col min="36" max="36" width="7.5" style="77" bestFit="1" customWidth="1"/>
    <col min="37" max="37" width="7.125" style="75" customWidth="1"/>
    <col min="38" max="38" width="7.375" style="76" customWidth="1"/>
    <col min="39" max="39" width="8.25" style="75" customWidth="1"/>
    <col min="40" max="40" width="6.625" style="72" customWidth="1"/>
    <col min="41" max="41" width="7.625" style="72" bestFit="1" customWidth="1"/>
    <col min="42" max="42" width="6.625" style="72" customWidth="1"/>
    <col min="43" max="43" width="4.25" style="72" customWidth="1"/>
    <col min="44" max="44" width="4.625" style="72" customWidth="1"/>
    <col min="45" max="45" width="4" style="72" customWidth="1"/>
    <col min="46" max="46" width="4.125" style="72" customWidth="1"/>
    <col min="47" max="47" width="4" style="72" customWidth="1"/>
    <col min="48" max="16384" width="8.25" style="72"/>
  </cols>
  <sheetData>
    <row r="1" spans="1:39" ht="13.5" thickBot="1" x14ac:dyDescent="0.25">
      <c r="A1" s="84" t="s">
        <v>253</v>
      </c>
      <c r="I1" s="72"/>
      <c r="AH1" s="1122" t="s">
        <v>249</v>
      </c>
      <c r="AI1" s="1122"/>
      <c r="AJ1" s="1122"/>
      <c r="AK1" s="1122"/>
      <c r="AL1" s="1122"/>
      <c r="AM1" s="1122"/>
    </row>
    <row r="2" spans="1:39" ht="14.25" customHeight="1" x14ac:dyDescent="0.2">
      <c r="A2" s="144"/>
      <c r="B2" s="74"/>
      <c r="C2" s="366" t="s">
        <v>255</v>
      </c>
      <c r="D2" s="367"/>
      <c r="E2" s="368"/>
      <c r="F2" s="368"/>
      <c r="G2" s="368"/>
      <c r="H2" s="369"/>
      <c r="I2" s="1123" t="s">
        <v>256</v>
      </c>
      <c r="J2" s="1123"/>
      <c r="K2" s="1123"/>
      <c r="L2" s="1123"/>
      <c r="M2" s="1123"/>
      <c r="N2" s="368"/>
      <c r="O2" s="368"/>
      <c r="P2" s="158"/>
      <c r="Q2" s="144"/>
      <c r="R2" s="74"/>
      <c r="S2" s="366" t="s">
        <v>257</v>
      </c>
      <c r="T2" s="367"/>
      <c r="U2" s="368"/>
      <c r="V2" s="369"/>
      <c r="W2" s="369"/>
      <c r="X2" s="93"/>
      <c r="Y2" s="78"/>
      <c r="Z2" s="74"/>
      <c r="AA2" s="90" t="s">
        <v>258</v>
      </c>
      <c r="AB2" s="91"/>
      <c r="AC2" s="92"/>
      <c r="AD2" s="93"/>
      <c r="AE2" s="93"/>
      <c r="AF2" s="93"/>
      <c r="AG2" s="93"/>
      <c r="AH2" s="79" t="s">
        <v>250</v>
      </c>
      <c r="AI2" s="337" t="s">
        <v>251</v>
      </c>
      <c r="AJ2" s="80" t="s">
        <v>252</v>
      </c>
      <c r="AK2" s="81"/>
      <c r="AL2" s="82"/>
      <c r="AM2" s="83"/>
    </row>
    <row r="3" spans="1:39" s="101" customFormat="1" x14ac:dyDescent="0.2">
      <c r="A3" s="216" t="s">
        <v>261</v>
      </c>
      <c r="B3" s="95" t="s">
        <v>339</v>
      </c>
      <c r="C3" s="371" t="s">
        <v>262</v>
      </c>
      <c r="D3" s="97">
        <v>365</v>
      </c>
      <c r="E3" s="372">
        <f>D3*B4</f>
        <v>4380</v>
      </c>
      <c r="F3" s="372"/>
      <c r="G3" s="372"/>
      <c r="H3" s="218"/>
      <c r="I3" s="216" t="s">
        <v>261</v>
      </c>
      <c r="J3" s="100" t="s">
        <v>340</v>
      </c>
      <c r="K3" s="371" t="s">
        <v>262</v>
      </c>
      <c r="L3" s="97">
        <v>365</v>
      </c>
      <c r="M3" s="372">
        <f>J4*L3</f>
        <v>5657.5</v>
      </c>
      <c r="N3" s="372"/>
      <c r="O3" s="372"/>
      <c r="P3" s="71"/>
      <c r="Q3" s="216" t="s">
        <v>261</v>
      </c>
      <c r="R3" s="102" t="s">
        <v>263</v>
      </c>
      <c r="S3" s="371" t="s">
        <v>262</v>
      </c>
      <c r="T3" s="97">
        <v>365</v>
      </c>
      <c r="U3" s="372">
        <f>R4*T3</f>
        <v>7300</v>
      </c>
      <c r="V3" s="218"/>
      <c r="W3" s="218"/>
      <c r="X3" s="99"/>
      <c r="Y3" s="94" t="s">
        <v>261</v>
      </c>
      <c r="Z3" s="102" t="s">
        <v>264</v>
      </c>
      <c r="AA3" s="96" t="s">
        <v>262</v>
      </c>
      <c r="AB3" s="97">
        <v>365</v>
      </c>
      <c r="AC3" s="98">
        <f>Z4*AB3</f>
        <v>9125</v>
      </c>
      <c r="AD3" s="99"/>
      <c r="AE3" s="99"/>
      <c r="AF3" s="99"/>
      <c r="AG3" s="99"/>
      <c r="AH3" s="85" t="s">
        <v>254</v>
      </c>
      <c r="AI3" s="86">
        <v>15</v>
      </c>
      <c r="AJ3" s="86">
        <f>AI3*8</f>
        <v>120</v>
      </c>
      <c r="AK3" s="87"/>
      <c r="AL3" s="88"/>
      <c r="AM3" s="89"/>
    </row>
    <row r="4" spans="1:39" s="101" customFormat="1" x14ac:dyDescent="0.2">
      <c r="A4" s="216"/>
      <c r="B4" s="102">
        <v>12</v>
      </c>
      <c r="C4" s="371"/>
      <c r="D4" s="97"/>
      <c r="E4" s="372"/>
      <c r="F4" s="372"/>
      <c r="G4" s="372"/>
      <c r="H4" s="218"/>
      <c r="I4" s="216"/>
      <c r="J4" s="102">
        <v>15.5</v>
      </c>
      <c r="K4" s="371"/>
      <c r="L4" s="97"/>
      <c r="M4" s="372"/>
      <c r="N4" s="372"/>
      <c r="O4" s="372"/>
      <c r="P4" s="71"/>
      <c r="Q4" s="216"/>
      <c r="R4" s="102">
        <v>20</v>
      </c>
      <c r="S4" s="371"/>
      <c r="T4" s="97"/>
      <c r="U4" s="372"/>
      <c r="V4" s="218"/>
      <c r="W4" s="218"/>
      <c r="X4" s="99"/>
      <c r="Y4" s="94"/>
      <c r="Z4" s="102">
        <v>25</v>
      </c>
      <c r="AA4" s="96"/>
      <c r="AB4" s="97"/>
      <c r="AC4" s="98"/>
      <c r="AD4" s="99"/>
      <c r="AE4" s="99"/>
      <c r="AF4" s="99"/>
      <c r="AG4" s="99"/>
      <c r="AH4" s="85" t="s">
        <v>260</v>
      </c>
      <c r="AI4" s="86">
        <v>15</v>
      </c>
      <c r="AJ4" s="86">
        <f>AI4*8</f>
        <v>120</v>
      </c>
      <c r="AK4" s="87"/>
      <c r="AL4" s="88"/>
      <c r="AM4" s="89"/>
    </row>
    <row r="5" spans="1:39" s="101" customFormat="1" x14ac:dyDescent="0.2">
      <c r="A5" s="216"/>
      <c r="B5" s="102"/>
      <c r="C5" s="374"/>
      <c r="D5" s="97"/>
      <c r="E5" s="372"/>
      <c r="F5" s="372"/>
      <c r="G5" s="372"/>
      <c r="H5" s="218"/>
      <c r="I5" s="216"/>
      <c r="J5" s="102"/>
      <c r="K5" s="371"/>
      <c r="L5" s="97"/>
      <c r="M5" s="372"/>
      <c r="N5" s="372"/>
      <c r="O5" s="372"/>
      <c r="P5" s="71"/>
      <c r="Q5" s="216"/>
      <c r="R5" s="102"/>
      <c r="S5" s="371"/>
      <c r="T5" s="97"/>
      <c r="U5" s="372"/>
      <c r="V5" s="218"/>
      <c r="W5" s="218"/>
      <c r="X5" s="99"/>
      <c r="Y5" s="94"/>
      <c r="Z5" s="102"/>
      <c r="AA5" s="96"/>
      <c r="AB5" s="97"/>
      <c r="AC5" s="98"/>
      <c r="AD5" s="99"/>
      <c r="AE5" s="99"/>
      <c r="AF5" s="99"/>
      <c r="AG5" s="99"/>
      <c r="AH5" s="85" t="s">
        <v>266</v>
      </c>
      <c r="AI5" s="86">
        <v>13</v>
      </c>
      <c r="AJ5" s="86">
        <f>AI5*8</f>
        <v>104</v>
      </c>
      <c r="AK5" s="87"/>
      <c r="AL5" s="77"/>
      <c r="AM5" s="103"/>
    </row>
    <row r="6" spans="1:39" s="357" customFormat="1" ht="28.5" customHeight="1" x14ac:dyDescent="0.2">
      <c r="A6" s="375"/>
      <c r="B6" s="376" t="s">
        <v>269</v>
      </c>
      <c r="C6" s="377" t="s">
        <v>341</v>
      </c>
      <c r="D6" s="378" t="s">
        <v>270</v>
      </c>
      <c r="E6" s="377" t="s">
        <v>342</v>
      </c>
      <c r="F6" s="377"/>
      <c r="G6" s="377"/>
      <c r="H6" s="379"/>
      <c r="I6" s="375"/>
      <c r="J6" s="376" t="s">
        <v>269</v>
      </c>
      <c r="K6" s="377" t="s">
        <v>341</v>
      </c>
      <c r="L6" s="378" t="s">
        <v>270</v>
      </c>
      <c r="M6" s="377" t="s">
        <v>372</v>
      </c>
      <c r="N6" s="377"/>
      <c r="O6" s="377"/>
      <c r="P6" s="217"/>
      <c r="Q6" s="375"/>
      <c r="R6" s="376" t="s">
        <v>269</v>
      </c>
      <c r="S6" s="377" t="s">
        <v>341</v>
      </c>
      <c r="T6" s="378" t="s">
        <v>270</v>
      </c>
      <c r="U6" s="377" t="s">
        <v>342</v>
      </c>
      <c r="V6" s="379"/>
      <c r="W6" s="379"/>
      <c r="X6" s="207"/>
      <c r="Y6" s="356"/>
      <c r="Z6" s="292" t="s">
        <v>269</v>
      </c>
      <c r="AA6" s="293" t="s">
        <v>341</v>
      </c>
      <c r="AB6" s="294" t="s">
        <v>270</v>
      </c>
      <c r="AC6" s="293" t="s">
        <v>342</v>
      </c>
      <c r="AD6" s="207"/>
      <c r="AE6" s="207"/>
      <c r="AF6" s="207"/>
      <c r="AG6" s="207"/>
      <c r="AH6" s="358" t="s">
        <v>267</v>
      </c>
      <c r="AI6" s="359">
        <v>8</v>
      </c>
      <c r="AJ6" s="359">
        <f>AI6*8</f>
        <v>64</v>
      </c>
      <c r="AK6" s="276"/>
      <c r="AL6" s="354"/>
      <c r="AM6" s="355"/>
    </row>
    <row r="7" spans="1:39" s="75" customFormat="1" x14ac:dyDescent="0.2">
      <c r="A7" s="380" t="s">
        <v>272</v>
      </c>
      <c r="B7" s="381"/>
      <c r="C7" s="382">
        <f>$AK$11</f>
        <v>59700.570397111915</v>
      </c>
      <c r="D7" s="124">
        <f>AJ18</f>
        <v>2.15</v>
      </c>
      <c r="E7" s="157">
        <f>C7*D7</f>
        <v>128356.22635379061</v>
      </c>
      <c r="F7" s="157"/>
      <c r="G7" s="157"/>
      <c r="H7" s="158"/>
      <c r="I7" s="380" t="s">
        <v>272</v>
      </c>
      <c r="J7" s="381"/>
      <c r="K7" s="382">
        <f>$AK$11</f>
        <v>59700.570397111915</v>
      </c>
      <c r="L7" s="124">
        <f>AK18</f>
        <v>2.15</v>
      </c>
      <c r="M7" s="157">
        <f>K7*L7</f>
        <v>128356.22635379061</v>
      </c>
      <c r="N7" s="157"/>
      <c r="O7" s="157"/>
      <c r="P7" s="157"/>
      <c r="Q7" s="380" t="s">
        <v>272</v>
      </c>
      <c r="R7" s="381"/>
      <c r="S7" s="382">
        <f>$AK$11</f>
        <v>59700.570397111915</v>
      </c>
      <c r="T7" s="124">
        <f>AL18</f>
        <v>2.15</v>
      </c>
      <c r="U7" s="157">
        <f>S7*T7</f>
        <v>128356.22635379061</v>
      </c>
      <c r="V7" s="158"/>
      <c r="W7" s="158"/>
      <c r="X7" s="77"/>
      <c r="Y7" s="121" t="s">
        <v>272</v>
      </c>
      <c r="Z7" s="381"/>
      <c r="AA7" s="382">
        <f>$AK$11</f>
        <v>59700.570397111915</v>
      </c>
      <c r="AB7" s="124">
        <f>$AM$18</f>
        <v>2.15</v>
      </c>
      <c r="AC7" s="157">
        <f>AA7*AB7</f>
        <v>128356.22635379061</v>
      </c>
      <c r="AD7" s="77"/>
      <c r="AE7" s="77"/>
      <c r="AF7" s="77"/>
      <c r="AG7" s="77"/>
      <c r="AH7" s="85"/>
      <c r="AI7" s="109" t="s">
        <v>268</v>
      </c>
      <c r="AJ7" s="86">
        <f>SUM(AJ3:AJ6)</f>
        <v>408</v>
      </c>
      <c r="AK7" s="110"/>
      <c r="AL7" s="106"/>
      <c r="AM7" s="107"/>
    </row>
    <row r="8" spans="1:39" s="75" customFormat="1" ht="13.5" thickBot="1" x14ac:dyDescent="0.25">
      <c r="A8" s="380" t="s">
        <v>273</v>
      </c>
      <c r="B8" s="381"/>
      <c r="C8" s="382">
        <f>$AK$12</f>
        <v>51947.798987144524</v>
      </c>
      <c r="D8" s="124">
        <f>AJ19</f>
        <v>3</v>
      </c>
      <c r="E8" s="157">
        <f>C8*D8</f>
        <v>155843.39696143358</v>
      </c>
      <c r="F8" s="157"/>
      <c r="G8" s="157"/>
      <c r="H8" s="158"/>
      <c r="I8" s="380" t="s">
        <v>273</v>
      </c>
      <c r="J8" s="381"/>
      <c r="K8" s="382">
        <f>$AK$12</f>
        <v>51947.798987144524</v>
      </c>
      <c r="L8" s="124">
        <f>AK19</f>
        <v>3</v>
      </c>
      <c r="M8" s="157">
        <f>K8*L8</f>
        <v>155843.39696143358</v>
      </c>
      <c r="N8" s="157"/>
      <c r="O8" s="157"/>
      <c r="P8" s="157"/>
      <c r="Q8" s="380" t="s">
        <v>273</v>
      </c>
      <c r="R8" s="381"/>
      <c r="S8" s="382">
        <f>$AK$12</f>
        <v>51947.798987144524</v>
      </c>
      <c r="T8" s="124">
        <f>AL19</f>
        <v>3</v>
      </c>
      <c r="U8" s="157">
        <f>S8*T8</f>
        <v>155843.39696143358</v>
      </c>
      <c r="V8" s="158"/>
      <c r="W8" s="158"/>
      <c r="X8" s="77"/>
      <c r="Y8" s="121" t="s">
        <v>273</v>
      </c>
      <c r="Z8" s="381"/>
      <c r="AA8" s="382">
        <f>$AK$12</f>
        <v>51947.798987144524</v>
      </c>
      <c r="AB8" s="124">
        <f>$AM$19</f>
        <v>4</v>
      </c>
      <c r="AC8" s="157">
        <f>AA8*AB8</f>
        <v>207791.1959485781</v>
      </c>
      <c r="AD8" s="77"/>
      <c r="AE8" s="77"/>
      <c r="AF8" s="77"/>
      <c r="AG8" s="77"/>
      <c r="AH8" s="115"/>
      <c r="AI8" s="116" t="s">
        <v>271</v>
      </c>
      <c r="AJ8" s="117">
        <f>AJ7/(52*40)</f>
        <v>0.19615384615384615</v>
      </c>
      <c r="AK8" s="118"/>
      <c r="AL8" s="119"/>
      <c r="AM8" s="120"/>
    </row>
    <row r="9" spans="1:39" s="133" customFormat="1" ht="13.5" thickBot="1" x14ac:dyDescent="0.25">
      <c r="A9" s="383" t="s">
        <v>275</v>
      </c>
      <c r="B9" s="124">
        <f>AJ27</f>
        <v>0.8482142857142857</v>
      </c>
      <c r="C9" s="382">
        <f>$AK$13</f>
        <v>31102.5</v>
      </c>
      <c r="D9" s="124">
        <f>B4/B9</f>
        <v>14.147368421052631</v>
      </c>
      <c r="E9" s="157">
        <f>C9*D9</f>
        <v>440018.52631578944</v>
      </c>
      <c r="F9" s="157"/>
      <c r="G9" s="157"/>
      <c r="H9" s="158"/>
      <c r="I9" s="383" t="s">
        <v>275</v>
      </c>
      <c r="J9" s="124">
        <f>AK27</f>
        <v>0.85815273477812182</v>
      </c>
      <c r="K9" s="382">
        <f>$AK$13</f>
        <v>31102.5</v>
      </c>
      <c r="L9" s="124">
        <f>J4/J9</f>
        <v>18.062052792976971</v>
      </c>
      <c r="M9" s="157">
        <f>K9*L9</f>
        <v>561774.99699356628</v>
      </c>
      <c r="N9" s="157"/>
      <c r="O9" s="157"/>
      <c r="P9" s="243"/>
      <c r="Q9" s="383" t="s">
        <v>275</v>
      </c>
      <c r="R9" s="124">
        <f>AL27</f>
        <v>0.92860869565217397</v>
      </c>
      <c r="S9" s="382">
        <f>$AK$13</f>
        <v>31102.5</v>
      </c>
      <c r="T9" s="124">
        <f>R4/R9</f>
        <v>21.537597153291504</v>
      </c>
      <c r="U9" s="157">
        <f>S9*T9</f>
        <v>669873.11546024901</v>
      </c>
      <c r="V9" s="158"/>
      <c r="W9" s="158"/>
      <c r="X9" s="77"/>
      <c r="Y9" s="131" t="s">
        <v>275</v>
      </c>
      <c r="Z9" s="124">
        <f>AM27</f>
        <v>0.93530864197530861</v>
      </c>
      <c r="AA9" s="382">
        <f>$AK$13</f>
        <v>31102.5</v>
      </c>
      <c r="AB9" s="124">
        <f>Z4/Z9</f>
        <v>26.729144667370644</v>
      </c>
      <c r="AC9" s="157">
        <f>AA9*AB9</f>
        <v>831343.22201689542</v>
      </c>
      <c r="AD9" s="77"/>
      <c r="AE9" s="77"/>
      <c r="AF9" s="77"/>
      <c r="AG9" s="77"/>
      <c r="AH9" s="73"/>
      <c r="AI9" s="125"/>
      <c r="AJ9" s="69"/>
      <c r="AK9" s="126"/>
      <c r="AL9" s="78"/>
      <c r="AM9" s="78"/>
    </row>
    <row r="10" spans="1:39" s="133" customFormat="1" x14ac:dyDescent="0.2">
      <c r="A10" s="383" t="s">
        <v>276</v>
      </c>
      <c r="B10" s="124"/>
      <c r="C10" s="382">
        <f>$AK$13</f>
        <v>31102.5</v>
      </c>
      <c r="D10" s="124">
        <f>D9*AJ8</f>
        <v>2.7750607287449394</v>
      </c>
      <c r="E10" s="157">
        <f>C10*D10</f>
        <v>86311.326315789483</v>
      </c>
      <c r="F10" s="157"/>
      <c r="G10" s="157"/>
      <c r="H10" s="158"/>
      <c r="I10" s="383" t="s">
        <v>276</v>
      </c>
      <c r="J10" s="384"/>
      <c r="K10" s="382">
        <f>$AK$13</f>
        <v>31102.5</v>
      </c>
      <c r="L10" s="124">
        <f>L9*$AJ$8</f>
        <v>3.5429411247762519</v>
      </c>
      <c r="M10" s="157">
        <f>K10*L10</f>
        <v>110194.32633335337</v>
      </c>
      <c r="N10" s="157"/>
      <c r="O10" s="157"/>
      <c r="P10" s="243"/>
      <c r="Q10" s="383" t="s">
        <v>276</v>
      </c>
      <c r="R10" s="124"/>
      <c r="S10" s="382">
        <f>$AK$13</f>
        <v>31102.5</v>
      </c>
      <c r="T10" s="124">
        <f>T9*$AJ$8</f>
        <v>4.2246825185302566</v>
      </c>
      <c r="U10" s="157">
        <f>S10*T10</f>
        <v>131398.18803258729</v>
      </c>
      <c r="V10" s="158"/>
      <c r="W10" s="158"/>
      <c r="X10" s="77"/>
      <c r="Y10" s="131" t="s">
        <v>276</v>
      </c>
      <c r="Z10" s="124"/>
      <c r="AA10" s="382">
        <f>$AK$13</f>
        <v>31102.5</v>
      </c>
      <c r="AB10" s="124">
        <f>AB9*$AJ$8</f>
        <v>5.2430245309073182</v>
      </c>
      <c r="AC10" s="157">
        <f>AA10*AB10</f>
        <v>163071.17047254488</v>
      </c>
      <c r="AD10" s="77"/>
      <c r="AE10" s="77"/>
      <c r="AF10" s="77"/>
      <c r="AG10" s="77"/>
      <c r="AH10" s="127"/>
      <c r="AI10" s="128"/>
      <c r="AJ10" s="128"/>
      <c r="AK10" s="129" t="s">
        <v>274</v>
      </c>
      <c r="AL10" s="130"/>
      <c r="AM10" s="286"/>
    </row>
    <row r="11" spans="1:39" s="75" customFormat="1" x14ac:dyDescent="0.2">
      <c r="A11" s="380" t="s">
        <v>370</v>
      </c>
      <c r="B11" s="124"/>
      <c r="C11" s="382">
        <f>$AK$14</f>
        <v>30600.305857957486</v>
      </c>
      <c r="D11" s="124">
        <f>AJ23</f>
        <v>3</v>
      </c>
      <c r="E11" s="157">
        <f>C11*D11</f>
        <v>91800.917573872459</v>
      </c>
      <c r="F11" s="157"/>
      <c r="G11" s="157"/>
      <c r="H11" s="158"/>
      <c r="I11" s="380" t="s">
        <v>370</v>
      </c>
      <c r="J11" s="124"/>
      <c r="K11" s="382">
        <f>$AK$14</f>
        <v>30600.305857957486</v>
      </c>
      <c r="L11" s="124">
        <f>AK23</f>
        <v>3</v>
      </c>
      <c r="M11" s="157">
        <f>K11*L11</f>
        <v>91800.917573872459</v>
      </c>
      <c r="N11" s="157"/>
      <c r="O11" s="157"/>
      <c r="P11" s="157"/>
      <c r="Q11" s="380" t="s">
        <v>370</v>
      </c>
      <c r="R11" s="124"/>
      <c r="S11" s="382">
        <f>$AK$14</f>
        <v>30600.305857957486</v>
      </c>
      <c r="T11" s="124">
        <f>AL23</f>
        <v>3</v>
      </c>
      <c r="U11" s="157">
        <f>S11*T11</f>
        <v>91800.917573872459</v>
      </c>
      <c r="V11" s="158"/>
      <c r="W11" s="158"/>
      <c r="X11" s="77"/>
      <c r="Y11" s="121" t="s">
        <v>370</v>
      </c>
      <c r="Z11" s="124"/>
      <c r="AA11" s="382">
        <f>$AK$14</f>
        <v>30600.305857957486</v>
      </c>
      <c r="AB11" s="124">
        <f>$AM$23</f>
        <v>4</v>
      </c>
      <c r="AC11" s="157">
        <f>AA11*AB11</f>
        <v>122401.22343182995</v>
      </c>
      <c r="AD11" s="77"/>
      <c r="AE11" s="77"/>
      <c r="AF11" s="77"/>
      <c r="AG11" s="77"/>
      <c r="AH11" s="134" t="s">
        <v>272</v>
      </c>
      <c r="AI11" s="77"/>
      <c r="AK11" s="711">
        <f>[4]IRTP!$J$13</f>
        <v>59700.570397111915</v>
      </c>
      <c r="AL11" s="73"/>
      <c r="AM11" s="136"/>
    </row>
    <row r="12" spans="1:39" s="101" customFormat="1" x14ac:dyDescent="0.2">
      <c r="A12" s="387" t="s">
        <v>277</v>
      </c>
      <c r="B12" s="387"/>
      <c r="C12" s="388"/>
      <c r="D12" s="389">
        <f>SUM(D7:D11)</f>
        <v>25.072429149797571</v>
      </c>
      <c r="E12" s="388">
        <f>SUM(E7:E11)</f>
        <v>902330.3935206756</v>
      </c>
      <c r="F12" s="369"/>
      <c r="G12" s="369"/>
      <c r="H12" s="369"/>
      <c r="I12" s="387" t="s">
        <v>277</v>
      </c>
      <c r="J12" s="387"/>
      <c r="K12" s="388"/>
      <c r="L12" s="389">
        <f>SUM(L7:L11)</f>
        <v>29.754993917753222</v>
      </c>
      <c r="M12" s="388">
        <f>SUM(M7:M11)</f>
        <v>1047969.8642160164</v>
      </c>
      <c r="N12" s="369"/>
      <c r="O12" s="369"/>
      <c r="P12" s="71"/>
      <c r="Q12" s="387" t="s">
        <v>277</v>
      </c>
      <c r="R12" s="387"/>
      <c r="S12" s="388"/>
      <c r="T12" s="389">
        <f>SUM(T7:T11)</f>
        <v>33.912279671821764</v>
      </c>
      <c r="U12" s="388">
        <f>SUM(U7:U11)</f>
        <v>1177271.8443819331</v>
      </c>
      <c r="V12" s="369"/>
      <c r="W12" s="369"/>
      <c r="X12" s="93"/>
      <c r="Y12" s="138" t="s">
        <v>277</v>
      </c>
      <c r="Z12" s="387"/>
      <c r="AA12" s="388"/>
      <c r="AB12" s="389">
        <f>SUM(AB7:AB11)</f>
        <v>42.122169198277966</v>
      </c>
      <c r="AC12" s="388">
        <f>SUM(AC7:AC11)</f>
        <v>1452963.0382236391</v>
      </c>
      <c r="AD12" s="93"/>
      <c r="AE12" s="93"/>
      <c r="AF12" s="93"/>
      <c r="AG12" s="93"/>
      <c r="AH12" s="134" t="s">
        <v>273</v>
      </c>
      <c r="AI12" s="77"/>
      <c r="AK12" s="711">
        <f>'[3]Rate Options'!$E$12</f>
        <v>51947.798987144524</v>
      </c>
      <c r="AL12" s="73"/>
      <c r="AM12" s="136"/>
    </row>
    <row r="13" spans="1:39" s="101" customFormat="1" x14ac:dyDescent="0.2">
      <c r="A13" s="198"/>
      <c r="B13" s="198"/>
      <c r="C13" s="369"/>
      <c r="D13" s="390"/>
      <c r="E13" s="369"/>
      <c r="F13" s="369"/>
      <c r="G13" s="369"/>
      <c r="H13" s="369"/>
      <c r="I13" s="198"/>
      <c r="J13" s="198"/>
      <c r="K13" s="369"/>
      <c r="L13" s="390"/>
      <c r="M13" s="369"/>
      <c r="N13" s="369"/>
      <c r="O13" s="369"/>
      <c r="P13" s="71"/>
      <c r="Q13" s="198"/>
      <c r="R13" s="198"/>
      <c r="S13" s="369"/>
      <c r="T13" s="390"/>
      <c r="U13" s="369"/>
      <c r="V13" s="369"/>
      <c r="W13" s="369"/>
      <c r="X13" s="93"/>
      <c r="Y13" s="106"/>
      <c r="Z13" s="198"/>
      <c r="AA13" s="369"/>
      <c r="AB13" s="390"/>
      <c r="AC13" s="369"/>
      <c r="AD13" s="93"/>
      <c r="AE13" s="93"/>
      <c r="AF13" s="93"/>
      <c r="AG13" s="93"/>
      <c r="AH13" s="137" t="s">
        <v>275</v>
      </c>
      <c r="AI13" s="88"/>
      <c r="AK13" s="711">
        <f>'[3]Rate Options'!$E$13</f>
        <v>31102.5</v>
      </c>
      <c r="AL13" s="73"/>
      <c r="AM13" s="136"/>
    </row>
    <row r="14" spans="1:39" s="101" customFormat="1" x14ac:dyDescent="0.2">
      <c r="A14" s="391" t="s">
        <v>278</v>
      </c>
      <c r="B14" s="391"/>
      <c r="C14" s="392"/>
      <c r="D14" s="393" t="s">
        <v>279</v>
      </c>
      <c r="E14" s="392"/>
      <c r="F14" s="392"/>
      <c r="G14" s="392"/>
      <c r="H14" s="394"/>
      <c r="I14" s="391" t="s">
        <v>278</v>
      </c>
      <c r="J14" s="391"/>
      <c r="K14" s="392"/>
      <c r="L14" s="393" t="s">
        <v>279</v>
      </c>
      <c r="M14" s="392"/>
      <c r="N14" s="392"/>
      <c r="O14" s="392"/>
      <c r="P14" s="71"/>
      <c r="Q14" s="391" t="s">
        <v>278</v>
      </c>
      <c r="R14" s="391"/>
      <c r="S14" s="392"/>
      <c r="T14" s="393" t="s">
        <v>279</v>
      </c>
      <c r="U14" s="392"/>
      <c r="V14" s="394"/>
      <c r="W14" s="394"/>
      <c r="X14" s="114"/>
      <c r="Y14" s="111" t="s">
        <v>278</v>
      </c>
      <c r="Z14" s="391"/>
      <c r="AA14" s="392"/>
      <c r="AB14" s="393" t="s">
        <v>279</v>
      </c>
      <c r="AC14" s="392"/>
      <c r="AD14" s="114"/>
      <c r="AE14" s="114"/>
      <c r="AF14" s="114"/>
      <c r="AG14" s="114"/>
      <c r="AH14" s="134" t="s">
        <v>370</v>
      </c>
      <c r="AI14" s="77"/>
      <c r="AK14" s="711">
        <f>'[3]Rate Options'!$E$14</f>
        <v>30600.305857957486</v>
      </c>
      <c r="AL14" s="73"/>
      <c r="AM14" s="136"/>
    </row>
    <row r="15" spans="1:39" s="78" customFormat="1" x14ac:dyDescent="0.2">
      <c r="A15" s="143" t="s">
        <v>280</v>
      </c>
      <c r="B15" s="144"/>
      <c r="C15" s="160">
        <f>$AJ$30</f>
        <v>0.25578770213785851</v>
      </c>
      <c r="D15" s="395"/>
      <c r="E15" s="157">
        <f>C15*E12</f>
        <v>230805.01792780322</v>
      </c>
      <c r="F15" s="382"/>
      <c r="G15" s="382"/>
      <c r="H15" s="396"/>
      <c r="I15" s="143" t="s">
        <v>280</v>
      </c>
      <c r="J15" s="144"/>
      <c r="K15" s="160">
        <f>$AJ$30</f>
        <v>0.25578770213785851</v>
      </c>
      <c r="L15" s="395"/>
      <c r="M15" s="157">
        <f>K15*M12</f>
        <v>268057.8034775384</v>
      </c>
      <c r="N15" s="157"/>
      <c r="O15" s="157"/>
      <c r="P15" s="144"/>
      <c r="Q15" s="143" t="s">
        <v>280</v>
      </c>
      <c r="R15" s="144"/>
      <c r="S15" s="160">
        <f>$AJ$30</f>
        <v>0.25578770213785851</v>
      </c>
      <c r="T15" s="395"/>
      <c r="U15" s="157">
        <f>S15*U12</f>
        <v>301131.6598660532</v>
      </c>
      <c r="V15" s="396"/>
      <c r="W15" s="396"/>
      <c r="X15" s="146"/>
      <c r="Y15" s="143" t="s">
        <v>280</v>
      </c>
      <c r="Z15" s="144"/>
      <c r="AA15" s="160">
        <f>$AJ$30</f>
        <v>0.25578770213785851</v>
      </c>
      <c r="AB15" s="395"/>
      <c r="AC15" s="157">
        <f>AA15*AC12</f>
        <v>371650.07683846611</v>
      </c>
      <c r="AD15" s="146"/>
      <c r="AE15" s="146"/>
      <c r="AF15" s="146"/>
      <c r="AG15" s="146"/>
      <c r="AH15" s="142"/>
      <c r="AI15" s="77"/>
      <c r="AJ15" s="135"/>
      <c r="AK15" s="73"/>
      <c r="AL15" s="73"/>
      <c r="AM15" s="136"/>
    </row>
    <row r="16" spans="1:39" x14ac:dyDescent="0.2">
      <c r="A16" s="397" t="s">
        <v>282</v>
      </c>
      <c r="B16" s="397"/>
      <c r="C16" s="398"/>
      <c r="D16" s="151">
        <f>E15/E3</f>
        <v>52.695209572557815</v>
      </c>
      <c r="E16" s="399">
        <f>E15+E12</f>
        <v>1133135.4114484787</v>
      </c>
      <c r="F16" s="158"/>
      <c r="G16" s="158"/>
      <c r="H16" s="158"/>
      <c r="I16" s="397" t="s">
        <v>282</v>
      </c>
      <c r="J16" s="397"/>
      <c r="K16" s="398"/>
      <c r="L16" s="151">
        <f>M16/M3</f>
        <v>232.61646799709322</v>
      </c>
      <c r="M16" s="399">
        <f>M15+M12</f>
        <v>1316027.6676935549</v>
      </c>
      <c r="N16" s="394"/>
      <c r="O16" s="394"/>
      <c r="P16" s="158"/>
      <c r="Q16" s="397" t="s">
        <v>282</v>
      </c>
      <c r="R16" s="397"/>
      <c r="S16" s="398"/>
      <c r="T16" s="151">
        <f>U16/U3</f>
        <v>202.52102797917621</v>
      </c>
      <c r="U16" s="399">
        <f>U15+U12</f>
        <v>1478403.5042479862</v>
      </c>
      <c r="V16" s="394"/>
      <c r="W16" s="394"/>
      <c r="X16" s="114"/>
      <c r="Y16" s="149" t="s">
        <v>282</v>
      </c>
      <c r="Z16" s="397"/>
      <c r="AA16" s="398"/>
      <c r="AB16" s="151">
        <f>AC16/AC3</f>
        <v>199.95760165064166</v>
      </c>
      <c r="AC16" s="399">
        <f>AC15+AC12</f>
        <v>1824613.1150621052</v>
      </c>
      <c r="AD16" s="114"/>
      <c r="AE16" s="114"/>
      <c r="AF16" s="114"/>
      <c r="AG16" s="114"/>
      <c r="AH16" s="142"/>
      <c r="AJ16" s="1124" t="s">
        <v>270</v>
      </c>
      <c r="AK16" s="1124"/>
      <c r="AL16" s="1124"/>
      <c r="AM16" s="1125"/>
    </row>
    <row r="17" spans="1:42" x14ac:dyDescent="0.2">
      <c r="A17" s="143"/>
      <c r="B17" s="143"/>
      <c r="C17" s="157"/>
      <c r="D17" s="365"/>
      <c r="E17" s="157"/>
      <c r="F17" s="157"/>
      <c r="G17" s="157"/>
      <c r="H17" s="158"/>
      <c r="I17" s="143"/>
      <c r="J17" s="143"/>
      <c r="K17" s="157"/>
      <c r="L17" s="365"/>
      <c r="M17" s="157"/>
      <c r="N17" s="157"/>
      <c r="O17" s="157"/>
      <c r="P17" s="158"/>
      <c r="Q17" s="143"/>
      <c r="R17" s="143"/>
      <c r="S17" s="157"/>
      <c r="T17" s="365"/>
      <c r="U17" s="157"/>
      <c r="V17" s="158"/>
      <c r="W17" s="158"/>
      <c r="X17" s="77"/>
      <c r="Y17" s="72"/>
      <c r="Z17" s="143"/>
      <c r="AA17" s="157"/>
      <c r="AB17" s="365"/>
      <c r="AC17" s="157"/>
      <c r="AH17" s="147"/>
      <c r="AI17" s="148" t="s">
        <v>281</v>
      </c>
      <c r="AJ17" s="287" t="s">
        <v>339</v>
      </c>
      <c r="AK17" s="288" t="s">
        <v>340</v>
      </c>
      <c r="AL17" s="289" t="s">
        <v>263</v>
      </c>
      <c r="AM17" s="290" t="s">
        <v>303</v>
      </c>
    </row>
    <row r="18" spans="1:42" x14ac:dyDescent="0.2">
      <c r="A18" s="143" t="s">
        <v>91</v>
      </c>
      <c r="B18" s="143"/>
      <c r="C18" s="157"/>
      <c r="D18" s="124">
        <f>$AJ$32</f>
        <v>33.069173881278537</v>
      </c>
      <c r="E18" s="157">
        <f>D18*E$3</f>
        <v>144842.9816</v>
      </c>
      <c r="F18" s="400"/>
      <c r="G18" s="400"/>
      <c r="H18" s="158"/>
      <c r="I18" s="143" t="s">
        <v>91</v>
      </c>
      <c r="J18" s="143"/>
      <c r="K18" s="157"/>
      <c r="L18" s="124">
        <f>$AJ$32</f>
        <v>33.069173881278537</v>
      </c>
      <c r="M18" s="157">
        <f>L18*M$3</f>
        <v>187088.85123333332</v>
      </c>
      <c r="N18" s="157"/>
      <c r="O18" s="157"/>
      <c r="P18" s="158"/>
      <c r="Q18" s="143" t="s">
        <v>91</v>
      </c>
      <c r="R18" s="143"/>
      <c r="S18" s="157"/>
      <c r="T18" s="124">
        <f>$AJ$32</f>
        <v>33.069173881278537</v>
      </c>
      <c r="U18" s="157">
        <f>T18*U$3</f>
        <v>241404.96933333331</v>
      </c>
      <c r="V18" s="158"/>
      <c r="W18" s="158"/>
      <c r="X18" s="77"/>
      <c r="Y18" s="72" t="s">
        <v>91</v>
      </c>
      <c r="Z18" s="143"/>
      <c r="AA18" s="157"/>
      <c r="AB18" s="124">
        <f>$AJ$32</f>
        <v>33.069173881278537</v>
      </c>
      <c r="AC18" s="157">
        <f>AB18*AC$3</f>
        <v>301756.21166666667</v>
      </c>
      <c r="AH18" s="134" t="s">
        <v>272</v>
      </c>
      <c r="AJ18" s="153">
        <v>2.15</v>
      </c>
      <c r="AK18" s="153">
        <v>2.15</v>
      </c>
      <c r="AL18" s="153">
        <v>2.15</v>
      </c>
      <c r="AM18" s="154">
        <v>2.15</v>
      </c>
    </row>
    <row r="19" spans="1:42" x14ac:dyDescent="0.2">
      <c r="A19" s="143"/>
      <c r="B19" s="143"/>
      <c r="C19" s="157"/>
      <c r="D19" s="124"/>
      <c r="E19" s="157"/>
      <c r="F19" s="157"/>
      <c r="G19" s="157"/>
      <c r="H19" s="158"/>
      <c r="I19" s="143"/>
      <c r="J19" s="143"/>
      <c r="K19" s="157"/>
      <c r="L19" s="124"/>
      <c r="M19" s="157"/>
      <c r="N19" s="157"/>
      <c r="O19" s="157"/>
      <c r="P19" s="158"/>
      <c r="Q19" s="143"/>
      <c r="R19" s="143"/>
      <c r="S19" s="157"/>
      <c r="T19" s="124"/>
      <c r="U19" s="157"/>
      <c r="V19" s="158"/>
      <c r="W19" s="158"/>
      <c r="X19" s="158"/>
      <c r="Y19" s="72"/>
      <c r="Z19" s="143"/>
      <c r="AA19" s="157"/>
      <c r="AB19" s="124"/>
      <c r="AC19" s="157"/>
      <c r="AD19" s="158"/>
      <c r="AE19" s="158"/>
      <c r="AF19" s="158"/>
      <c r="AG19" s="158"/>
      <c r="AH19" s="134" t="s">
        <v>273</v>
      </c>
      <c r="AJ19" s="153">
        <v>3</v>
      </c>
      <c r="AK19" s="153">
        <v>3</v>
      </c>
      <c r="AL19" s="153">
        <v>3</v>
      </c>
      <c r="AM19" s="155">
        <v>4</v>
      </c>
    </row>
    <row r="20" spans="1:42" x14ac:dyDescent="0.2">
      <c r="A20" s="143" t="s">
        <v>283</v>
      </c>
      <c r="B20" s="143"/>
      <c r="C20" s="157"/>
      <c r="D20" s="124">
        <f>$AJ36</f>
        <v>16.772324588891873</v>
      </c>
      <c r="E20" s="157">
        <f>D20*E$3</f>
        <v>73462.781699346408</v>
      </c>
      <c r="F20" s="157"/>
      <c r="G20" s="157"/>
      <c r="H20" s="158"/>
      <c r="I20" s="143" t="s">
        <v>283</v>
      </c>
      <c r="J20" s="143"/>
      <c r="K20" s="157"/>
      <c r="L20" s="124">
        <f>$AJ36</f>
        <v>16.772324588891873</v>
      </c>
      <c r="M20" s="157">
        <f>L20*M$3</f>
        <v>94889.426361655773</v>
      </c>
      <c r="N20" s="157"/>
      <c r="O20" s="157"/>
      <c r="P20" s="158"/>
      <c r="Q20" s="143" t="s">
        <v>283</v>
      </c>
      <c r="R20" s="143"/>
      <c r="S20" s="157"/>
      <c r="T20" s="124">
        <f>$AJ36</f>
        <v>16.772324588891873</v>
      </c>
      <c r="U20" s="157">
        <f>T20*U$3</f>
        <v>122437.96949891068</v>
      </c>
      <c r="V20" s="158"/>
      <c r="W20" s="158"/>
      <c r="X20" s="77"/>
      <c r="Y20" s="72" t="s">
        <v>283</v>
      </c>
      <c r="Z20" s="143"/>
      <c r="AA20" s="157"/>
      <c r="AB20" s="124">
        <f>$AJ36</f>
        <v>16.772324588891873</v>
      </c>
      <c r="AC20" s="157">
        <f>AB20*AC$3</f>
        <v>153047.46187363836</v>
      </c>
      <c r="AH20" s="142"/>
      <c r="AJ20" s="153"/>
      <c r="AK20" s="153"/>
      <c r="AL20" s="153"/>
      <c r="AM20" s="155"/>
    </row>
    <row r="21" spans="1:42" x14ac:dyDescent="0.2">
      <c r="A21" s="143"/>
      <c r="B21" s="143"/>
      <c r="C21" s="157"/>
      <c r="D21" s="159">
        <f>SUM(D18:D20)</f>
        <v>49.841498470170407</v>
      </c>
      <c r="E21" s="157"/>
      <c r="F21" s="157"/>
      <c r="G21" s="157"/>
      <c r="H21" s="158"/>
      <c r="I21" s="143"/>
      <c r="J21" s="143"/>
      <c r="K21" s="157"/>
      <c r="L21" s="159">
        <f>SUM(L18:L20)</f>
        <v>49.841498470170407</v>
      </c>
      <c r="M21" s="157"/>
      <c r="N21" s="157"/>
      <c r="O21" s="157"/>
      <c r="P21" s="158"/>
      <c r="Q21" s="143"/>
      <c r="R21" s="143"/>
      <c r="S21" s="157"/>
      <c r="T21" s="159">
        <f>SUM(T18:T20)</f>
        <v>49.841498470170407</v>
      </c>
      <c r="U21" s="157"/>
      <c r="V21" s="158"/>
      <c r="W21" s="158"/>
      <c r="X21" s="77"/>
      <c r="Y21" s="72"/>
      <c r="Z21" s="143"/>
      <c r="AA21" s="157"/>
      <c r="AB21" s="159">
        <f>SUM(AB18:AB20)</f>
        <v>49.841498470170407</v>
      </c>
      <c r="AC21" s="157"/>
      <c r="AH21" s="134" t="s">
        <v>370</v>
      </c>
      <c r="AJ21" s="153"/>
      <c r="AK21" s="153"/>
      <c r="AL21" s="153"/>
      <c r="AM21" s="155"/>
    </row>
    <row r="22" spans="1:42" x14ac:dyDescent="0.2">
      <c r="A22" s="387" t="s">
        <v>371</v>
      </c>
      <c r="B22" s="387"/>
      <c r="C22" s="388"/>
      <c r="D22" s="389"/>
      <c r="E22" s="388">
        <f>SUM(E16:E20)</f>
        <v>1351441.1747478251</v>
      </c>
      <c r="F22" s="369"/>
      <c r="G22" s="369"/>
      <c r="H22" s="369"/>
      <c r="I22" s="387" t="s">
        <v>371</v>
      </c>
      <c r="J22" s="387"/>
      <c r="K22" s="388"/>
      <c r="L22" s="389"/>
      <c r="M22" s="388">
        <f>SUM(M16:M20)</f>
        <v>1598005.9452885441</v>
      </c>
      <c r="N22" s="369"/>
      <c r="O22" s="369"/>
      <c r="P22" s="158"/>
      <c r="Q22" s="387" t="s">
        <v>371</v>
      </c>
      <c r="R22" s="387"/>
      <c r="S22" s="388"/>
      <c r="T22" s="389"/>
      <c r="U22" s="388">
        <f>SUM(U16:U20)</f>
        <v>1842246.4430802304</v>
      </c>
      <c r="V22" s="369"/>
      <c r="W22" s="369"/>
      <c r="X22" s="93"/>
      <c r="Y22" s="138" t="s">
        <v>371</v>
      </c>
      <c r="Z22" s="387"/>
      <c r="AA22" s="388"/>
      <c r="AB22" s="389"/>
      <c r="AC22" s="388">
        <f>SUM(AC16:AC20)</f>
        <v>2279416.7886024103</v>
      </c>
      <c r="AD22" s="93"/>
      <c r="AE22" s="93"/>
      <c r="AF22" s="93"/>
      <c r="AG22" s="93"/>
      <c r="AH22" s="142" t="s">
        <v>284</v>
      </c>
      <c r="AJ22" s="347">
        <f>'[5]Rate Options'!$AF$22</f>
        <v>0.75</v>
      </c>
      <c r="AK22" s="347">
        <f>'[5]Rate Options'!$AG$22</f>
        <v>0.9</v>
      </c>
      <c r="AL22" s="347">
        <f>'[3]Rate Options'!$F$22</f>
        <v>1</v>
      </c>
      <c r="AM22" s="155">
        <v>1.5</v>
      </c>
    </row>
    <row r="23" spans="1:42" x14ac:dyDescent="0.2">
      <c r="A23" s="143" t="s">
        <v>286</v>
      </c>
      <c r="B23" s="143"/>
      <c r="C23" s="160" t="e">
        <f>$AJ$42</f>
        <v>#REF!</v>
      </c>
      <c r="D23" s="124"/>
      <c r="E23" s="157" t="e">
        <f>C23*E22</f>
        <v>#REF!</v>
      </c>
      <c r="F23" s="158"/>
      <c r="G23" s="158"/>
      <c r="H23" s="158"/>
      <c r="I23" s="143" t="s">
        <v>286</v>
      </c>
      <c r="J23" s="143"/>
      <c r="K23" s="160" t="e">
        <f>$AJ$42</f>
        <v>#REF!</v>
      </c>
      <c r="L23" s="124"/>
      <c r="M23" s="157" t="e">
        <f>K23*M22</f>
        <v>#REF!</v>
      </c>
      <c r="N23" s="157"/>
      <c r="O23" s="157"/>
      <c r="P23" s="158"/>
      <c r="Q23" s="143" t="s">
        <v>286</v>
      </c>
      <c r="R23" s="143"/>
      <c r="S23" s="160" t="e">
        <f>$AJ$42</f>
        <v>#REF!</v>
      </c>
      <c r="T23" s="124"/>
      <c r="U23" s="157" t="e">
        <f>S23*U22</f>
        <v>#REF!</v>
      </c>
      <c r="V23" s="158"/>
      <c r="W23" s="158"/>
      <c r="X23" s="77"/>
      <c r="Y23" s="72" t="s">
        <v>286</v>
      </c>
      <c r="Z23" s="143"/>
      <c r="AA23" s="160" t="e">
        <f>$AJ$42</f>
        <v>#REF!</v>
      </c>
      <c r="AB23" s="124"/>
      <c r="AC23" s="157" t="e">
        <f>AA23*AC22</f>
        <v>#REF!</v>
      </c>
      <c r="AH23" s="142" t="s">
        <v>285</v>
      </c>
      <c r="AJ23" s="712">
        <v>3</v>
      </c>
      <c r="AK23" s="153">
        <v>3</v>
      </c>
      <c r="AL23" s="153">
        <v>3</v>
      </c>
      <c r="AM23" s="155">
        <v>4</v>
      </c>
    </row>
    <row r="24" spans="1:42" s="101" customFormat="1" ht="15" customHeight="1" thickBot="1" x14ac:dyDescent="0.25">
      <c r="A24" s="401" t="s">
        <v>288</v>
      </c>
      <c r="B24" s="401"/>
      <c r="C24" s="402"/>
      <c r="D24" s="403"/>
      <c r="E24" s="404" t="e">
        <f>ROUND(SUM(E22:E23),2)</f>
        <v>#REF!</v>
      </c>
      <c r="F24" s="369"/>
      <c r="G24" s="369"/>
      <c r="H24" s="369"/>
      <c r="I24" s="401" t="s">
        <v>288</v>
      </c>
      <c r="J24" s="401"/>
      <c r="K24" s="402"/>
      <c r="L24" s="403"/>
      <c r="M24" s="404" t="e">
        <f>ROUND(SUM(M22:M23),2)</f>
        <v>#REF!</v>
      </c>
      <c r="N24" s="369"/>
      <c r="O24" s="369"/>
      <c r="P24" s="71"/>
      <c r="Q24" s="401" t="s">
        <v>288</v>
      </c>
      <c r="R24" s="401"/>
      <c r="S24" s="402"/>
      <c r="T24" s="403"/>
      <c r="U24" s="404" t="e">
        <f>ROUND(SUM(U22:U23),2)</f>
        <v>#REF!</v>
      </c>
      <c r="V24" s="369"/>
      <c r="W24" s="369"/>
      <c r="X24" s="93"/>
      <c r="Y24" s="161" t="s">
        <v>288</v>
      </c>
      <c r="Z24" s="401"/>
      <c r="AA24" s="402"/>
      <c r="AB24" s="403"/>
      <c r="AC24" s="404" t="e">
        <f>ROUND(SUM(AC22:AC23),2)</f>
        <v>#REF!</v>
      </c>
      <c r="AD24" s="93"/>
      <c r="AE24" s="93"/>
      <c r="AF24" s="93"/>
      <c r="AG24" s="93"/>
      <c r="AH24" s="142"/>
      <c r="AI24" s="77"/>
      <c r="AJ24" s="153"/>
      <c r="AK24" s="153"/>
      <c r="AL24" s="153"/>
      <c r="AM24" s="155"/>
    </row>
    <row r="25" spans="1:42" s="101" customFormat="1" ht="13.5" thickTop="1" x14ac:dyDescent="0.2">
      <c r="A25" s="391"/>
      <c r="B25" s="391"/>
      <c r="C25" s="392"/>
      <c r="D25" s="405"/>
      <c r="E25" s="392"/>
      <c r="F25" s="392"/>
      <c r="G25" s="392"/>
      <c r="H25" s="394"/>
      <c r="I25" s="391"/>
      <c r="J25" s="391"/>
      <c r="K25" s="392"/>
      <c r="L25" s="405"/>
      <c r="M25" s="392"/>
      <c r="N25" s="394"/>
      <c r="O25" s="394"/>
      <c r="P25" s="71"/>
      <c r="Q25" s="391"/>
      <c r="R25" s="391"/>
      <c r="S25" s="392"/>
      <c r="T25" s="405"/>
      <c r="U25" s="392"/>
      <c r="V25" s="394"/>
      <c r="W25" s="394"/>
      <c r="X25" s="114"/>
      <c r="Y25" s="111"/>
      <c r="Z25" s="111"/>
      <c r="AA25" s="112"/>
      <c r="AB25" s="165"/>
      <c r="AC25" s="112"/>
      <c r="AD25" s="114"/>
      <c r="AE25" s="114"/>
      <c r="AF25" s="114"/>
      <c r="AG25" s="114"/>
      <c r="AH25" s="142"/>
      <c r="AI25" s="77"/>
      <c r="AJ25" s="1126" t="s">
        <v>287</v>
      </c>
      <c r="AK25" s="1126"/>
      <c r="AL25" s="1126"/>
      <c r="AM25" s="1127"/>
      <c r="AO25" s="342"/>
    </row>
    <row r="26" spans="1:42" s="170" customFormat="1" ht="25.5" x14ac:dyDescent="0.2">
      <c r="A26" s="406" t="s">
        <v>289</v>
      </c>
      <c r="B26" s="406"/>
      <c r="C26" s="407"/>
      <c r="D26" s="407"/>
      <c r="E26" s="408" t="e">
        <f>E24/E3</f>
        <v>#REF!</v>
      </c>
      <c r="F26" s="744" t="s">
        <v>395</v>
      </c>
      <c r="G26" s="1128" t="s">
        <v>396</v>
      </c>
      <c r="H26" s="410"/>
      <c r="I26" s="406" t="s">
        <v>289</v>
      </c>
      <c r="J26" s="406"/>
      <c r="K26" s="407"/>
      <c r="L26" s="407"/>
      <c r="M26" s="408" t="e">
        <f>M24/M3</f>
        <v>#REF!</v>
      </c>
      <c r="N26" s="409" t="s">
        <v>395</v>
      </c>
      <c r="O26" s="1128" t="s">
        <v>396</v>
      </c>
      <c r="P26" s="409"/>
      <c r="Q26" s="406" t="s">
        <v>289</v>
      </c>
      <c r="R26" s="406"/>
      <c r="S26" s="407"/>
      <c r="T26" s="407"/>
      <c r="U26" s="408" t="e">
        <f>U24/U3</f>
        <v>#REF!</v>
      </c>
      <c r="V26" s="409" t="s">
        <v>395</v>
      </c>
      <c r="W26" s="1128" t="s">
        <v>396</v>
      </c>
      <c r="Y26" s="167" t="s">
        <v>289</v>
      </c>
      <c r="Z26" s="167"/>
      <c r="AA26" s="168"/>
      <c r="AB26" s="168"/>
      <c r="AC26" s="169" t="e">
        <f>AC24/AC3</f>
        <v>#REF!</v>
      </c>
      <c r="AD26" s="170" t="s">
        <v>395</v>
      </c>
      <c r="AE26" s="1128" t="s">
        <v>396</v>
      </c>
      <c r="AH26" s="142"/>
      <c r="AI26" s="148" t="s">
        <v>281</v>
      </c>
      <c r="AJ26" s="287" t="s">
        <v>339</v>
      </c>
      <c r="AK26" s="288" t="s">
        <v>340</v>
      </c>
      <c r="AL26" s="289" t="s">
        <v>263</v>
      </c>
      <c r="AM26" s="290" t="s">
        <v>303</v>
      </c>
    </row>
    <row r="27" spans="1:42" s="170" customFormat="1" ht="13.5" thickBot="1" x14ac:dyDescent="0.25">
      <c r="A27" s="406" t="s">
        <v>290</v>
      </c>
      <c r="B27" s="406"/>
      <c r="C27" s="199">
        <f>$AK$43</f>
        <v>4.4640068153077195E-2</v>
      </c>
      <c r="D27" s="407"/>
      <c r="E27" s="408"/>
      <c r="F27" s="125"/>
      <c r="G27" s="1128"/>
      <c r="H27" s="410"/>
      <c r="I27" s="406" t="s">
        <v>290</v>
      </c>
      <c r="J27" s="406"/>
      <c r="K27" s="199">
        <f>$AK$43</f>
        <v>4.4640068153077195E-2</v>
      </c>
      <c r="L27" s="407"/>
      <c r="M27" s="408"/>
      <c r="N27" s="125"/>
      <c r="O27" s="1128"/>
      <c r="P27" s="409"/>
      <c r="Q27" s="406" t="s">
        <v>290</v>
      </c>
      <c r="R27" s="406"/>
      <c r="S27" s="199">
        <f>$AK$43</f>
        <v>4.4640068153077195E-2</v>
      </c>
      <c r="T27" s="407"/>
      <c r="U27" s="408"/>
      <c r="V27" s="125"/>
      <c r="W27" s="1128"/>
      <c r="X27" s="73"/>
      <c r="Y27" s="167" t="s">
        <v>290</v>
      </c>
      <c r="Z27" s="167"/>
      <c r="AA27" s="172">
        <f>$AK$43</f>
        <v>4.4640068153077195E-2</v>
      </c>
      <c r="AB27" s="168"/>
      <c r="AC27" s="169"/>
      <c r="AD27" s="73"/>
      <c r="AE27" s="1128"/>
      <c r="AF27" s="73"/>
      <c r="AG27" s="73"/>
      <c r="AH27" s="166" t="s">
        <v>275</v>
      </c>
      <c r="AI27" s="77"/>
      <c r="AJ27" s="347">
        <f>'[5]Rate Options'!$AF$27</f>
        <v>0.8482142857142857</v>
      </c>
      <c r="AK27" s="347">
        <f>'[5]Rate Options'!$AG$27</f>
        <v>0.85815273477812182</v>
      </c>
      <c r="AL27" s="347">
        <f>'[5]Rate Options'!$AH$27</f>
        <v>0.92860869565217397</v>
      </c>
      <c r="AM27" s="155">
        <f>'FTE Ratios'!C32</f>
        <v>0.93530864197530861</v>
      </c>
      <c r="AP27" s="170" t="s">
        <v>393</v>
      </c>
    </row>
    <row r="28" spans="1:42" x14ac:dyDescent="0.2">
      <c r="A28" s="411" t="s">
        <v>292</v>
      </c>
      <c r="B28" s="385"/>
      <c r="C28" s="412">
        <v>0.9</v>
      </c>
      <c r="D28" s="370"/>
      <c r="E28" s="413" t="e">
        <f>E$24/(E$3*C28)</f>
        <v>#REF!</v>
      </c>
      <c r="F28" s="413">
        <v>409.66</v>
      </c>
      <c r="G28" s="742" t="e">
        <f>F28*(#REF!+1)</f>
        <v>#REF!</v>
      </c>
      <c r="H28" s="125"/>
      <c r="I28" s="411" t="s">
        <v>292</v>
      </c>
      <c r="J28" s="385"/>
      <c r="K28" s="412">
        <v>0.9</v>
      </c>
      <c r="L28" s="370"/>
      <c r="M28" s="413" t="e">
        <f>M$24/(M$3*K28)</f>
        <v>#REF!</v>
      </c>
      <c r="N28" s="414">
        <v>375.02</v>
      </c>
      <c r="O28" s="742" t="e">
        <f>N28*(#REF!+1)</f>
        <v>#REF!</v>
      </c>
      <c r="P28" s="158"/>
      <c r="Q28" s="411" t="s">
        <v>292</v>
      </c>
      <c r="R28" s="385"/>
      <c r="S28" s="412">
        <v>0.9</v>
      </c>
      <c r="T28" s="370"/>
      <c r="U28" s="413" t="e">
        <f t="shared" ref="U28:U36" si="0">U$24/(U$3*S28)</f>
        <v>#REF!</v>
      </c>
      <c r="V28" s="414">
        <v>335.06</v>
      </c>
      <c r="W28" s="742" t="e">
        <f>V28*(#REF!+1)</f>
        <v>#REF!</v>
      </c>
      <c r="X28" s="77"/>
      <c r="Y28" s="175" t="s">
        <v>292</v>
      </c>
      <c r="Z28" s="130"/>
      <c r="AA28" s="176">
        <v>0.9</v>
      </c>
      <c r="AB28" s="82"/>
      <c r="AC28" s="177" t="e">
        <f t="shared" ref="AC28:AC36" si="1">AC$24/(AC$3*AA28)</f>
        <v>#REF!</v>
      </c>
      <c r="AD28" s="178">
        <v>331.67</v>
      </c>
      <c r="AE28" s="742" t="e">
        <f>AD28*(#REF!+1)</f>
        <v>#REF!</v>
      </c>
      <c r="AF28" s="169"/>
      <c r="AG28" s="169"/>
      <c r="AH28" s="166"/>
      <c r="AJ28" s="153"/>
      <c r="AK28" s="153"/>
      <c r="AL28" s="153"/>
      <c r="AM28" s="155"/>
    </row>
    <row r="29" spans="1:42" x14ac:dyDescent="0.2">
      <c r="A29" s="415"/>
      <c r="B29" s="125"/>
      <c r="C29" s="416">
        <v>0.85</v>
      </c>
      <c r="D29" s="158"/>
      <c r="E29" s="408" t="e">
        <f t="shared" ref="E29:E36" si="2">E$24/(E$3*C29)</f>
        <v>#REF!</v>
      </c>
      <c r="F29" s="408">
        <v>433.76</v>
      </c>
      <c r="G29" s="742" t="e">
        <f>F29*(#REF!+1)</f>
        <v>#REF!</v>
      </c>
      <c r="H29" s="125"/>
      <c r="I29" s="415"/>
      <c r="J29" s="125"/>
      <c r="K29" s="416">
        <v>0.85</v>
      </c>
      <c r="L29" s="158"/>
      <c r="M29" s="408" t="e">
        <f t="shared" ref="M29:M36" si="3">M$24/(M$3*K29)</f>
        <v>#REF!</v>
      </c>
      <c r="N29" s="417">
        <v>397.08</v>
      </c>
      <c r="O29" s="742" t="e">
        <f>N29*(#REF!+1)</f>
        <v>#REF!</v>
      </c>
      <c r="P29" s="158"/>
      <c r="Q29" s="415"/>
      <c r="R29" s="125"/>
      <c r="S29" s="416">
        <v>0.85</v>
      </c>
      <c r="T29" s="158"/>
      <c r="U29" s="408" t="e">
        <f t="shared" si="0"/>
        <v>#REF!</v>
      </c>
      <c r="V29" s="417">
        <v>354.78</v>
      </c>
      <c r="W29" s="742" t="e">
        <f>V29*(#REF!+1)</f>
        <v>#REF!</v>
      </c>
      <c r="X29" s="77"/>
      <c r="Y29" s="181"/>
      <c r="Z29" s="73"/>
      <c r="AA29" s="182">
        <v>0.85</v>
      </c>
      <c r="AB29" s="77"/>
      <c r="AC29" s="169" t="e">
        <f t="shared" si="1"/>
        <v>#REF!</v>
      </c>
      <c r="AD29" s="183">
        <v>351.18</v>
      </c>
      <c r="AE29" s="742" t="e">
        <f>AD29*(#REF!+1)</f>
        <v>#REF!</v>
      </c>
      <c r="AF29" s="169"/>
      <c r="AG29" s="169"/>
      <c r="AH29" s="173" t="s">
        <v>278</v>
      </c>
      <c r="AI29" s="174"/>
      <c r="AK29" s="73"/>
      <c r="AL29" s="73"/>
      <c r="AM29" s="136"/>
    </row>
    <row r="30" spans="1:42" x14ac:dyDescent="0.2">
      <c r="A30" s="415"/>
      <c r="B30" s="125"/>
      <c r="C30" s="416">
        <v>0.8</v>
      </c>
      <c r="D30" s="158"/>
      <c r="E30" s="408" t="e">
        <f t="shared" si="2"/>
        <v>#REF!</v>
      </c>
      <c r="F30" s="408">
        <v>460.87</v>
      </c>
      <c r="G30" s="742" t="e">
        <f>F30*(#REF!+1)</f>
        <v>#REF!</v>
      </c>
      <c r="H30" s="125"/>
      <c r="I30" s="415"/>
      <c r="J30" s="125"/>
      <c r="K30" s="416">
        <v>0.8</v>
      </c>
      <c r="L30" s="158"/>
      <c r="M30" s="408" t="e">
        <f t="shared" si="3"/>
        <v>#REF!</v>
      </c>
      <c r="N30" s="417">
        <v>421.9</v>
      </c>
      <c r="O30" s="742" t="e">
        <f>N30*(#REF!+1)</f>
        <v>#REF!</v>
      </c>
      <c r="P30" s="158"/>
      <c r="Q30" s="415"/>
      <c r="R30" s="125"/>
      <c r="S30" s="416">
        <v>0.8</v>
      </c>
      <c r="T30" s="158"/>
      <c r="U30" s="408" t="e">
        <f t="shared" si="0"/>
        <v>#REF!</v>
      </c>
      <c r="V30" s="417">
        <v>376.95</v>
      </c>
      <c r="W30" s="742" t="e">
        <f>V30*(#REF!+1)</f>
        <v>#REF!</v>
      </c>
      <c r="X30" s="77"/>
      <c r="Y30" s="181"/>
      <c r="Z30" s="73"/>
      <c r="AA30" s="182">
        <v>0.8</v>
      </c>
      <c r="AB30" s="77"/>
      <c r="AC30" s="169" t="e">
        <f t="shared" si="1"/>
        <v>#REF!</v>
      </c>
      <c r="AD30" s="183">
        <v>373.12</v>
      </c>
      <c r="AE30" s="742" t="e">
        <f>AD30*(#REF!+1)</f>
        <v>#REF!</v>
      </c>
      <c r="AF30" s="169"/>
      <c r="AG30" s="169"/>
      <c r="AH30" s="373" t="s">
        <v>280</v>
      </c>
      <c r="AI30" s="73"/>
      <c r="AJ30" s="180">
        <f>'[5]Rate Options'!$AF$30</f>
        <v>0.25578770213785851</v>
      </c>
      <c r="AK30" s="172"/>
      <c r="AL30" s="73"/>
      <c r="AM30" s="136"/>
    </row>
    <row r="31" spans="1:42" x14ac:dyDescent="0.2">
      <c r="A31" s="415"/>
      <c r="B31" s="125"/>
      <c r="C31" s="416">
        <v>0.75</v>
      </c>
      <c r="D31" s="158"/>
      <c r="E31" s="408" t="e">
        <f t="shared" si="2"/>
        <v>#REF!</v>
      </c>
      <c r="F31" s="408">
        <v>491.6</v>
      </c>
      <c r="G31" s="742" t="e">
        <f>F31*(#REF!+1)</f>
        <v>#REF!</v>
      </c>
      <c r="H31" s="125"/>
      <c r="I31" s="415"/>
      <c r="J31" s="125"/>
      <c r="K31" s="416">
        <v>0.75</v>
      </c>
      <c r="L31" s="158"/>
      <c r="M31" s="408" t="e">
        <f t="shared" si="3"/>
        <v>#REF!</v>
      </c>
      <c r="N31" s="417">
        <v>450.03</v>
      </c>
      <c r="O31" s="742" t="e">
        <f>N31*(#REF!+1)</f>
        <v>#REF!</v>
      </c>
      <c r="P31" s="158"/>
      <c r="Q31" s="415"/>
      <c r="R31" s="125"/>
      <c r="S31" s="416">
        <v>0.75</v>
      </c>
      <c r="T31" s="158"/>
      <c r="U31" s="408" t="e">
        <f t="shared" si="0"/>
        <v>#REF!</v>
      </c>
      <c r="V31" s="417">
        <v>402.08</v>
      </c>
      <c r="W31" s="742" t="e">
        <f>V31*(#REF!+1)</f>
        <v>#REF!</v>
      </c>
      <c r="X31" s="77"/>
      <c r="Y31" s="181"/>
      <c r="Z31" s="73"/>
      <c r="AA31" s="182">
        <v>0.75</v>
      </c>
      <c r="AB31" s="77"/>
      <c r="AC31" s="169" t="e">
        <f t="shared" si="1"/>
        <v>#REF!</v>
      </c>
      <c r="AD31" s="183">
        <v>397.99</v>
      </c>
      <c r="AE31" s="742" t="e">
        <f>AD31*(#REF!+1)</f>
        <v>#REF!</v>
      </c>
      <c r="AF31" s="169"/>
      <c r="AG31" s="169"/>
      <c r="AH31" s="85"/>
      <c r="AI31" s="73"/>
      <c r="AK31" s="184"/>
      <c r="AL31" s="73"/>
      <c r="AM31" s="136"/>
    </row>
    <row r="32" spans="1:42" x14ac:dyDescent="0.2">
      <c r="A32" s="415"/>
      <c r="B32" s="125"/>
      <c r="C32" s="416">
        <v>0.7</v>
      </c>
      <c r="D32" s="158"/>
      <c r="E32" s="408" t="e">
        <f t="shared" si="2"/>
        <v>#REF!</v>
      </c>
      <c r="F32" s="408">
        <v>526.71</v>
      </c>
      <c r="G32" s="742" t="e">
        <f>F32*(#REF!+1)</f>
        <v>#REF!</v>
      </c>
      <c r="H32" s="125"/>
      <c r="I32" s="415"/>
      <c r="J32" s="125"/>
      <c r="K32" s="416">
        <v>0.7</v>
      </c>
      <c r="L32" s="158"/>
      <c r="M32" s="408" t="e">
        <f t="shared" si="3"/>
        <v>#REF!</v>
      </c>
      <c r="N32" s="417">
        <v>482.17</v>
      </c>
      <c r="O32" s="742" t="e">
        <f>N32*(#REF!+1)</f>
        <v>#REF!</v>
      </c>
      <c r="P32" s="158"/>
      <c r="Q32" s="415"/>
      <c r="R32" s="125"/>
      <c r="S32" s="416">
        <v>0.7</v>
      </c>
      <c r="T32" s="158"/>
      <c r="U32" s="408" t="e">
        <f t="shared" si="0"/>
        <v>#REF!</v>
      </c>
      <c r="V32" s="417">
        <v>430.79</v>
      </c>
      <c r="W32" s="742" t="e">
        <f>V32*(#REF!+1)</f>
        <v>#REF!</v>
      </c>
      <c r="X32" s="77"/>
      <c r="Y32" s="181"/>
      <c r="Z32" s="73"/>
      <c r="AA32" s="182">
        <v>0.7</v>
      </c>
      <c r="AB32" s="77"/>
      <c r="AC32" s="169" t="e">
        <f t="shared" si="1"/>
        <v>#REF!</v>
      </c>
      <c r="AD32" s="183">
        <v>426.43</v>
      </c>
      <c r="AE32" s="742" t="e">
        <f>AD32*(#REF!+1)</f>
        <v>#REF!</v>
      </c>
      <c r="AF32" s="169"/>
      <c r="AG32" s="169"/>
      <c r="AH32" s="639" t="s">
        <v>293</v>
      </c>
      <c r="AI32" s="73"/>
      <c r="AJ32" s="714">
        <f>'Bed Day Data'!ET33</f>
        <v>33.069173881278537</v>
      </c>
      <c r="AK32" s="186"/>
      <c r="AL32" s="73"/>
      <c r="AM32" s="136"/>
    </row>
    <row r="33" spans="1:39" x14ac:dyDescent="0.2">
      <c r="A33" s="415"/>
      <c r="B33" s="125"/>
      <c r="C33" s="416">
        <v>0.65</v>
      </c>
      <c r="D33" s="158"/>
      <c r="E33" s="408" t="e">
        <f t="shared" si="2"/>
        <v>#REF!</v>
      </c>
      <c r="F33" s="408">
        <v>567.23</v>
      </c>
      <c r="G33" s="742" t="e">
        <f>F33*(#REF!+1)</f>
        <v>#REF!</v>
      </c>
      <c r="H33" s="125"/>
      <c r="I33" s="415"/>
      <c r="J33" s="125"/>
      <c r="K33" s="416">
        <v>0.65</v>
      </c>
      <c r="L33" s="158"/>
      <c r="M33" s="408" t="e">
        <f t="shared" si="3"/>
        <v>#REF!</v>
      </c>
      <c r="N33" s="417">
        <v>519.26</v>
      </c>
      <c r="O33" s="742" t="e">
        <f>N33*(#REF!+1)</f>
        <v>#REF!</v>
      </c>
      <c r="P33" s="158"/>
      <c r="Q33" s="415"/>
      <c r="R33" s="125"/>
      <c r="S33" s="416">
        <v>0.65</v>
      </c>
      <c r="T33" s="158"/>
      <c r="U33" s="408" t="e">
        <f t="shared" si="0"/>
        <v>#REF!</v>
      </c>
      <c r="V33" s="417">
        <v>463.93</v>
      </c>
      <c r="W33" s="742" t="e">
        <f>V33*(#REF!+1)</f>
        <v>#REF!</v>
      </c>
      <c r="X33" s="77"/>
      <c r="Y33" s="181"/>
      <c r="Z33" s="73"/>
      <c r="AA33" s="182">
        <v>0.65</v>
      </c>
      <c r="AB33" s="77"/>
      <c r="AC33" s="169" t="e">
        <f t="shared" si="1"/>
        <v>#REF!</v>
      </c>
      <c r="AD33" s="183">
        <v>459.22</v>
      </c>
      <c r="AE33" s="742" t="e">
        <f>AD33*(#REF!+1)</f>
        <v>#REF!</v>
      </c>
      <c r="AF33" s="169"/>
      <c r="AG33" s="169"/>
      <c r="AH33" s="85" t="s">
        <v>294</v>
      </c>
      <c r="AI33" s="73"/>
      <c r="AJ33" s="336">
        <f>'Bed Day Data'!ET35</f>
        <v>17.544168616818876</v>
      </c>
      <c r="AK33" s="186"/>
      <c r="AL33" s="73"/>
      <c r="AM33" s="136"/>
    </row>
    <row r="34" spans="1:39" x14ac:dyDescent="0.2">
      <c r="A34" s="415"/>
      <c r="B34" s="125"/>
      <c r="C34" s="416">
        <v>0.6</v>
      </c>
      <c r="D34" s="158"/>
      <c r="E34" s="408" t="e">
        <f t="shared" si="2"/>
        <v>#REF!</v>
      </c>
      <c r="F34" s="408">
        <v>614.5</v>
      </c>
      <c r="G34" s="742" t="e">
        <f>F34*(#REF!+1)</f>
        <v>#REF!</v>
      </c>
      <c r="H34" s="125"/>
      <c r="I34" s="415"/>
      <c r="J34" s="125"/>
      <c r="K34" s="416">
        <v>0.6</v>
      </c>
      <c r="L34" s="158"/>
      <c r="M34" s="408" t="e">
        <f t="shared" si="3"/>
        <v>#REF!</v>
      </c>
      <c r="N34" s="417">
        <v>562.53</v>
      </c>
      <c r="O34" s="742" t="e">
        <f>N34*(#REF!+1)</f>
        <v>#REF!</v>
      </c>
      <c r="P34" s="158"/>
      <c r="Q34" s="415"/>
      <c r="R34" s="125"/>
      <c r="S34" s="416">
        <v>0.6</v>
      </c>
      <c r="T34" s="158"/>
      <c r="U34" s="408" t="e">
        <f t="shared" si="0"/>
        <v>#REF!</v>
      </c>
      <c r="V34" s="417">
        <v>502.6</v>
      </c>
      <c r="W34" s="742" t="e">
        <f>V34*(#REF!+1)</f>
        <v>#REF!</v>
      </c>
      <c r="X34" s="77"/>
      <c r="Y34" s="181"/>
      <c r="Z34" s="73"/>
      <c r="AA34" s="182">
        <v>0.6</v>
      </c>
      <c r="AB34" s="77"/>
      <c r="AC34" s="169" t="e">
        <f t="shared" si="1"/>
        <v>#REF!</v>
      </c>
      <c r="AD34" s="183">
        <v>497.49</v>
      </c>
      <c r="AE34" s="742" t="e">
        <f>AD34*(#REF!+1)</f>
        <v>#REF!</v>
      </c>
      <c r="AF34" s="169"/>
      <c r="AG34" s="169"/>
      <c r="AH34" s="85" t="s">
        <v>295</v>
      </c>
      <c r="AI34" s="73"/>
      <c r="AJ34" s="336">
        <f>'Bed Day Data'!ET36</f>
        <v>4.8269348195899369</v>
      </c>
      <c r="AK34" s="186"/>
      <c r="AL34" s="73"/>
      <c r="AM34" s="291"/>
    </row>
    <row r="35" spans="1:39" x14ac:dyDescent="0.2">
      <c r="A35" s="415"/>
      <c r="B35" s="125"/>
      <c r="C35" s="416">
        <v>0.55000000000000004</v>
      </c>
      <c r="D35" s="158"/>
      <c r="E35" s="408" t="e">
        <f t="shared" si="2"/>
        <v>#REF!</v>
      </c>
      <c r="F35" s="408">
        <v>670.36</v>
      </c>
      <c r="G35" s="742" t="e">
        <f>F35*(#REF!+1)</f>
        <v>#REF!</v>
      </c>
      <c r="H35" s="125"/>
      <c r="I35" s="415"/>
      <c r="J35" s="125"/>
      <c r="K35" s="416">
        <v>0.55000000000000004</v>
      </c>
      <c r="L35" s="158"/>
      <c r="M35" s="408" t="e">
        <f t="shared" si="3"/>
        <v>#REF!</v>
      </c>
      <c r="N35" s="417">
        <v>613.66999999999996</v>
      </c>
      <c r="O35" s="742" t="e">
        <f>N35*(#REF!+1)</f>
        <v>#REF!</v>
      </c>
      <c r="P35" s="158"/>
      <c r="Q35" s="415"/>
      <c r="R35" s="125"/>
      <c r="S35" s="416">
        <v>0.55000000000000004</v>
      </c>
      <c r="T35" s="158"/>
      <c r="U35" s="408" t="e">
        <f t="shared" si="0"/>
        <v>#REF!</v>
      </c>
      <c r="V35" s="417">
        <v>548.29</v>
      </c>
      <c r="W35" s="742" t="e">
        <f>V35*(#REF!+1)</f>
        <v>#REF!</v>
      </c>
      <c r="X35" s="77"/>
      <c r="Y35" s="181"/>
      <c r="Z35" s="73"/>
      <c r="AA35" s="182">
        <v>0.55000000000000004</v>
      </c>
      <c r="AB35" s="77"/>
      <c r="AC35" s="169" t="e">
        <f t="shared" si="1"/>
        <v>#REF!</v>
      </c>
      <c r="AD35" s="183">
        <v>542.72</v>
      </c>
      <c r="AE35" s="742" t="e">
        <f>AD35*(#REF!+1)</f>
        <v>#REF!</v>
      </c>
      <c r="AF35" s="169"/>
      <c r="AG35" s="169"/>
      <c r="AH35" s="85"/>
      <c r="AI35" s="73"/>
      <c r="AJ35" s="336"/>
      <c r="AK35" s="186"/>
      <c r="AL35" s="73"/>
      <c r="AM35" s="291"/>
    </row>
    <row r="36" spans="1:39" ht="13.5" thickBot="1" x14ac:dyDescent="0.25">
      <c r="A36" s="418"/>
      <c r="B36" s="419"/>
      <c r="C36" s="420">
        <v>0.5</v>
      </c>
      <c r="D36" s="421"/>
      <c r="E36" s="422" t="e">
        <f t="shared" si="2"/>
        <v>#REF!</v>
      </c>
      <c r="F36" s="422">
        <v>737.39</v>
      </c>
      <c r="G36" s="742" t="e">
        <f>F36*(#REF!+1)</f>
        <v>#REF!</v>
      </c>
      <c r="H36" s="125"/>
      <c r="I36" s="418"/>
      <c r="J36" s="419"/>
      <c r="K36" s="420">
        <v>0.5</v>
      </c>
      <c r="L36" s="421"/>
      <c r="M36" s="422" t="e">
        <f t="shared" si="3"/>
        <v>#REF!</v>
      </c>
      <c r="N36" s="423">
        <v>675.05</v>
      </c>
      <c r="O36" s="742" t="e">
        <f>N36*(#REF!+1)</f>
        <v>#REF!</v>
      </c>
      <c r="P36" s="158"/>
      <c r="Q36" s="418"/>
      <c r="R36" s="419"/>
      <c r="S36" s="420">
        <v>0.5</v>
      </c>
      <c r="T36" s="421"/>
      <c r="U36" s="422" t="e">
        <f t="shared" si="0"/>
        <v>#REF!</v>
      </c>
      <c r="V36" s="423">
        <v>603.12</v>
      </c>
      <c r="W36" s="742" t="e">
        <f>V36*(#REF!+1)</f>
        <v>#REF!</v>
      </c>
      <c r="X36" s="77"/>
      <c r="Y36" s="189"/>
      <c r="Z36" s="190"/>
      <c r="AA36" s="191">
        <v>0.5</v>
      </c>
      <c r="AB36" s="192"/>
      <c r="AC36" s="193" t="e">
        <f t="shared" si="1"/>
        <v>#REF!</v>
      </c>
      <c r="AD36" s="194">
        <v>596.99</v>
      </c>
      <c r="AE36" s="742" t="e">
        <f>AD36*(#REF!+1)</f>
        <v>#REF!</v>
      </c>
      <c r="AF36" s="169"/>
      <c r="AG36" s="169"/>
      <c r="AH36" s="85" t="s">
        <v>283</v>
      </c>
      <c r="AI36" s="73"/>
      <c r="AJ36" s="336">
        <f>'Bed Day Data'!EU35</f>
        <v>16.772324588891873</v>
      </c>
      <c r="AK36" s="186"/>
      <c r="AL36" s="73"/>
      <c r="AM36" s="291"/>
    </row>
    <row r="37" spans="1:39" x14ac:dyDescent="0.2">
      <c r="A37" s="143"/>
      <c r="B37" s="143"/>
      <c r="C37" s="143"/>
      <c r="D37" s="143"/>
      <c r="E37" s="143"/>
      <c r="F37" s="143"/>
      <c r="G37" s="408"/>
      <c r="H37" s="125"/>
      <c r="I37" s="143"/>
      <c r="J37" s="143"/>
      <c r="K37" s="143"/>
      <c r="L37" s="143"/>
      <c r="M37" s="143"/>
      <c r="N37" s="143"/>
      <c r="O37" s="143"/>
      <c r="P37" s="158"/>
      <c r="Q37" s="143"/>
      <c r="R37" s="143"/>
      <c r="S37" s="143"/>
      <c r="T37" s="143"/>
      <c r="U37" s="143"/>
      <c r="V37" s="143"/>
      <c r="W37" s="143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187"/>
      <c r="AI37" s="188"/>
      <c r="AJ37" s="424"/>
      <c r="AK37" s="186"/>
      <c r="AL37" s="73"/>
      <c r="AM37" s="136"/>
    </row>
    <row r="38" spans="1:39" x14ac:dyDescent="0.2">
      <c r="A38" s="143"/>
      <c r="B38" s="143"/>
      <c r="C38" s="143"/>
      <c r="D38" s="143"/>
      <c r="E38" s="143"/>
      <c r="F38" s="143"/>
      <c r="G38" s="408"/>
      <c r="H38" s="125"/>
      <c r="I38" s="143"/>
      <c r="J38" s="143"/>
      <c r="K38" s="143"/>
      <c r="L38" s="143"/>
      <c r="M38" s="143"/>
      <c r="N38" s="143"/>
      <c r="O38" s="143"/>
      <c r="P38" s="158"/>
      <c r="Q38" s="143"/>
      <c r="R38" s="143"/>
      <c r="S38" s="143"/>
      <c r="T38" s="143"/>
      <c r="U38" s="143"/>
      <c r="V38" s="143"/>
      <c r="W38" s="143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37"/>
      <c r="AI38" s="73"/>
      <c r="AJ38" s="186"/>
      <c r="AK38" s="186"/>
      <c r="AL38" s="73"/>
      <c r="AM38" s="136"/>
    </row>
    <row r="39" spans="1:39" x14ac:dyDescent="0.2">
      <c r="A39" s="143"/>
      <c r="B39" s="143"/>
      <c r="C39" s="143"/>
      <c r="D39" s="143"/>
      <c r="E39" s="143"/>
      <c r="F39" s="143"/>
      <c r="G39" s="408"/>
      <c r="H39" s="125"/>
      <c r="I39" s="143"/>
      <c r="J39" s="143"/>
      <c r="K39" s="143"/>
      <c r="L39" s="143"/>
      <c r="M39" s="143"/>
      <c r="N39" s="143"/>
      <c r="O39" s="143"/>
      <c r="P39" s="158"/>
      <c r="Q39" s="143"/>
      <c r="R39" s="143"/>
      <c r="S39" s="143"/>
      <c r="T39" s="143"/>
      <c r="U39" s="143"/>
      <c r="V39" s="143"/>
      <c r="W39" s="143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37"/>
      <c r="AI39" s="73"/>
      <c r="AJ39" s="186"/>
      <c r="AK39" s="186"/>
      <c r="AL39" s="73"/>
      <c r="AM39" s="136"/>
    </row>
    <row r="40" spans="1:39" x14ac:dyDescent="0.2">
      <c r="A40" s="143"/>
      <c r="B40" s="143"/>
      <c r="C40" s="143"/>
      <c r="D40" s="143"/>
      <c r="E40" s="143"/>
      <c r="F40" s="143"/>
      <c r="G40" s="408"/>
      <c r="H40" s="125"/>
      <c r="I40" s="143"/>
      <c r="J40" s="143"/>
      <c r="K40" s="143"/>
      <c r="L40" s="143"/>
      <c r="M40" s="143"/>
      <c r="N40" s="143"/>
      <c r="O40" s="143"/>
      <c r="P40" s="158"/>
      <c r="Q40" s="143"/>
      <c r="R40" s="143"/>
      <c r="S40" s="143"/>
      <c r="T40" s="143"/>
      <c r="U40" s="143"/>
      <c r="V40" s="143"/>
      <c r="W40" s="143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37"/>
      <c r="AI40" s="73"/>
      <c r="AJ40" s="186"/>
      <c r="AK40" s="186"/>
      <c r="AL40" s="73"/>
      <c r="AM40" s="136"/>
    </row>
    <row r="41" spans="1:39" ht="13.5" thickBot="1" x14ac:dyDescent="0.25">
      <c r="A41" s="143"/>
      <c r="B41" s="143"/>
      <c r="C41" s="143"/>
      <c r="D41" s="143"/>
      <c r="E41" s="143"/>
      <c r="F41" s="143"/>
      <c r="G41" s="408"/>
      <c r="H41" s="125"/>
      <c r="I41" s="144"/>
      <c r="K41" s="157"/>
      <c r="L41" s="365"/>
      <c r="M41" s="157"/>
      <c r="N41" s="157"/>
      <c r="O41" s="157"/>
      <c r="P41" s="158"/>
      <c r="R41" s="157"/>
      <c r="S41" s="365"/>
      <c r="T41" s="157"/>
      <c r="U41" s="158"/>
      <c r="V41" s="158"/>
      <c r="W41" s="158"/>
      <c r="AH41" s="142"/>
      <c r="AI41" s="195"/>
      <c r="AJ41" s="425"/>
      <c r="AK41" s="426"/>
      <c r="AL41" s="198"/>
      <c r="AM41" s="136"/>
    </row>
    <row r="42" spans="1:39" ht="13.5" thickBot="1" x14ac:dyDescent="0.25">
      <c r="A42" s="84" t="s">
        <v>297</v>
      </c>
      <c r="G42" s="408"/>
      <c r="V42" s="71"/>
      <c r="W42" s="71"/>
      <c r="AD42" s="71"/>
      <c r="AE42" s="71"/>
      <c r="AF42" s="71"/>
      <c r="AG42" s="71"/>
      <c r="AH42" s="85" t="s">
        <v>286</v>
      </c>
      <c r="AI42" s="73"/>
      <c r="AJ42" s="180" t="e">
        <f>'Bed Day Data'!DM33</f>
        <v>#REF!</v>
      </c>
      <c r="AK42" s="199"/>
      <c r="AL42" s="198"/>
      <c r="AM42" s="136"/>
    </row>
    <row r="43" spans="1:39" ht="13.5" thickBot="1" x14ac:dyDescent="0.25">
      <c r="A43" s="78"/>
      <c r="B43" s="74"/>
      <c r="C43" s="90" t="s">
        <v>255</v>
      </c>
      <c r="D43" s="91"/>
      <c r="E43" s="92"/>
      <c r="F43" s="92"/>
      <c r="G43" s="408"/>
      <c r="H43" s="93"/>
      <c r="K43" s="90" t="s">
        <v>256</v>
      </c>
      <c r="L43" s="91"/>
      <c r="M43" s="92"/>
      <c r="N43" s="92"/>
      <c r="O43" s="92"/>
      <c r="Q43" s="78"/>
      <c r="R43" s="74"/>
      <c r="S43" s="90" t="s">
        <v>257</v>
      </c>
      <c r="T43" s="91"/>
      <c r="U43" s="92"/>
      <c r="V43" s="93"/>
      <c r="W43" s="93"/>
      <c r="X43" s="93"/>
      <c r="Y43" s="78"/>
      <c r="Z43" s="74"/>
      <c r="AA43" s="90" t="s">
        <v>258</v>
      </c>
      <c r="AB43" s="91"/>
      <c r="AC43" s="92"/>
      <c r="AD43" s="93"/>
      <c r="AE43" s="93"/>
      <c r="AF43" s="93"/>
      <c r="AG43" s="76"/>
      <c r="AH43" s="200" t="s">
        <v>296</v>
      </c>
      <c r="AI43" s="201"/>
      <c r="AJ43" s="427"/>
      <c r="AK43" s="713">
        <f>'[5]Rate Options'!$AG$40</f>
        <v>4.4640068153077195E-2</v>
      </c>
      <c r="AL43" s="202"/>
      <c r="AM43" s="203"/>
    </row>
    <row r="44" spans="1:39" s="101" customFormat="1" x14ac:dyDescent="0.2">
      <c r="A44" s="94" t="s">
        <v>261</v>
      </c>
      <c r="B44" s="95" t="s">
        <v>339</v>
      </c>
      <c r="C44" s="96" t="s">
        <v>262</v>
      </c>
      <c r="D44" s="97">
        <v>365</v>
      </c>
      <c r="E44" s="98">
        <f>D44*B45</f>
        <v>4380</v>
      </c>
      <c r="F44" s="98"/>
      <c r="G44" s="408"/>
      <c r="H44" s="99"/>
      <c r="I44" s="94" t="s">
        <v>261</v>
      </c>
      <c r="J44" s="100" t="s">
        <v>340</v>
      </c>
      <c r="K44" s="96" t="s">
        <v>262</v>
      </c>
      <c r="L44" s="97">
        <v>365</v>
      </c>
      <c r="M44" s="98">
        <f>J45*L44</f>
        <v>5657.5</v>
      </c>
      <c r="N44" s="98"/>
      <c r="O44" s="98"/>
      <c r="Q44" s="94" t="s">
        <v>261</v>
      </c>
      <c r="R44" s="102" t="s">
        <v>263</v>
      </c>
      <c r="S44" s="96" t="s">
        <v>262</v>
      </c>
      <c r="T44" s="97">
        <v>365</v>
      </c>
      <c r="U44" s="98">
        <f>R45*T44</f>
        <v>7300</v>
      </c>
      <c r="V44" s="99"/>
      <c r="W44" s="99"/>
      <c r="X44" s="99"/>
      <c r="Y44" s="94" t="s">
        <v>261</v>
      </c>
      <c r="Z44" s="102" t="s">
        <v>264</v>
      </c>
      <c r="AA44" s="96" t="s">
        <v>262</v>
      </c>
      <c r="AB44" s="97">
        <v>365</v>
      </c>
      <c r="AC44" s="98">
        <f>Z45*AB44</f>
        <v>9125</v>
      </c>
      <c r="AD44" s="99"/>
      <c r="AE44" s="99"/>
      <c r="AF44" s="99"/>
    </row>
    <row r="45" spans="1:39" s="101" customFormat="1" x14ac:dyDescent="0.2">
      <c r="A45" s="94"/>
      <c r="B45" s="102">
        <v>12</v>
      </c>
      <c r="C45" s="96"/>
      <c r="D45" s="97"/>
      <c r="E45" s="98"/>
      <c r="F45" s="98"/>
      <c r="G45" s="408"/>
      <c r="H45" s="99"/>
      <c r="I45" s="94"/>
      <c r="J45" s="102">
        <v>15.5</v>
      </c>
      <c r="K45" s="96"/>
      <c r="L45" s="97"/>
      <c r="M45" s="98"/>
      <c r="N45" s="98"/>
      <c r="O45" s="98"/>
      <c r="Q45" s="94"/>
      <c r="R45" s="102">
        <v>20</v>
      </c>
      <c r="S45" s="96"/>
      <c r="T45" s="97"/>
      <c r="U45" s="98"/>
      <c r="V45" s="99"/>
      <c r="W45" s="99"/>
      <c r="X45" s="99"/>
      <c r="Y45" s="94"/>
      <c r="Z45" s="102">
        <v>25</v>
      </c>
      <c r="AA45" s="96"/>
      <c r="AB45" s="97"/>
      <c r="AC45" s="98"/>
      <c r="AD45" s="99"/>
      <c r="AE45" s="99"/>
      <c r="AF45" s="99"/>
      <c r="AH45" s="101" t="s">
        <v>394</v>
      </c>
    </row>
    <row r="46" spans="1:39" s="101" customFormat="1" x14ac:dyDescent="0.2">
      <c r="A46" s="94"/>
      <c r="B46" s="102"/>
      <c r="C46" s="108"/>
      <c r="D46" s="97"/>
      <c r="E46" s="98"/>
      <c r="F46" s="98"/>
      <c r="G46" s="408"/>
      <c r="H46" s="99"/>
      <c r="I46" s="94"/>
      <c r="J46" s="102"/>
      <c r="K46" s="96"/>
      <c r="L46" s="97"/>
      <c r="M46" s="98"/>
      <c r="N46" s="98"/>
      <c r="O46" s="98"/>
      <c r="Q46" s="94"/>
      <c r="R46" s="102"/>
      <c r="S46" s="96"/>
      <c r="T46" s="97"/>
      <c r="U46" s="98"/>
      <c r="V46" s="99"/>
      <c r="W46" s="99"/>
      <c r="X46" s="99"/>
      <c r="Y46" s="94"/>
      <c r="Z46" s="102"/>
      <c r="AA46" s="96"/>
      <c r="AB46" s="97"/>
      <c r="AC46" s="98"/>
      <c r="AD46" s="99"/>
      <c r="AE46" s="99"/>
      <c r="AF46" s="99"/>
      <c r="AG46" s="106"/>
      <c r="AH46" s="204"/>
      <c r="AI46" s="106"/>
      <c r="AJ46" s="106"/>
      <c r="AK46" s="106"/>
    </row>
    <row r="47" spans="1:39" s="357" customFormat="1" ht="28.5" customHeight="1" x14ac:dyDescent="0.2">
      <c r="A47" s="375"/>
      <c r="B47" s="376" t="s">
        <v>269</v>
      </c>
      <c r="C47" s="377" t="s">
        <v>341</v>
      </c>
      <c r="D47" s="378" t="s">
        <v>270</v>
      </c>
      <c r="E47" s="377" t="s">
        <v>342</v>
      </c>
      <c r="F47" s="377"/>
      <c r="G47" s="408"/>
      <c r="H47" s="379"/>
      <c r="I47" s="375"/>
      <c r="J47" s="376" t="s">
        <v>269</v>
      </c>
      <c r="K47" s="377" t="s">
        <v>341</v>
      </c>
      <c r="L47" s="378" t="s">
        <v>270</v>
      </c>
      <c r="M47" s="377" t="s">
        <v>342</v>
      </c>
      <c r="N47" s="377"/>
      <c r="O47" s="377"/>
      <c r="P47" s="217"/>
      <c r="Q47" s="375"/>
      <c r="R47" s="376" t="s">
        <v>269</v>
      </c>
      <c r="S47" s="377" t="s">
        <v>341</v>
      </c>
      <c r="T47" s="378" t="s">
        <v>270</v>
      </c>
      <c r="U47" s="377" t="s">
        <v>342</v>
      </c>
      <c r="V47" s="207"/>
      <c r="W47" s="207"/>
      <c r="X47" s="207"/>
      <c r="Y47" s="356"/>
      <c r="Z47" s="292" t="s">
        <v>269</v>
      </c>
      <c r="AA47" s="293" t="s">
        <v>341</v>
      </c>
      <c r="AB47" s="294" t="s">
        <v>270</v>
      </c>
      <c r="AC47" s="293" t="s">
        <v>342</v>
      </c>
      <c r="AD47" s="207"/>
      <c r="AE47" s="207"/>
      <c r="AF47" s="207"/>
      <c r="AG47" s="205"/>
      <c r="AH47" s="205"/>
      <c r="AI47" s="205"/>
      <c r="AJ47" s="205"/>
      <c r="AK47" s="354"/>
    </row>
    <row r="48" spans="1:39" s="75" customFormat="1" x14ac:dyDescent="0.2">
      <c r="A48" s="380" t="s">
        <v>272</v>
      </c>
      <c r="B48" s="381"/>
      <c r="C48" s="382">
        <f>$AK$11</f>
        <v>59700.570397111915</v>
      </c>
      <c r="D48" s="124">
        <f>AJ18</f>
        <v>2.15</v>
      </c>
      <c r="E48" s="157">
        <f>C48*D48</f>
        <v>128356.22635379061</v>
      </c>
      <c r="F48" s="157"/>
      <c r="G48" s="408"/>
      <c r="H48" s="158"/>
      <c r="I48" s="380" t="s">
        <v>272</v>
      </c>
      <c r="J48" s="381"/>
      <c r="K48" s="382">
        <f>$AK$11</f>
        <v>59700.570397111915</v>
      </c>
      <c r="L48" s="124">
        <f>AK18</f>
        <v>2.15</v>
      </c>
      <c r="M48" s="157">
        <f>K48*L48</f>
        <v>128356.22635379061</v>
      </c>
      <c r="N48" s="157"/>
      <c r="O48" s="157"/>
      <c r="P48" s="157"/>
      <c r="Q48" s="380" t="s">
        <v>272</v>
      </c>
      <c r="R48" s="381"/>
      <c r="S48" s="382">
        <f>$AK$11</f>
        <v>59700.570397111915</v>
      </c>
      <c r="T48" s="124">
        <f>AL18</f>
        <v>2.15</v>
      </c>
      <c r="U48" s="157">
        <f>S48*T48</f>
        <v>128356.22635379061</v>
      </c>
      <c r="V48" s="77"/>
      <c r="W48" s="77"/>
      <c r="X48" s="77"/>
      <c r="Y48" s="121" t="s">
        <v>272</v>
      </c>
      <c r="Z48" s="381"/>
      <c r="AA48" s="382">
        <f>$AK$11</f>
        <v>59700.570397111915</v>
      </c>
      <c r="AB48" s="124">
        <f>AM18</f>
        <v>2.15</v>
      </c>
      <c r="AC48" s="157">
        <f>AA48*AB48</f>
        <v>128356.22635379061</v>
      </c>
      <c r="AD48" s="77"/>
      <c r="AE48" s="77"/>
      <c r="AF48" s="77"/>
      <c r="AG48" s="87"/>
      <c r="AH48" s="77"/>
      <c r="AI48" s="77"/>
      <c r="AJ48" s="77"/>
      <c r="AK48" s="77"/>
    </row>
    <row r="49" spans="1:39" s="75" customFormat="1" x14ac:dyDescent="0.2">
      <c r="A49" s="380" t="s">
        <v>273</v>
      </c>
      <c r="B49" s="381"/>
      <c r="C49" s="382">
        <f>$AK$12</f>
        <v>51947.798987144524</v>
      </c>
      <c r="D49" s="124">
        <f>AJ19</f>
        <v>3</v>
      </c>
      <c r="E49" s="157">
        <f>C49*D49</f>
        <v>155843.39696143358</v>
      </c>
      <c r="F49" s="157"/>
      <c r="G49" s="408"/>
      <c r="H49" s="158"/>
      <c r="I49" s="380" t="s">
        <v>273</v>
      </c>
      <c r="J49" s="381"/>
      <c r="K49" s="382">
        <f>$AK$12</f>
        <v>51947.798987144524</v>
      </c>
      <c r="L49" s="124">
        <f>AK19</f>
        <v>3</v>
      </c>
      <c r="M49" s="157">
        <f>K49*L49</f>
        <v>155843.39696143358</v>
      </c>
      <c r="N49" s="157"/>
      <c r="O49" s="157"/>
      <c r="P49" s="157"/>
      <c r="Q49" s="380" t="s">
        <v>273</v>
      </c>
      <c r="R49" s="381"/>
      <c r="S49" s="382">
        <f>$AK$12</f>
        <v>51947.798987144524</v>
      </c>
      <c r="T49" s="124">
        <f>AL19</f>
        <v>3</v>
      </c>
      <c r="U49" s="157">
        <f>S49*T49</f>
        <v>155843.39696143358</v>
      </c>
      <c r="V49" s="77"/>
      <c r="W49" s="77"/>
      <c r="X49" s="77"/>
      <c r="Y49" s="121" t="s">
        <v>273</v>
      </c>
      <c r="Z49" s="381"/>
      <c r="AA49" s="382">
        <f>$AK$12</f>
        <v>51947.798987144524</v>
      </c>
      <c r="AB49" s="124">
        <f>AM19</f>
        <v>4</v>
      </c>
      <c r="AC49" s="157">
        <f>AA49*AB49</f>
        <v>207791.1959485781</v>
      </c>
      <c r="AD49" s="77"/>
      <c r="AE49" s="77"/>
      <c r="AF49" s="77"/>
      <c r="AG49" s="205"/>
      <c r="AH49" s="87"/>
      <c r="AI49" s="77"/>
      <c r="AJ49" s="77"/>
      <c r="AK49" s="77"/>
    </row>
    <row r="50" spans="1:39" s="133" customFormat="1" x14ac:dyDescent="0.2">
      <c r="A50" s="383" t="s">
        <v>275</v>
      </c>
      <c r="B50" s="124">
        <f>AJ27</f>
        <v>0.8482142857142857</v>
      </c>
      <c r="C50" s="382">
        <f>$AK$13</f>
        <v>31102.5</v>
      </c>
      <c r="D50" s="124">
        <f>B45/B50</f>
        <v>14.147368421052631</v>
      </c>
      <c r="E50" s="157">
        <f>C50*D50</f>
        <v>440018.52631578944</v>
      </c>
      <c r="F50" s="157"/>
      <c r="G50" s="408"/>
      <c r="H50" s="158"/>
      <c r="I50" s="383" t="s">
        <v>275</v>
      </c>
      <c r="J50" s="124">
        <f>AK27</f>
        <v>0.85815273477812182</v>
      </c>
      <c r="K50" s="382">
        <f>$AK$13</f>
        <v>31102.5</v>
      </c>
      <c r="L50" s="124">
        <f>J45/J50</f>
        <v>18.062052792976971</v>
      </c>
      <c r="M50" s="157">
        <f>K50*L50</f>
        <v>561774.99699356628</v>
      </c>
      <c r="N50" s="157"/>
      <c r="O50" s="157"/>
      <c r="P50" s="243"/>
      <c r="Q50" s="383" t="s">
        <v>275</v>
      </c>
      <c r="R50" s="124">
        <f>AL27</f>
        <v>0.92860869565217397</v>
      </c>
      <c r="S50" s="382">
        <f>$AK$13</f>
        <v>31102.5</v>
      </c>
      <c r="T50" s="124">
        <f>R45/R50</f>
        <v>21.537597153291504</v>
      </c>
      <c r="U50" s="157">
        <f>S50*T50</f>
        <v>669873.11546024901</v>
      </c>
      <c r="V50" s="77"/>
      <c r="W50" s="77"/>
      <c r="X50" s="77"/>
      <c r="Y50" s="131" t="s">
        <v>275</v>
      </c>
      <c r="Z50" s="124">
        <f>AM27</f>
        <v>0.93530864197530861</v>
      </c>
      <c r="AA50" s="382">
        <f>$AK$13</f>
        <v>31102.5</v>
      </c>
      <c r="AB50" s="124">
        <f>Z45/Z50</f>
        <v>26.729144667370644</v>
      </c>
      <c r="AC50" s="157">
        <f>AA50*AB50</f>
        <v>831343.22201689542</v>
      </c>
      <c r="AD50" s="77"/>
      <c r="AE50" s="77"/>
      <c r="AF50" s="77"/>
      <c r="AG50" s="86"/>
      <c r="AH50" s="87"/>
      <c r="AI50" s="88"/>
      <c r="AJ50" s="88"/>
      <c r="AK50" s="88"/>
    </row>
    <row r="51" spans="1:39" s="133" customFormat="1" x14ac:dyDescent="0.2">
      <c r="A51" s="383" t="s">
        <v>276</v>
      </c>
      <c r="B51" s="124"/>
      <c r="C51" s="382">
        <f>$AK$13</f>
        <v>31102.5</v>
      </c>
      <c r="D51" s="124">
        <f>D50*$AJ$8</f>
        <v>2.7750607287449394</v>
      </c>
      <c r="E51" s="157">
        <f>C51*D51</f>
        <v>86311.326315789483</v>
      </c>
      <c r="F51" s="157"/>
      <c r="G51" s="408"/>
      <c r="H51" s="158"/>
      <c r="I51" s="383" t="s">
        <v>276</v>
      </c>
      <c r="J51" s="124"/>
      <c r="K51" s="382">
        <f>$AK$13</f>
        <v>31102.5</v>
      </c>
      <c r="L51" s="124">
        <f>L50*$AJ$8</f>
        <v>3.5429411247762519</v>
      </c>
      <c r="M51" s="157">
        <f>K51*L51</f>
        <v>110194.32633335337</v>
      </c>
      <c r="N51" s="157"/>
      <c r="O51" s="157"/>
      <c r="P51" s="243"/>
      <c r="Q51" s="383" t="s">
        <v>276</v>
      </c>
      <c r="R51" s="124"/>
      <c r="S51" s="382">
        <f>$AK$13</f>
        <v>31102.5</v>
      </c>
      <c r="T51" s="124">
        <f>T50*$AJ$8</f>
        <v>4.2246825185302566</v>
      </c>
      <c r="U51" s="157">
        <f>S51*T51</f>
        <v>131398.18803258729</v>
      </c>
      <c r="V51" s="77"/>
      <c r="W51" s="77"/>
      <c r="X51" s="77"/>
      <c r="Y51" s="131" t="s">
        <v>276</v>
      </c>
      <c r="Z51" s="124"/>
      <c r="AA51" s="382">
        <f>$AK$13</f>
        <v>31102.5</v>
      </c>
      <c r="AB51" s="124">
        <f>AB50*$AJ$8</f>
        <v>5.2430245309073182</v>
      </c>
      <c r="AC51" s="157">
        <f>AA51*AB51</f>
        <v>163071.17047254488</v>
      </c>
      <c r="AD51" s="77"/>
      <c r="AE51" s="77"/>
      <c r="AF51" s="77"/>
      <c r="AG51" s="86"/>
      <c r="AH51" s="87"/>
      <c r="AI51" s="88"/>
      <c r="AJ51" s="88"/>
      <c r="AK51" s="88"/>
    </row>
    <row r="52" spans="1:39" s="75" customFormat="1" x14ac:dyDescent="0.2">
      <c r="A52" s="380" t="s">
        <v>370</v>
      </c>
      <c r="B52" s="124"/>
      <c r="C52" s="382">
        <f>$AK$14</f>
        <v>30600.305857957486</v>
      </c>
      <c r="D52" s="124">
        <f>AJ23</f>
        <v>3</v>
      </c>
      <c r="E52" s="157">
        <f>C52*D52</f>
        <v>91800.917573872459</v>
      </c>
      <c r="F52" s="157"/>
      <c r="G52" s="408"/>
      <c r="H52" s="158"/>
      <c r="I52" s="380" t="s">
        <v>370</v>
      </c>
      <c r="J52" s="124"/>
      <c r="K52" s="382">
        <f>$AK$14</f>
        <v>30600.305857957486</v>
      </c>
      <c r="L52" s="124">
        <f>AK23</f>
        <v>3</v>
      </c>
      <c r="M52" s="157">
        <f>K52*L52</f>
        <v>91800.917573872459</v>
      </c>
      <c r="N52" s="157"/>
      <c r="O52" s="157"/>
      <c r="P52" s="157"/>
      <c r="Q52" s="380" t="s">
        <v>370</v>
      </c>
      <c r="R52" s="124"/>
      <c r="S52" s="382">
        <f>$AK$14</f>
        <v>30600.305857957486</v>
      </c>
      <c r="T52" s="124">
        <f>AL23</f>
        <v>3</v>
      </c>
      <c r="U52" s="157">
        <f>S52*T52</f>
        <v>91800.917573872459</v>
      </c>
      <c r="V52" s="77"/>
      <c r="W52" s="77"/>
      <c r="X52" s="77"/>
      <c r="Y52" s="121" t="s">
        <v>370</v>
      </c>
      <c r="Z52" s="124"/>
      <c r="AA52" s="382">
        <f>$AK$14</f>
        <v>30600.305857957486</v>
      </c>
      <c r="AB52" s="124">
        <f>AM23</f>
        <v>4</v>
      </c>
      <c r="AC52" s="157">
        <f>AA52*AB52</f>
        <v>122401.22343182995</v>
      </c>
      <c r="AD52" s="77"/>
      <c r="AE52" s="77"/>
      <c r="AF52" s="77"/>
      <c r="AG52" s="86"/>
      <c r="AH52" s="87"/>
      <c r="AI52" s="77"/>
      <c r="AJ52" s="77"/>
      <c r="AK52" s="77"/>
    </row>
    <row r="53" spans="1:39" s="101" customFormat="1" x14ac:dyDescent="0.2">
      <c r="A53" s="387" t="s">
        <v>277</v>
      </c>
      <c r="B53" s="387"/>
      <c r="C53" s="388"/>
      <c r="D53" s="389">
        <f>SUM(D48:D52)</f>
        <v>25.072429149797571</v>
      </c>
      <c r="E53" s="388">
        <f>SUM(E48:E52)</f>
        <v>902330.3935206756</v>
      </c>
      <c r="F53" s="369"/>
      <c r="G53" s="408"/>
      <c r="H53" s="369"/>
      <c r="I53" s="387" t="s">
        <v>277</v>
      </c>
      <c r="J53" s="387"/>
      <c r="K53" s="388"/>
      <c r="L53" s="389">
        <f>SUM(L48:L52)</f>
        <v>29.754993917753222</v>
      </c>
      <c r="M53" s="388">
        <f>SUM(M48:M52)</f>
        <v>1047969.8642160164</v>
      </c>
      <c r="N53" s="369"/>
      <c r="O53" s="369"/>
      <c r="P53" s="71"/>
      <c r="Q53" s="387" t="s">
        <v>277</v>
      </c>
      <c r="R53" s="387"/>
      <c r="S53" s="388"/>
      <c r="T53" s="389">
        <f>SUM(T48:T52)</f>
        <v>33.912279671821764</v>
      </c>
      <c r="U53" s="388">
        <f>SUM(U48:U52)</f>
        <v>1177271.8443819331</v>
      </c>
      <c r="V53" s="93"/>
      <c r="W53" s="93"/>
      <c r="X53" s="93"/>
      <c r="Y53" s="138" t="s">
        <v>277</v>
      </c>
      <c r="Z53" s="387"/>
      <c r="AA53" s="388"/>
      <c r="AB53" s="389">
        <f>SUM(AB48:AB52)</f>
        <v>42.122169198277966</v>
      </c>
      <c r="AC53" s="388">
        <f>SUM(AC48:AC52)</f>
        <v>1452963.0382236391</v>
      </c>
      <c r="AD53" s="93"/>
      <c r="AE53" s="93"/>
      <c r="AF53" s="93"/>
      <c r="AG53" s="86"/>
      <c r="AH53" s="87"/>
      <c r="AI53" s="106"/>
      <c r="AJ53" s="106"/>
      <c r="AK53" s="106"/>
    </row>
    <row r="54" spans="1:39" s="101" customFormat="1" x14ac:dyDescent="0.2">
      <c r="A54" s="198"/>
      <c r="B54" s="198"/>
      <c r="C54" s="369"/>
      <c r="D54" s="390"/>
      <c r="E54" s="369"/>
      <c r="F54" s="369"/>
      <c r="G54" s="408"/>
      <c r="H54" s="369"/>
      <c r="I54" s="198"/>
      <c r="J54" s="198"/>
      <c r="K54" s="369"/>
      <c r="L54" s="390"/>
      <c r="M54" s="369"/>
      <c r="N54" s="369"/>
      <c r="O54" s="369"/>
      <c r="P54" s="71"/>
      <c r="Q54" s="198"/>
      <c r="R54" s="198"/>
      <c r="S54" s="369"/>
      <c r="T54" s="390"/>
      <c r="U54" s="369"/>
      <c r="V54" s="93"/>
      <c r="W54" s="93"/>
      <c r="X54" s="93"/>
      <c r="Y54" s="106"/>
      <c r="Z54" s="198"/>
      <c r="AA54" s="369"/>
      <c r="AB54" s="390"/>
      <c r="AC54" s="369"/>
      <c r="AD54" s="93"/>
      <c r="AE54" s="93"/>
      <c r="AF54" s="93"/>
      <c r="AG54" s="86"/>
      <c r="AH54" s="87"/>
      <c r="AI54" s="106"/>
      <c r="AJ54" s="106"/>
      <c r="AK54" s="106"/>
    </row>
    <row r="55" spans="1:39" s="101" customFormat="1" x14ac:dyDescent="0.2">
      <c r="A55" s="391" t="s">
        <v>278</v>
      </c>
      <c r="B55" s="391"/>
      <c r="C55" s="392"/>
      <c r="D55" s="393" t="s">
        <v>279</v>
      </c>
      <c r="E55" s="392"/>
      <c r="F55" s="392"/>
      <c r="G55" s="408"/>
      <c r="H55" s="394"/>
      <c r="I55" s="391" t="s">
        <v>278</v>
      </c>
      <c r="J55" s="391"/>
      <c r="K55" s="392"/>
      <c r="L55" s="393" t="s">
        <v>279</v>
      </c>
      <c r="M55" s="392"/>
      <c r="N55" s="392"/>
      <c r="O55" s="392"/>
      <c r="P55" s="71"/>
      <c r="Q55" s="391" t="s">
        <v>278</v>
      </c>
      <c r="R55" s="391"/>
      <c r="S55" s="392"/>
      <c r="T55" s="393" t="s">
        <v>279</v>
      </c>
      <c r="U55" s="392"/>
      <c r="V55" s="114"/>
      <c r="W55" s="114"/>
      <c r="X55" s="114"/>
      <c r="Y55" s="111" t="s">
        <v>278</v>
      </c>
      <c r="Z55" s="391"/>
      <c r="AA55" s="392"/>
      <c r="AB55" s="393" t="s">
        <v>279</v>
      </c>
      <c r="AC55" s="392"/>
      <c r="AD55" s="114"/>
      <c r="AE55" s="114"/>
      <c r="AF55" s="114"/>
      <c r="AG55" s="20"/>
      <c r="AH55" s="87"/>
      <c r="AI55" s="106"/>
      <c r="AJ55" s="106"/>
      <c r="AK55" s="106"/>
    </row>
    <row r="56" spans="1:39" s="78" customFormat="1" x14ac:dyDescent="0.2">
      <c r="A56" s="143" t="s">
        <v>280</v>
      </c>
      <c r="B56" s="144"/>
      <c r="C56" s="160">
        <f>$AJ$30</f>
        <v>0.25578770213785851</v>
      </c>
      <c r="D56" s="395"/>
      <c r="E56" s="157">
        <f>C56*E53</f>
        <v>230805.01792780322</v>
      </c>
      <c r="F56" s="382"/>
      <c r="G56" s="408"/>
      <c r="H56" s="396"/>
      <c r="I56" s="143" t="s">
        <v>280</v>
      </c>
      <c r="J56" s="144"/>
      <c r="K56" s="160">
        <f>$AJ$30</f>
        <v>0.25578770213785851</v>
      </c>
      <c r="L56" s="395"/>
      <c r="M56" s="157">
        <f>K56*M53</f>
        <v>268057.8034775384</v>
      </c>
      <c r="N56" s="157"/>
      <c r="O56" s="157"/>
      <c r="P56" s="144"/>
      <c r="Q56" s="143" t="s">
        <v>280</v>
      </c>
      <c r="R56" s="144"/>
      <c r="S56" s="160">
        <f>$AJ$30</f>
        <v>0.25578770213785851</v>
      </c>
      <c r="T56" s="395"/>
      <c r="U56" s="157">
        <f>S56*U53</f>
        <v>301131.6598660532</v>
      </c>
      <c r="V56" s="146"/>
      <c r="W56" s="146"/>
      <c r="X56" s="146"/>
      <c r="Y56" s="143" t="s">
        <v>280</v>
      </c>
      <c r="Z56" s="144"/>
      <c r="AA56" s="160">
        <f>$AJ$30</f>
        <v>0.25578770213785851</v>
      </c>
      <c r="AB56" s="395"/>
      <c r="AC56" s="157">
        <f>AA56*AC53</f>
        <v>371650.07683846611</v>
      </c>
      <c r="AD56" s="146"/>
      <c r="AE56" s="146"/>
      <c r="AF56" s="146"/>
      <c r="AG56" s="69"/>
      <c r="AH56" s="87"/>
      <c r="AI56" s="206"/>
      <c r="AJ56" s="206"/>
      <c r="AK56" s="206"/>
    </row>
    <row r="57" spans="1:39" x14ac:dyDescent="0.2">
      <c r="A57" s="397" t="s">
        <v>282</v>
      </c>
      <c r="B57" s="397"/>
      <c r="C57" s="398"/>
      <c r="D57" s="151">
        <f>E57/E44</f>
        <v>258.70671494257505</v>
      </c>
      <c r="E57" s="399">
        <f>E56+E53</f>
        <v>1133135.4114484787</v>
      </c>
      <c r="F57" s="158"/>
      <c r="G57" s="408"/>
      <c r="H57" s="158"/>
      <c r="I57" s="397" t="s">
        <v>282</v>
      </c>
      <c r="J57" s="397"/>
      <c r="K57" s="398"/>
      <c r="L57" s="151">
        <f>M57/M44</f>
        <v>232.61646799709322</v>
      </c>
      <c r="M57" s="399">
        <f>M56+M53</f>
        <v>1316027.6676935549</v>
      </c>
      <c r="N57" s="394"/>
      <c r="O57" s="394"/>
      <c r="P57" s="158"/>
      <c r="Q57" s="397" t="s">
        <v>282</v>
      </c>
      <c r="R57" s="397"/>
      <c r="S57" s="398"/>
      <c r="T57" s="151">
        <f>U57/U44</f>
        <v>202.52102797917621</v>
      </c>
      <c r="U57" s="399">
        <f>U56+U53</f>
        <v>1478403.5042479862</v>
      </c>
      <c r="V57" s="114"/>
      <c r="W57" s="114"/>
      <c r="X57" s="114"/>
      <c r="Y57" s="149" t="s">
        <v>282</v>
      </c>
      <c r="Z57" s="397"/>
      <c r="AA57" s="398"/>
      <c r="AB57" s="151">
        <f>AC57/AC44</f>
        <v>199.95760165064166</v>
      </c>
      <c r="AC57" s="399">
        <f>AC56+AC53</f>
        <v>1824613.1150621052</v>
      </c>
      <c r="AD57" s="114"/>
      <c r="AE57" s="114"/>
      <c r="AF57" s="114"/>
      <c r="AG57" s="125"/>
      <c r="AH57" s="73"/>
      <c r="AI57" s="73"/>
      <c r="AJ57" s="73"/>
      <c r="AK57" s="73"/>
      <c r="AL57" s="72"/>
      <c r="AM57" s="72"/>
    </row>
    <row r="58" spans="1:39" x14ac:dyDescent="0.2">
      <c r="A58" s="143"/>
      <c r="B58" s="143"/>
      <c r="C58" s="157"/>
      <c r="D58" s="365"/>
      <c r="E58" s="157"/>
      <c r="F58" s="157"/>
      <c r="G58" s="408"/>
      <c r="H58" s="158"/>
      <c r="I58" s="143"/>
      <c r="J58" s="143"/>
      <c r="K58" s="157"/>
      <c r="L58" s="365"/>
      <c r="M58" s="157"/>
      <c r="N58" s="157"/>
      <c r="O58" s="157"/>
      <c r="P58" s="158"/>
      <c r="Q58" s="143"/>
      <c r="R58" s="143"/>
      <c r="S58" s="157"/>
      <c r="T58" s="365"/>
      <c r="U58" s="157"/>
      <c r="X58" s="77"/>
      <c r="Y58" s="72"/>
      <c r="Z58" s="143"/>
      <c r="AA58" s="157"/>
      <c r="AB58" s="365"/>
      <c r="AC58" s="157"/>
      <c r="AG58" s="207"/>
      <c r="AH58" s="73"/>
      <c r="AI58" s="73"/>
      <c r="AJ58" s="73"/>
      <c r="AK58" s="73"/>
      <c r="AL58" s="72"/>
      <c r="AM58" s="72"/>
    </row>
    <row r="59" spans="1:39" x14ac:dyDescent="0.2">
      <c r="A59" s="143" t="s">
        <v>91</v>
      </c>
      <c r="B59" s="143"/>
      <c r="C59" s="157"/>
      <c r="D59" s="124">
        <f>$AJ$33</f>
        <v>17.544168616818876</v>
      </c>
      <c r="E59" s="157">
        <f>D59*E$44</f>
        <v>76843.458541666681</v>
      </c>
      <c r="F59" s="400"/>
      <c r="G59" s="408"/>
      <c r="H59" s="158"/>
      <c r="I59" s="143" t="s">
        <v>91</v>
      </c>
      <c r="J59" s="143"/>
      <c r="K59" s="157"/>
      <c r="L59" s="124">
        <f>$AJ$33</f>
        <v>17.544168616818876</v>
      </c>
      <c r="M59" s="157">
        <f>L59*M$44</f>
        <v>99256.133949652794</v>
      </c>
      <c r="N59" s="157"/>
      <c r="O59" s="157"/>
      <c r="P59" s="158"/>
      <c r="Q59" s="143" t="s">
        <v>91</v>
      </c>
      <c r="R59" s="143"/>
      <c r="S59" s="157"/>
      <c r="T59" s="124">
        <f>$AJ$33</f>
        <v>17.544168616818876</v>
      </c>
      <c r="U59" s="157">
        <f>T59*U$44</f>
        <v>128072.43090277779</v>
      </c>
      <c r="X59" s="77"/>
      <c r="Y59" s="72" t="s">
        <v>91</v>
      </c>
      <c r="Z59" s="143"/>
      <c r="AA59" s="157"/>
      <c r="AB59" s="124">
        <f>$AJ$33</f>
        <v>17.544168616818876</v>
      </c>
      <c r="AC59" s="157">
        <f>AB59*AC$44</f>
        <v>160090.53862847225</v>
      </c>
      <c r="AG59" s="135"/>
      <c r="AH59" s="73"/>
      <c r="AI59" s="73"/>
      <c r="AJ59" s="73"/>
      <c r="AK59" s="73"/>
      <c r="AL59" s="72"/>
      <c r="AM59" s="135"/>
    </row>
    <row r="60" spans="1:39" x14ac:dyDescent="0.2">
      <c r="A60" s="143"/>
      <c r="B60" s="143"/>
      <c r="C60" s="157"/>
      <c r="D60" s="124"/>
      <c r="E60" s="157"/>
      <c r="F60" s="157"/>
      <c r="G60" s="408"/>
      <c r="H60" s="158"/>
      <c r="I60" s="143"/>
      <c r="J60" s="143"/>
      <c r="K60" s="157"/>
      <c r="L60" s="124"/>
      <c r="M60" s="157"/>
      <c r="N60" s="157"/>
      <c r="O60" s="157"/>
      <c r="P60" s="158"/>
      <c r="Q60" s="143"/>
      <c r="R60" s="143"/>
      <c r="S60" s="157"/>
      <c r="T60" s="124"/>
      <c r="U60" s="157"/>
      <c r="V60" s="158"/>
      <c r="W60" s="158"/>
      <c r="X60" s="158"/>
      <c r="Y60" s="72"/>
      <c r="Z60" s="143"/>
      <c r="AA60" s="157"/>
      <c r="AB60" s="124"/>
      <c r="AC60" s="157"/>
      <c r="AD60" s="158"/>
      <c r="AE60" s="158"/>
      <c r="AF60" s="158"/>
      <c r="AG60" s="135"/>
      <c r="AH60" s="73"/>
      <c r="AI60" s="73"/>
      <c r="AJ60" s="73"/>
      <c r="AK60" s="73"/>
      <c r="AL60" s="72"/>
      <c r="AM60" s="135"/>
    </row>
    <row r="61" spans="1:39" x14ac:dyDescent="0.2">
      <c r="A61" s="143" t="s">
        <v>283</v>
      </c>
      <c r="B61" s="143"/>
      <c r="C61" s="157"/>
      <c r="D61" s="124">
        <f>$AJ$36</f>
        <v>16.772324588891873</v>
      </c>
      <c r="E61" s="157">
        <f>D61*E$44</f>
        <v>73462.781699346408</v>
      </c>
      <c r="F61" s="157"/>
      <c r="G61" s="408"/>
      <c r="H61" s="158"/>
      <c r="I61" s="143" t="s">
        <v>283</v>
      </c>
      <c r="J61" s="143"/>
      <c r="K61" s="157"/>
      <c r="L61" s="124">
        <f>$AJ$36</f>
        <v>16.772324588891873</v>
      </c>
      <c r="M61" s="157">
        <f>L61*M$44</f>
        <v>94889.426361655773</v>
      </c>
      <c r="N61" s="157"/>
      <c r="O61" s="157"/>
      <c r="P61" s="158"/>
      <c r="Q61" s="143" t="s">
        <v>283</v>
      </c>
      <c r="R61" s="143"/>
      <c r="S61" s="157"/>
      <c r="T61" s="124">
        <f>$AJ$36</f>
        <v>16.772324588891873</v>
      </c>
      <c r="U61" s="157">
        <f>T61*U$44</f>
        <v>122437.96949891068</v>
      </c>
      <c r="X61" s="77"/>
      <c r="Y61" s="72" t="s">
        <v>283</v>
      </c>
      <c r="Z61" s="143"/>
      <c r="AA61" s="157"/>
      <c r="AB61" s="124">
        <f>$AJ$36</f>
        <v>16.772324588891873</v>
      </c>
      <c r="AC61" s="157">
        <f>AB61*AC$44</f>
        <v>153047.46187363836</v>
      </c>
      <c r="AG61" s="135"/>
      <c r="AH61" s="73"/>
      <c r="AI61" s="73"/>
      <c r="AJ61" s="73"/>
      <c r="AK61" s="73"/>
      <c r="AL61" s="72"/>
      <c r="AM61" s="72"/>
    </row>
    <row r="62" spans="1:39" x14ac:dyDescent="0.2">
      <c r="A62" s="143"/>
      <c r="B62" s="143"/>
      <c r="C62" s="157"/>
      <c r="D62" s="159">
        <f>SUM(D59:D61)</f>
        <v>34.316493205710749</v>
      </c>
      <c r="E62" s="157"/>
      <c r="F62" s="157"/>
      <c r="G62" s="408"/>
      <c r="H62" s="158"/>
      <c r="I62" s="143"/>
      <c r="J62" s="143"/>
      <c r="K62" s="157"/>
      <c r="L62" s="159">
        <f>SUM(L59:L61)</f>
        <v>34.316493205710749</v>
      </c>
      <c r="M62" s="157"/>
      <c r="N62" s="157"/>
      <c r="O62" s="157"/>
      <c r="P62" s="158"/>
      <c r="Q62" s="143"/>
      <c r="R62" s="143"/>
      <c r="S62" s="157"/>
      <c r="T62" s="159">
        <f>SUM(T59:T61)</f>
        <v>34.316493205710749</v>
      </c>
      <c r="U62" s="157"/>
      <c r="X62" s="77"/>
      <c r="Y62" s="72"/>
      <c r="Z62" s="143"/>
      <c r="AA62" s="157"/>
      <c r="AB62" s="159">
        <f>SUM(AB59:AB61)</f>
        <v>34.316493205710749</v>
      </c>
      <c r="AC62" s="157"/>
      <c r="AG62" s="135"/>
      <c r="AH62" s="73"/>
      <c r="AI62" s="73"/>
      <c r="AJ62" s="73"/>
      <c r="AK62" s="73"/>
      <c r="AL62" s="72"/>
      <c r="AM62" s="72"/>
    </row>
    <row r="63" spans="1:39" x14ac:dyDescent="0.2">
      <c r="A63" s="387" t="s">
        <v>371</v>
      </c>
      <c r="B63" s="387"/>
      <c r="C63" s="388"/>
      <c r="D63" s="389"/>
      <c r="E63" s="388">
        <f>SUM(E57:E61)</f>
        <v>1283441.6516894917</v>
      </c>
      <c r="F63" s="369"/>
      <c r="G63" s="408"/>
      <c r="H63" s="369"/>
      <c r="I63" s="387" t="s">
        <v>371</v>
      </c>
      <c r="J63" s="387"/>
      <c r="K63" s="388"/>
      <c r="L63" s="389"/>
      <c r="M63" s="388">
        <f>SUM(M57:M61)</f>
        <v>1510173.2280048635</v>
      </c>
      <c r="N63" s="369"/>
      <c r="O63" s="369"/>
      <c r="P63" s="158"/>
      <c r="Q63" s="387" t="s">
        <v>371</v>
      </c>
      <c r="R63" s="387"/>
      <c r="S63" s="388"/>
      <c r="T63" s="389"/>
      <c r="U63" s="388">
        <f>SUM(U57:U61)</f>
        <v>1728913.9046496747</v>
      </c>
      <c r="V63" s="93"/>
      <c r="W63" s="93"/>
      <c r="X63" s="93"/>
      <c r="Y63" s="138" t="s">
        <v>371</v>
      </c>
      <c r="Z63" s="138"/>
      <c r="AA63" s="139"/>
      <c r="AB63" s="140"/>
      <c r="AC63" s="139">
        <f>SUM(AC57:AC61)</f>
        <v>2137751.1155642159</v>
      </c>
      <c r="AD63" s="93"/>
      <c r="AE63" s="93"/>
      <c r="AF63" s="93"/>
      <c r="AG63" s="135"/>
      <c r="AH63" s="73"/>
      <c r="AI63" s="73"/>
      <c r="AJ63" s="73"/>
      <c r="AK63" s="73"/>
      <c r="AL63" s="72"/>
      <c r="AM63" s="72"/>
    </row>
    <row r="64" spans="1:39" x14ac:dyDescent="0.2">
      <c r="A64" s="143" t="s">
        <v>286</v>
      </c>
      <c r="B64" s="143"/>
      <c r="C64" s="160" t="e">
        <f>$AJ$42</f>
        <v>#REF!</v>
      </c>
      <c r="D64" s="124"/>
      <c r="E64" s="157" t="e">
        <f>C64*E63</f>
        <v>#REF!</v>
      </c>
      <c r="F64" s="158"/>
      <c r="G64" s="408"/>
      <c r="H64" s="158"/>
      <c r="I64" s="143" t="s">
        <v>286</v>
      </c>
      <c r="J64" s="143"/>
      <c r="K64" s="160" t="e">
        <f>$AJ$42</f>
        <v>#REF!</v>
      </c>
      <c r="L64" s="124"/>
      <c r="M64" s="157" t="e">
        <f>K64*M63</f>
        <v>#REF!</v>
      </c>
      <c r="N64" s="157"/>
      <c r="O64" s="157"/>
      <c r="P64" s="158"/>
      <c r="Q64" s="143" t="s">
        <v>286</v>
      </c>
      <c r="R64" s="143"/>
      <c r="S64" s="160" t="e">
        <f>$AJ$42</f>
        <v>#REF!</v>
      </c>
      <c r="T64" s="124"/>
      <c r="U64" s="157" t="e">
        <f>S64*U63</f>
        <v>#REF!</v>
      </c>
      <c r="X64" s="77"/>
      <c r="Y64" s="72" t="s">
        <v>286</v>
      </c>
      <c r="Z64" s="72"/>
      <c r="AA64" s="160" t="e">
        <f>$AJ$42</f>
        <v>#REF!</v>
      </c>
      <c r="AB64" s="132"/>
      <c r="AC64" s="75" t="e">
        <f>AA64*AC63</f>
        <v>#REF!</v>
      </c>
      <c r="AG64" s="208"/>
      <c r="AH64" s="208"/>
      <c r="AI64" s="208"/>
      <c r="AJ64" s="208"/>
      <c r="AK64" s="73"/>
      <c r="AL64" s="72"/>
      <c r="AM64" s="72"/>
    </row>
    <row r="65" spans="1:39" s="101" customFormat="1" ht="15" customHeight="1" thickBot="1" x14ac:dyDescent="0.25">
      <c r="A65" s="401" t="s">
        <v>288</v>
      </c>
      <c r="B65" s="401"/>
      <c r="C65" s="402"/>
      <c r="D65" s="403"/>
      <c r="E65" s="404" t="e">
        <f>ROUND(SUM(E63:E64),2)</f>
        <v>#REF!</v>
      </c>
      <c r="F65" s="369"/>
      <c r="G65" s="408"/>
      <c r="H65" s="369"/>
      <c r="I65" s="401" t="s">
        <v>288</v>
      </c>
      <c r="J65" s="401"/>
      <c r="K65" s="402"/>
      <c r="L65" s="403"/>
      <c r="M65" s="404" t="e">
        <f>ROUND(SUM(M63:M64),2)</f>
        <v>#REF!</v>
      </c>
      <c r="N65" s="369"/>
      <c r="O65" s="369"/>
      <c r="P65" s="71"/>
      <c r="Q65" s="401" t="s">
        <v>288</v>
      </c>
      <c r="R65" s="401"/>
      <c r="S65" s="402"/>
      <c r="T65" s="403"/>
      <c r="U65" s="404" t="e">
        <f>ROUND(SUM(U63:U64),2)</f>
        <v>#REF!</v>
      </c>
      <c r="V65" s="93"/>
      <c r="W65" s="93"/>
      <c r="X65" s="93"/>
      <c r="Y65" s="161" t="s">
        <v>288</v>
      </c>
      <c r="Z65" s="161"/>
      <c r="AA65" s="162"/>
      <c r="AB65" s="163"/>
      <c r="AC65" s="164" t="e">
        <f>ROUND(SUM(AC63:AC64),2)</f>
        <v>#REF!</v>
      </c>
      <c r="AD65" s="93"/>
      <c r="AE65" s="93"/>
      <c r="AF65" s="93"/>
      <c r="AG65" s="209"/>
      <c r="AH65" s="210"/>
      <c r="AI65" s="211"/>
      <c r="AJ65" s="210"/>
      <c r="AK65" s="106"/>
    </row>
    <row r="66" spans="1:39" s="101" customFormat="1" ht="13.5" thickTop="1" x14ac:dyDescent="0.2">
      <c r="A66" s="391"/>
      <c r="B66" s="391"/>
      <c r="C66" s="392"/>
      <c r="D66" s="405"/>
      <c r="E66" s="392"/>
      <c r="F66" s="392"/>
      <c r="G66" s="408"/>
      <c r="H66" s="394"/>
      <c r="I66" s="391"/>
      <c r="J66" s="391"/>
      <c r="K66" s="392"/>
      <c r="L66" s="405"/>
      <c r="M66" s="392"/>
      <c r="N66" s="392"/>
      <c r="O66" s="392"/>
      <c r="P66" s="71"/>
      <c r="Q66" s="391"/>
      <c r="R66" s="391"/>
      <c r="S66" s="392"/>
      <c r="T66" s="405"/>
      <c r="U66" s="392"/>
      <c r="V66" s="114"/>
      <c r="W66" s="114"/>
      <c r="X66" s="114"/>
      <c r="Y66" s="111"/>
      <c r="Z66" s="111"/>
      <c r="AA66" s="112"/>
      <c r="AB66" s="165"/>
      <c r="AC66" s="112"/>
      <c r="AD66" s="114"/>
      <c r="AE66" s="114"/>
      <c r="AF66" s="114"/>
      <c r="AG66" s="153"/>
      <c r="AH66" s="153"/>
      <c r="AI66" s="153"/>
      <c r="AJ66" s="212"/>
      <c r="AK66" s="106"/>
    </row>
    <row r="67" spans="1:39" s="170" customFormat="1" x14ac:dyDescent="0.2">
      <c r="A67" s="167" t="s">
        <v>289</v>
      </c>
      <c r="B67" s="167"/>
      <c r="C67" s="168"/>
      <c r="D67" s="168"/>
      <c r="E67" s="169" t="e">
        <f>E65/E44</f>
        <v>#REF!</v>
      </c>
      <c r="F67" s="170" t="s">
        <v>395</v>
      </c>
      <c r="G67" s="1128" t="s">
        <v>396</v>
      </c>
      <c r="H67" s="171"/>
      <c r="I67" s="167" t="s">
        <v>289</v>
      </c>
      <c r="J67" s="167"/>
      <c r="K67" s="168"/>
      <c r="L67" s="168"/>
      <c r="M67" s="169" t="e">
        <f>M65/M44</f>
        <v>#REF!</v>
      </c>
      <c r="N67" s="170" t="s">
        <v>395</v>
      </c>
      <c r="O67" s="1128" t="s">
        <v>396</v>
      </c>
      <c r="Q67" s="167" t="s">
        <v>289</v>
      </c>
      <c r="R67" s="167"/>
      <c r="S67" s="168"/>
      <c r="T67" s="168"/>
      <c r="U67" s="169" t="e">
        <f>U65/U44</f>
        <v>#REF!</v>
      </c>
      <c r="V67" s="170" t="s">
        <v>395</v>
      </c>
      <c r="W67" s="1128" t="s">
        <v>396</v>
      </c>
      <c r="Y67" s="167" t="s">
        <v>289</v>
      </c>
      <c r="Z67" s="167"/>
      <c r="AA67" s="168"/>
      <c r="AB67" s="168"/>
      <c r="AC67" s="169" t="e">
        <f>AC65/AC44</f>
        <v>#REF!</v>
      </c>
      <c r="AD67" s="170" t="s">
        <v>395</v>
      </c>
      <c r="AE67" s="1128" t="s">
        <v>396</v>
      </c>
      <c r="AG67" s="153"/>
      <c r="AH67" s="153"/>
      <c r="AI67" s="153"/>
      <c r="AJ67" s="153"/>
      <c r="AK67" s="213"/>
    </row>
    <row r="68" spans="1:39" s="170" customFormat="1" ht="13.5" thickBot="1" x14ac:dyDescent="0.25">
      <c r="A68" s="167" t="s">
        <v>290</v>
      </c>
      <c r="B68" s="167"/>
      <c r="C68" s="172">
        <f>$AK$43</f>
        <v>4.4640068153077195E-2</v>
      </c>
      <c r="D68" s="168"/>
      <c r="E68" s="169"/>
      <c r="F68" s="73"/>
      <c r="G68" s="1128"/>
      <c r="H68" s="171"/>
      <c r="I68" s="167" t="s">
        <v>290</v>
      </c>
      <c r="J68" s="167"/>
      <c r="K68" s="172">
        <f>$AK$43</f>
        <v>4.4640068153077195E-2</v>
      </c>
      <c r="L68" s="168"/>
      <c r="M68" s="169"/>
      <c r="N68" s="73"/>
      <c r="O68" s="1128"/>
      <c r="Q68" s="167" t="s">
        <v>290</v>
      </c>
      <c r="R68" s="167"/>
      <c r="S68" s="172">
        <f>$AK$43</f>
        <v>4.4640068153077195E-2</v>
      </c>
      <c r="T68" s="168"/>
      <c r="U68" s="169"/>
      <c r="V68" s="73"/>
      <c r="W68" s="1128"/>
      <c r="X68" s="73"/>
      <c r="Y68" s="167" t="s">
        <v>290</v>
      </c>
      <c r="Z68" s="167"/>
      <c r="AA68" s="172">
        <f>$AK$43</f>
        <v>4.4640068153077195E-2</v>
      </c>
      <c r="AB68" s="168"/>
      <c r="AC68" s="169"/>
      <c r="AD68" s="73"/>
      <c r="AE68" s="1128"/>
      <c r="AF68" s="73"/>
      <c r="AG68" s="153"/>
      <c r="AH68" s="153"/>
      <c r="AI68" s="153"/>
      <c r="AJ68" s="153"/>
      <c r="AK68" s="213"/>
    </row>
    <row r="69" spans="1:39" x14ac:dyDescent="0.2">
      <c r="A69" s="175" t="s">
        <v>292</v>
      </c>
      <c r="B69" s="130"/>
      <c r="C69" s="176">
        <v>0.9</v>
      </c>
      <c r="D69" s="82"/>
      <c r="E69" s="177" t="e">
        <f t="shared" ref="E69:E77" si="4">E$65/(E$44*C69)</f>
        <v>#REF!</v>
      </c>
      <c r="F69" s="177">
        <v>389.05</v>
      </c>
      <c r="G69" s="742" t="e">
        <f>F69*(#REF!+1)</f>
        <v>#REF!</v>
      </c>
      <c r="I69" s="175" t="s">
        <v>292</v>
      </c>
      <c r="J69" s="130"/>
      <c r="K69" s="176">
        <v>0.9</v>
      </c>
      <c r="L69" s="82"/>
      <c r="M69" s="177" t="e">
        <f t="shared" ref="M69:M77" si="5">M$65/(M$44*K69)</f>
        <v>#REF!</v>
      </c>
      <c r="N69" s="178">
        <v>354.41</v>
      </c>
      <c r="O69" s="742" t="e">
        <f>N69*(#REF!+1)</f>
        <v>#REF!</v>
      </c>
      <c r="Q69" s="175" t="s">
        <v>292</v>
      </c>
      <c r="R69" s="130"/>
      <c r="S69" s="176">
        <v>0.9</v>
      </c>
      <c r="T69" s="82"/>
      <c r="U69" s="177" t="e">
        <f t="shared" ref="U69:U77" si="6">U$65/(U$44*S69)</f>
        <v>#REF!</v>
      </c>
      <c r="V69" s="178">
        <v>314.45</v>
      </c>
      <c r="W69" s="742" t="e">
        <f>V69*(#REF!+1)</f>
        <v>#REF!</v>
      </c>
      <c r="X69" s="77"/>
      <c r="Y69" s="175" t="s">
        <v>292</v>
      </c>
      <c r="Z69" s="130"/>
      <c r="AA69" s="176">
        <v>0.9</v>
      </c>
      <c r="AB69" s="82"/>
      <c r="AC69" s="177" t="e">
        <f t="shared" ref="AC69:AC77" si="7">AC$65/(AC$44*AA69)</f>
        <v>#REF!</v>
      </c>
      <c r="AD69" s="178">
        <v>311.04000000000002</v>
      </c>
      <c r="AE69" s="742" t="e">
        <f>AD69*(#REF!+1)</f>
        <v>#REF!</v>
      </c>
      <c r="AF69" s="169"/>
      <c r="AG69" s="153"/>
      <c r="AH69" s="212"/>
      <c r="AI69" s="212"/>
      <c r="AJ69" s="212"/>
      <c r="AK69" s="73"/>
      <c r="AL69" s="72"/>
      <c r="AM69" s="72"/>
    </row>
    <row r="70" spans="1:39" x14ac:dyDescent="0.2">
      <c r="A70" s="181"/>
      <c r="B70" s="73"/>
      <c r="C70" s="182">
        <v>0.85</v>
      </c>
      <c r="D70" s="77"/>
      <c r="E70" s="169" t="e">
        <f t="shared" si="4"/>
        <v>#REF!</v>
      </c>
      <c r="F70" s="169">
        <v>411.94</v>
      </c>
      <c r="G70" s="742" t="e">
        <f>F70*(#REF!+1)</f>
        <v>#REF!</v>
      </c>
      <c r="I70" s="181"/>
      <c r="J70" s="73"/>
      <c r="K70" s="182">
        <v>0.85</v>
      </c>
      <c r="L70" s="77"/>
      <c r="M70" s="169" t="e">
        <f t="shared" si="5"/>
        <v>#REF!</v>
      </c>
      <c r="N70" s="183">
        <v>375.26</v>
      </c>
      <c r="O70" s="742" t="e">
        <f>N70*(#REF!+1)</f>
        <v>#REF!</v>
      </c>
      <c r="Q70" s="181"/>
      <c r="R70" s="73"/>
      <c r="S70" s="182">
        <v>0.85</v>
      </c>
      <c r="T70" s="77"/>
      <c r="U70" s="169" t="e">
        <f t="shared" si="6"/>
        <v>#REF!</v>
      </c>
      <c r="V70" s="183">
        <v>332.95</v>
      </c>
      <c r="W70" s="742" t="e">
        <f>V70*(#REF!+1)</f>
        <v>#REF!</v>
      </c>
      <c r="X70" s="77"/>
      <c r="Y70" s="181"/>
      <c r="Z70" s="73"/>
      <c r="AA70" s="182">
        <v>0.85</v>
      </c>
      <c r="AB70" s="77"/>
      <c r="AC70" s="169" t="e">
        <f t="shared" si="7"/>
        <v>#REF!</v>
      </c>
      <c r="AD70" s="183">
        <v>329.35</v>
      </c>
      <c r="AE70" s="742" t="e">
        <f>AD70*(#REF!+1)</f>
        <v>#REF!</v>
      </c>
      <c r="AF70" s="169"/>
      <c r="AG70" s="214"/>
      <c r="AH70" s="214"/>
      <c r="AI70" s="214"/>
      <c r="AJ70" s="214"/>
      <c r="AK70" s="73"/>
      <c r="AL70" s="72"/>
      <c r="AM70" s="72"/>
    </row>
    <row r="71" spans="1:39" x14ac:dyDescent="0.2">
      <c r="A71" s="181"/>
      <c r="B71" s="73"/>
      <c r="C71" s="182">
        <v>0.8</v>
      </c>
      <c r="D71" s="77"/>
      <c r="E71" s="169" t="e">
        <f t="shared" si="4"/>
        <v>#REF!</v>
      </c>
      <c r="F71" s="169">
        <v>437.68</v>
      </c>
      <c r="G71" s="742" t="e">
        <f>F71*(#REF!+1)</f>
        <v>#REF!</v>
      </c>
      <c r="I71" s="181"/>
      <c r="J71" s="73"/>
      <c r="K71" s="182">
        <v>0.8</v>
      </c>
      <c r="L71" s="77"/>
      <c r="M71" s="169" t="e">
        <f t="shared" si="5"/>
        <v>#REF!</v>
      </c>
      <c r="N71" s="183">
        <v>398.71</v>
      </c>
      <c r="O71" s="742" t="e">
        <f>N71*(#REF!+1)</f>
        <v>#REF!</v>
      </c>
      <c r="Q71" s="181"/>
      <c r="R71" s="73"/>
      <c r="S71" s="182">
        <v>0.8</v>
      </c>
      <c r="T71" s="77"/>
      <c r="U71" s="169" t="e">
        <f t="shared" si="6"/>
        <v>#REF!</v>
      </c>
      <c r="V71" s="183">
        <v>353.76</v>
      </c>
      <c r="W71" s="742" t="e">
        <f>V71*(#REF!+1)</f>
        <v>#REF!</v>
      </c>
      <c r="X71" s="77"/>
      <c r="Y71" s="181"/>
      <c r="Z71" s="73"/>
      <c r="AA71" s="182">
        <v>0.8</v>
      </c>
      <c r="AB71" s="77"/>
      <c r="AC71" s="169" t="e">
        <f t="shared" si="7"/>
        <v>#REF!</v>
      </c>
      <c r="AD71" s="183">
        <v>349.93</v>
      </c>
      <c r="AE71" s="742" t="e">
        <f>AD71*(#REF!+1)</f>
        <v>#REF!</v>
      </c>
      <c r="AF71" s="169"/>
      <c r="AG71" s="209"/>
      <c r="AH71" s="210"/>
      <c r="AI71" s="211"/>
      <c r="AJ71" s="210"/>
      <c r="AK71" s="73"/>
      <c r="AL71" s="72"/>
      <c r="AM71" s="72"/>
    </row>
    <row r="72" spans="1:39" x14ac:dyDescent="0.2">
      <c r="A72" s="181"/>
      <c r="B72" s="73"/>
      <c r="C72" s="182">
        <v>0.75</v>
      </c>
      <c r="D72" s="77"/>
      <c r="E72" s="169" t="e">
        <f t="shared" si="4"/>
        <v>#REF!</v>
      </c>
      <c r="F72" s="169">
        <v>466.86</v>
      </c>
      <c r="G72" s="742" t="e">
        <f>F72*(#REF!+1)</f>
        <v>#REF!</v>
      </c>
      <c r="I72" s="181"/>
      <c r="J72" s="73"/>
      <c r="K72" s="182">
        <v>0.75</v>
      </c>
      <c r="L72" s="77"/>
      <c r="M72" s="169" t="e">
        <f t="shared" si="5"/>
        <v>#REF!</v>
      </c>
      <c r="N72" s="183">
        <v>425.29</v>
      </c>
      <c r="O72" s="742" t="e">
        <f>N72*(#REF!+1)</f>
        <v>#REF!</v>
      </c>
      <c r="Q72" s="181"/>
      <c r="R72" s="73"/>
      <c r="S72" s="182">
        <v>0.75</v>
      </c>
      <c r="T72" s="77"/>
      <c r="U72" s="169" t="e">
        <f t="shared" si="6"/>
        <v>#REF!</v>
      </c>
      <c r="V72" s="183">
        <v>377.35</v>
      </c>
      <c r="W72" s="742" t="e">
        <f>V72*(#REF!+1)</f>
        <v>#REF!</v>
      </c>
      <c r="X72" s="77"/>
      <c r="Y72" s="181"/>
      <c r="Z72" s="73"/>
      <c r="AA72" s="182">
        <v>0.75</v>
      </c>
      <c r="AB72" s="77"/>
      <c r="AC72" s="169" t="e">
        <f t="shared" si="7"/>
        <v>#REF!</v>
      </c>
      <c r="AD72" s="183">
        <v>373.26</v>
      </c>
      <c r="AE72" s="742" t="e">
        <f>AD72*(#REF!+1)</f>
        <v>#REF!</v>
      </c>
      <c r="AF72" s="169"/>
      <c r="AG72" s="153"/>
      <c r="AH72" s="153"/>
      <c r="AI72" s="153"/>
      <c r="AJ72" s="153"/>
      <c r="AK72" s="73"/>
      <c r="AL72" s="72"/>
      <c r="AM72" s="72"/>
    </row>
    <row r="73" spans="1:39" x14ac:dyDescent="0.2">
      <c r="A73" s="181"/>
      <c r="B73" s="73"/>
      <c r="C73" s="182">
        <v>0.7</v>
      </c>
      <c r="D73" s="77"/>
      <c r="E73" s="169" t="e">
        <f t="shared" si="4"/>
        <v>#REF!</v>
      </c>
      <c r="F73" s="169">
        <v>500.21</v>
      </c>
      <c r="G73" s="742" t="e">
        <f>F73*(#REF!+1)</f>
        <v>#REF!</v>
      </c>
      <c r="I73" s="181"/>
      <c r="J73" s="73"/>
      <c r="K73" s="182">
        <v>0.7</v>
      </c>
      <c r="L73" s="77"/>
      <c r="M73" s="169" t="e">
        <f t="shared" si="5"/>
        <v>#REF!</v>
      </c>
      <c r="N73" s="183">
        <v>455.67</v>
      </c>
      <c r="O73" s="742" t="e">
        <f>N73*(#REF!+1)</f>
        <v>#REF!</v>
      </c>
      <c r="Q73" s="181"/>
      <c r="R73" s="73"/>
      <c r="S73" s="182">
        <v>0.7</v>
      </c>
      <c r="T73" s="77"/>
      <c r="U73" s="169" t="e">
        <f t="shared" si="6"/>
        <v>#REF!</v>
      </c>
      <c r="V73" s="183">
        <v>404.3</v>
      </c>
      <c r="W73" s="742" t="e">
        <f>V73*(#REF!+1)</f>
        <v>#REF!</v>
      </c>
      <c r="X73" s="77"/>
      <c r="Y73" s="181"/>
      <c r="Z73" s="73"/>
      <c r="AA73" s="182">
        <v>0.7</v>
      </c>
      <c r="AB73" s="77"/>
      <c r="AC73" s="169" t="e">
        <f t="shared" si="7"/>
        <v>#REF!</v>
      </c>
      <c r="AD73" s="183">
        <v>399.92</v>
      </c>
      <c r="AE73" s="742" t="e">
        <f>AD73*(#REF!+1)</f>
        <v>#REF!</v>
      </c>
      <c r="AF73" s="169"/>
      <c r="AG73" s="153"/>
      <c r="AH73" s="153"/>
      <c r="AI73" s="153"/>
      <c r="AJ73" s="153"/>
      <c r="AK73" s="73"/>
      <c r="AL73" s="72"/>
      <c r="AM73" s="72"/>
    </row>
    <row r="74" spans="1:39" x14ac:dyDescent="0.2">
      <c r="A74" s="181"/>
      <c r="B74" s="73"/>
      <c r="C74" s="182">
        <v>0.65</v>
      </c>
      <c r="D74" s="77"/>
      <c r="E74" s="169" t="e">
        <f t="shared" si="4"/>
        <v>#REF!</v>
      </c>
      <c r="F74" s="169">
        <v>538.69000000000005</v>
      </c>
      <c r="G74" s="742" t="e">
        <f>F74*(#REF!+1)</f>
        <v>#REF!</v>
      </c>
      <c r="I74" s="181"/>
      <c r="J74" s="73"/>
      <c r="K74" s="182">
        <v>0.65</v>
      </c>
      <c r="L74" s="77"/>
      <c r="M74" s="169" t="e">
        <f t="shared" si="5"/>
        <v>#REF!</v>
      </c>
      <c r="N74" s="183">
        <v>490.72</v>
      </c>
      <c r="O74" s="742" t="e">
        <f>N74*(#REF!+1)</f>
        <v>#REF!</v>
      </c>
      <c r="Q74" s="181"/>
      <c r="R74" s="73"/>
      <c r="S74" s="182">
        <v>0.65</v>
      </c>
      <c r="T74" s="77"/>
      <c r="U74" s="169" t="e">
        <f t="shared" si="6"/>
        <v>#REF!</v>
      </c>
      <c r="V74" s="183">
        <v>435.4</v>
      </c>
      <c r="W74" s="742" t="e">
        <f>V74*(#REF!+1)</f>
        <v>#REF!</v>
      </c>
      <c r="X74" s="77"/>
      <c r="Y74" s="181"/>
      <c r="Z74" s="73"/>
      <c r="AA74" s="182">
        <v>0.65</v>
      </c>
      <c r="AB74" s="77"/>
      <c r="AC74" s="169" t="e">
        <f t="shared" si="7"/>
        <v>#REF!</v>
      </c>
      <c r="AD74" s="183">
        <v>430.68</v>
      </c>
      <c r="AE74" s="742" t="e">
        <f>AD74*(#REF!+1)</f>
        <v>#REF!</v>
      </c>
      <c r="AF74" s="169"/>
      <c r="AH74" s="73"/>
      <c r="AI74" s="73"/>
      <c r="AJ74" s="73"/>
      <c r="AK74" s="73"/>
      <c r="AL74" s="72"/>
      <c r="AM74" s="72"/>
    </row>
    <row r="75" spans="1:39" x14ac:dyDescent="0.2">
      <c r="A75" s="181"/>
      <c r="B75" s="73"/>
      <c r="C75" s="182">
        <v>0.6</v>
      </c>
      <c r="D75" s="77"/>
      <c r="E75" s="169" t="e">
        <f t="shared" si="4"/>
        <v>#REF!</v>
      </c>
      <c r="F75" s="169">
        <v>583.57000000000005</v>
      </c>
      <c r="G75" s="742" t="e">
        <f>F75*(#REF!+1)</f>
        <v>#REF!</v>
      </c>
      <c r="I75" s="181"/>
      <c r="J75" s="73"/>
      <c r="K75" s="182">
        <v>0.6</v>
      </c>
      <c r="L75" s="77"/>
      <c r="M75" s="169" t="e">
        <f t="shared" si="5"/>
        <v>#REF!</v>
      </c>
      <c r="N75" s="183">
        <v>531.61</v>
      </c>
      <c r="O75" s="742" t="e">
        <f>N75*(#REF!+1)</f>
        <v>#REF!</v>
      </c>
      <c r="Q75" s="181"/>
      <c r="R75" s="73"/>
      <c r="S75" s="182">
        <v>0.6</v>
      </c>
      <c r="T75" s="77"/>
      <c r="U75" s="169" t="e">
        <f t="shared" si="6"/>
        <v>#REF!</v>
      </c>
      <c r="V75" s="183">
        <v>471.68</v>
      </c>
      <c r="W75" s="742" t="e">
        <f>V75*(#REF!+1)</f>
        <v>#REF!</v>
      </c>
      <c r="X75" s="77"/>
      <c r="Y75" s="181"/>
      <c r="Z75" s="73"/>
      <c r="AA75" s="182">
        <v>0.6</v>
      </c>
      <c r="AB75" s="77"/>
      <c r="AC75" s="169" t="e">
        <f t="shared" si="7"/>
        <v>#REF!</v>
      </c>
      <c r="AD75" s="183">
        <v>466.58</v>
      </c>
      <c r="AE75" s="742" t="e">
        <f>AD75*(#REF!+1)</f>
        <v>#REF!</v>
      </c>
      <c r="AF75" s="169"/>
      <c r="AG75" s="180"/>
      <c r="AH75" s="172"/>
      <c r="AI75" s="73"/>
      <c r="AJ75" s="73"/>
      <c r="AK75" s="73"/>
      <c r="AL75" s="72"/>
      <c r="AM75" s="72"/>
    </row>
    <row r="76" spans="1:39" x14ac:dyDescent="0.2">
      <c r="A76" s="181"/>
      <c r="B76" s="73"/>
      <c r="C76" s="182">
        <v>0.55000000000000004</v>
      </c>
      <c r="D76" s="77"/>
      <c r="E76" s="169" t="e">
        <f t="shared" si="4"/>
        <v>#REF!</v>
      </c>
      <c r="F76" s="169">
        <v>636.63</v>
      </c>
      <c r="G76" s="742" t="e">
        <f>F76*(#REF!+1)</f>
        <v>#REF!</v>
      </c>
      <c r="I76" s="181"/>
      <c r="J76" s="73"/>
      <c r="K76" s="182">
        <v>0.55000000000000004</v>
      </c>
      <c r="L76" s="77"/>
      <c r="M76" s="169" t="e">
        <f t="shared" si="5"/>
        <v>#REF!</v>
      </c>
      <c r="N76" s="183">
        <v>579.95000000000005</v>
      </c>
      <c r="O76" s="742" t="e">
        <f>N76*(#REF!+1)</f>
        <v>#REF!</v>
      </c>
      <c r="Q76" s="181"/>
      <c r="R76" s="73"/>
      <c r="S76" s="182">
        <v>0.55000000000000004</v>
      </c>
      <c r="T76" s="77"/>
      <c r="U76" s="169" t="e">
        <f t="shared" si="6"/>
        <v>#REF!</v>
      </c>
      <c r="V76" s="183">
        <v>514.54999999999995</v>
      </c>
      <c r="W76" s="742" t="e">
        <f>V76*(#REF!+1)</f>
        <v>#REF!</v>
      </c>
      <c r="X76" s="77"/>
      <c r="Y76" s="181"/>
      <c r="Z76" s="73"/>
      <c r="AA76" s="182">
        <v>0.55000000000000004</v>
      </c>
      <c r="AB76" s="77"/>
      <c r="AC76" s="169" t="e">
        <f t="shared" si="7"/>
        <v>#REF!</v>
      </c>
      <c r="AD76" s="183">
        <v>508.99</v>
      </c>
      <c r="AE76" s="742" t="e">
        <f>AD76*(#REF!+1)</f>
        <v>#REF!</v>
      </c>
      <c r="AF76" s="169"/>
      <c r="AH76" s="186"/>
      <c r="AI76" s="73"/>
      <c r="AJ76" s="106"/>
      <c r="AK76" s="198"/>
      <c r="AL76" s="71"/>
      <c r="AM76" s="71"/>
    </row>
    <row r="77" spans="1:39" ht="13.5" thickBot="1" x14ac:dyDescent="0.25">
      <c r="A77" s="189"/>
      <c r="B77" s="190"/>
      <c r="C77" s="191">
        <v>0.5</v>
      </c>
      <c r="D77" s="192"/>
      <c r="E77" s="193" t="e">
        <f t="shared" si="4"/>
        <v>#REF!</v>
      </c>
      <c r="F77" s="193">
        <v>700.29</v>
      </c>
      <c r="G77" s="742" t="e">
        <f>F77*(#REF!+1)</f>
        <v>#REF!</v>
      </c>
      <c r="I77" s="189"/>
      <c r="J77" s="190"/>
      <c r="K77" s="191">
        <v>0.5</v>
      </c>
      <c r="L77" s="192"/>
      <c r="M77" s="193" t="e">
        <f t="shared" si="5"/>
        <v>#REF!</v>
      </c>
      <c r="N77" s="194">
        <v>637.94000000000005</v>
      </c>
      <c r="O77" s="742" t="e">
        <f>N77*(#REF!+1)</f>
        <v>#REF!</v>
      </c>
      <c r="Q77" s="189"/>
      <c r="R77" s="190"/>
      <c r="S77" s="191">
        <v>0.5</v>
      </c>
      <c r="T77" s="192"/>
      <c r="U77" s="193" t="e">
        <f t="shared" si="6"/>
        <v>#REF!</v>
      </c>
      <c r="V77" s="194">
        <v>566.01</v>
      </c>
      <c r="W77" s="742" t="e">
        <f>V77*(#REF!+1)</f>
        <v>#REF!</v>
      </c>
      <c r="X77" s="77"/>
      <c r="Y77" s="189"/>
      <c r="Z77" s="190"/>
      <c r="AA77" s="191">
        <v>0.5</v>
      </c>
      <c r="AB77" s="192"/>
      <c r="AC77" s="193" t="e">
        <f t="shared" si="7"/>
        <v>#REF!</v>
      </c>
      <c r="AD77" s="194">
        <v>559.89</v>
      </c>
      <c r="AE77" s="742" t="e">
        <f>AD77*(#REF!+1)</f>
        <v>#REF!</v>
      </c>
      <c r="AF77" s="169"/>
      <c r="AG77" s="185"/>
      <c r="AH77" s="186"/>
      <c r="AI77" s="73"/>
      <c r="AJ77" s="73"/>
      <c r="AK77" s="106"/>
      <c r="AL77" s="101"/>
      <c r="AM77" s="101"/>
    </row>
    <row r="78" spans="1:39" ht="15" customHeight="1" x14ac:dyDescent="0.2">
      <c r="G78" s="408"/>
      <c r="I78" s="72"/>
      <c r="J78" s="72"/>
      <c r="K78" s="72"/>
      <c r="L78" s="72"/>
      <c r="M78" s="72"/>
      <c r="N78" s="72"/>
      <c r="O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185"/>
      <c r="AH78" s="197"/>
      <c r="AI78" s="198"/>
      <c r="AJ78" s="73"/>
      <c r="AK78" s="73"/>
      <c r="AL78" s="72"/>
      <c r="AM78" s="72"/>
    </row>
    <row r="79" spans="1:39" ht="15" customHeight="1" x14ac:dyDescent="0.2">
      <c r="G79" s="408"/>
      <c r="I79" s="72"/>
      <c r="J79" s="72"/>
      <c r="K79" s="72"/>
      <c r="L79" s="72"/>
      <c r="M79" s="72"/>
      <c r="N79" s="72"/>
      <c r="O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185"/>
      <c r="AH79" s="197"/>
      <c r="AI79" s="198"/>
      <c r="AJ79" s="73"/>
      <c r="AK79" s="73"/>
      <c r="AL79" s="72"/>
      <c r="AM79" s="72"/>
    </row>
    <row r="80" spans="1:39" ht="15" customHeight="1" x14ac:dyDescent="0.2">
      <c r="G80" s="408"/>
      <c r="I80" s="72"/>
      <c r="J80" s="72"/>
      <c r="K80" s="72"/>
      <c r="L80" s="72"/>
      <c r="M80" s="72"/>
      <c r="N80" s="72"/>
      <c r="O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185"/>
      <c r="AH80" s="197"/>
      <c r="AI80" s="198"/>
      <c r="AJ80" s="73"/>
      <c r="AK80" s="73"/>
      <c r="AL80" s="72"/>
      <c r="AM80" s="72"/>
    </row>
    <row r="81" spans="1:39" ht="15" customHeight="1" x14ac:dyDescent="0.2">
      <c r="G81" s="408"/>
      <c r="I81" s="72"/>
      <c r="J81" s="72"/>
      <c r="K81" s="72"/>
      <c r="L81" s="72"/>
      <c r="M81" s="72"/>
      <c r="N81" s="72"/>
      <c r="O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185"/>
      <c r="AH81" s="197"/>
      <c r="AI81" s="198"/>
      <c r="AJ81" s="73"/>
      <c r="AK81" s="73"/>
      <c r="AL81" s="72"/>
      <c r="AM81" s="72"/>
    </row>
    <row r="82" spans="1:39" ht="13.5" thickBot="1" x14ac:dyDescent="0.25">
      <c r="A82" s="77"/>
      <c r="B82" s="78"/>
      <c r="C82" s="74"/>
      <c r="D82" s="75"/>
      <c r="E82" s="76"/>
      <c r="F82" s="75"/>
      <c r="G82" s="408"/>
      <c r="H82" s="77"/>
      <c r="I82" s="77"/>
      <c r="J82" s="78"/>
      <c r="K82" s="74"/>
      <c r="L82" s="75"/>
      <c r="M82" s="76"/>
      <c r="P82" s="73"/>
      <c r="Q82" s="72"/>
      <c r="U82" s="72"/>
      <c r="V82" s="215"/>
      <c r="W82" s="215"/>
      <c r="Y82" s="72"/>
      <c r="AC82" s="72"/>
      <c r="AD82" s="215"/>
      <c r="AE82" s="215"/>
      <c r="AF82" s="215"/>
      <c r="AG82" s="196"/>
      <c r="AH82" s="197"/>
      <c r="AI82" s="198"/>
      <c r="AJ82" s="73"/>
      <c r="AK82" s="73"/>
      <c r="AL82" s="72"/>
      <c r="AM82" s="72"/>
    </row>
    <row r="83" spans="1:39" ht="13.5" thickBot="1" x14ac:dyDescent="0.25">
      <c r="A83" s="1119" t="s">
        <v>298</v>
      </c>
      <c r="B83" s="1120"/>
      <c r="G83" s="408"/>
      <c r="AJ83" s="184"/>
      <c r="AK83" s="77"/>
      <c r="AL83" s="72"/>
      <c r="AM83" s="72"/>
    </row>
    <row r="84" spans="1:39" x14ac:dyDescent="0.2">
      <c r="A84" s="78"/>
      <c r="B84" s="74"/>
      <c r="C84" s="90" t="s">
        <v>255</v>
      </c>
      <c r="D84" s="91"/>
      <c r="E84" s="92"/>
      <c r="F84" s="92"/>
      <c r="G84" s="408"/>
      <c r="H84" s="93"/>
      <c r="K84" s="90" t="s">
        <v>256</v>
      </c>
      <c r="L84" s="91"/>
      <c r="M84" s="92"/>
      <c r="N84" s="92"/>
      <c r="O84" s="92"/>
      <c r="Q84" s="78"/>
      <c r="R84" s="74"/>
      <c r="S84" s="90" t="s">
        <v>257</v>
      </c>
      <c r="T84" s="91"/>
      <c r="U84" s="92"/>
      <c r="V84" s="93"/>
      <c r="W84" s="93"/>
      <c r="X84" s="93"/>
      <c r="Y84" s="78"/>
      <c r="Z84" s="74"/>
      <c r="AA84" s="90" t="s">
        <v>258</v>
      </c>
      <c r="AB84" s="91"/>
      <c r="AC84" s="92"/>
      <c r="AD84" s="93"/>
      <c r="AE84" s="93"/>
      <c r="AF84" s="93"/>
      <c r="AG84" s="184"/>
      <c r="AI84" s="73"/>
      <c r="AJ84" s="73"/>
      <c r="AK84" s="73"/>
      <c r="AL84" s="72"/>
      <c r="AM84" s="72"/>
    </row>
    <row r="85" spans="1:39" s="101" customFormat="1" x14ac:dyDescent="0.2">
      <c r="A85" s="94" t="s">
        <v>261</v>
      </c>
      <c r="B85" s="95" t="s">
        <v>339</v>
      </c>
      <c r="C85" s="96" t="s">
        <v>262</v>
      </c>
      <c r="D85" s="97">
        <v>365</v>
      </c>
      <c r="E85" s="98">
        <f>D85*B86</f>
        <v>4380</v>
      </c>
      <c r="F85" s="98"/>
      <c r="G85" s="408"/>
      <c r="H85" s="99"/>
      <c r="I85" s="94" t="s">
        <v>261</v>
      </c>
      <c r="J85" s="100" t="s">
        <v>340</v>
      </c>
      <c r="K85" s="96" t="s">
        <v>262</v>
      </c>
      <c r="L85" s="97">
        <v>365</v>
      </c>
      <c r="M85" s="98">
        <f>J86*L85</f>
        <v>5657.5</v>
      </c>
      <c r="N85" s="98"/>
      <c r="O85" s="98"/>
      <c r="Q85" s="94" t="s">
        <v>261</v>
      </c>
      <c r="R85" s="102" t="s">
        <v>263</v>
      </c>
      <c r="S85" s="96" t="s">
        <v>262</v>
      </c>
      <c r="T85" s="97">
        <v>365</v>
      </c>
      <c r="U85" s="98">
        <f>R86*T85</f>
        <v>7300</v>
      </c>
      <c r="V85" s="99"/>
      <c r="W85" s="99"/>
      <c r="X85" s="99"/>
      <c r="Y85" s="94" t="s">
        <v>261</v>
      </c>
      <c r="Z85" s="102" t="s">
        <v>264</v>
      </c>
      <c r="AA85" s="96" t="s">
        <v>262</v>
      </c>
      <c r="AB85" s="97">
        <v>365</v>
      </c>
      <c r="AC85" s="98">
        <f>Z86*AB85</f>
        <v>9125</v>
      </c>
      <c r="AD85" s="99"/>
      <c r="AE85" s="99"/>
      <c r="AF85" s="99"/>
      <c r="AG85" s="106"/>
      <c r="AH85" s="106"/>
      <c r="AI85" s="106"/>
      <c r="AJ85" s="106"/>
      <c r="AK85" s="106"/>
    </row>
    <row r="86" spans="1:39" s="101" customFormat="1" x14ac:dyDescent="0.2">
      <c r="A86" s="94"/>
      <c r="B86" s="102">
        <v>12</v>
      </c>
      <c r="C86" s="96"/>
      <c r="D86" s="97"/>
      <c r="E86" s="98"/>
      <c r="F86" s="98"/>
      <c r="G86" s="408"/>
      <c r="H86" s="99"/>
      <c r="I86" s="94"/>
      <c r="J86" s="102">
        <v>15.5</v>
      </c>
      <c r="K86" s="96"/>
      <c r="L86" s="97"/>
      <c r="M86" s="98"/>
      <c r="N86" s="98"/>
      <c r="O86" s="98"/>
      <c r="Q86" s="94"/>
      <c r="R86" s="102">
        <v>20</v>
      </c>
      <c r="S86" s="96"/>
      <c r="T86" s="97"/>
      <c r="U86" s="98"/>
      <c r="V86" s="99"/>
      <c r="W86" s="99"/>
      <c r="X86" s="99"/>
      <c r="Y86" s="94"/>
      <c r="Z86" s="102">
        <v>25</v>
      </c>
      <c r="AA86" s="96"/>
      <c r="AB86" s="97"/>
      <c r="AC86" s="98"/>
      <c r="AD86" s="99"/>
      <c r="AE86" s="99"/>
      <c r="AF86" s="99"/>
      <c r="AG86" s="106"/>
      <c r="AH86" s="106"/>
      <c r="AI86" s="106"/>
      <c r="AJ86" s="106"/>
      <c r="AK86" s="106"/>
    </row>
    <row r="87" spans="1:39" s="101" customFormat="1" x14ac:dyDescent="0.2">
      <c r="A87" s="94"/>
      <c r="B87" s="102"/>
      <c r="C87" s="108"/>
      <c r="D87" s="97"/>
      <c r="E87" s="98"/>
      <c r="F87" s="98"/>
      <c r="G87" s="408"/>
      <c r="H87" s="99"/>
      <c r="I87" s="94"/>
      <c r="J87" s="102"/>
      <c r="K87" s="96"/>
      <c r="L87" s="97"/>
      <c r="M87" s="98"/>
      <c r="N87" s="98"/>
      <c r="O87" s="98"/>
      <c r="Q87" s="94"/>
      <c r="R87" s="102"/>
      <c r="S87" s="96"/>
      <c r="T87" s="97"/>
      <c r="U87" s="98"/>
      <c r="V87" s="99"/>
      <c r="W87" s="99"/>
      <c r="X87" s="99"/>
      <c r="Y87" s="94"/>
      <c r="Z87" s="102"/>
      <c r="AA87" s="96"/>
      <c r="AB87" s="97"/>
      <c r="AC87" s="98"/>
      <c r="AD87" s="99"/>
      <c r="AE87" s="99"/>
      <c r="AF87" s="99"/>
      <c r="AG87" s="106"/>
      <c r="AH87" s="204"/>
      <c r="AI87" s="106"/>
      <c r="AJ87" s="106"/>
      <c r="AK87" s="106"/>
    </row>
    <row r="88" spans="1:39" s="357" customFormat="1" ht="28.5" customHeight="1" x14ac:dyDescent="0.2">
      <c r="A88" s="356"/>
      <c r="B88" s="292" t="s">
        <v>269</v>
      </c>
      <c r="C88" s="293" t="s">
        <v>341</v>
      </c>
      <c r="D88" s="294" t="s">
        <v>270</v>
      </c>
      <c r="E88" s="293" t="s">
        <v>342</v>
      </c>
      <c r="F88" s="293"/>
      <c r="G88" s="408"/>
      <c r="H88" s="207"/>
      <c r="I88" s="356"/>
      <c r="J88" s="292" t="s">
        <v>269</v>
      </c>
      <c r="K88" s="293" t="s">
        <v>341</v>
      </c>
      <c r="L88" s="294" t="s">
        <v>270</v>
      </c>
      <c r="M88" s="293" t="s">
        <v>342</v>
      </c>
      <c r="N88" s="293"/>
      <c r="O88" s="293"/>
      <c r="Q88" s="356"/>
      <c r="R88" s="292" t="s">
        <v>269</v>
      </c>
      <c r="S88" s="293" t="s">
        <v>341</v>
      </c>
      <c r="T88" s="294" t="s">
        <v>270</v>
      </c>
      <c r="U88" s="293" t="s">
        <v>342</v>
      </c>
      <c r="V88" s="207"/>
      <c r="W88" s="207"/>
      <c r="X88" s="207"/>
      <c r="Y88" s="356"/>
      <c r="Z88" s="292" t="s">
        <v>269</v>
      </c>
      <c r="AA88" s="293" t="s">
        <v>341</v>
      </c>
      <c r="AB88" s="294" t="s">
        <v>270</v>
      </c>
      <c r="AC88" s="293" t="s">
        <v>342</v>
      </c>
      <c r="AD88" s="207"/>
      <c r="AE88" s="207"/>
      <c r="AF88" s="207"/>
      <c r="AG88" s="205"/>
      <c r="AH88" s="205"/>
      <c r="AI88" s="205"/>
      <c r="AJ88" s="205"/>
      <c r="AK88" s="354"/>
    </row>
    <row r="89" spans="1:39" s="75" customFormat="1" x14ac:dyDescent="0.2">
      <c r="A89" s="380" t="s">
        <v>272</v>
      </c>
      <c r="B89" s="381"/>
      <c r="C89" s="382">
        <f>$AK$11</f>
        <v>59700.570397111915</v>
      </c>
      <c r="D89" s="124">
        <f>AJ18</f>
        <v>2.15</v>
      </c>
      <c r="E89" s="157">
        <f>C89*D89</f>
        <v>128356.22635379061</v>
      </c>
      <c r="F89" s="157"/>
      <c r="G89" s="408"/>
      <c r="H89" s="158"/>
      <c r="I89" s="380" t="s">
        <v>272</v>
      </c>
      <c r="J89" s="381"/>
      <c r="K89" s="382">
        <f>$AK$11</f>
        <v>59700.570397111915</v>
      </c>
      <c r="L89" s="124">
        <f>AK18</f>
        <v>2.15</v>
      </c>
      <c r="M89" s="157">
        <f>K89*L89</f>
        <v>128356.22635379061</v>
      </c>
      <c r="N89" s="157"/>
      <c r="O89" s="157"/>
      <c r="P89" s="157"/>
      <c r="Q89" s="380" t="s">
        <v>272</v>
      </c>
      <c r="R89" s="381"/>
      <c r="S89" s="382">
        <f>$AK$11</f>
        <v>59700.570397111915</v>
      </c>
      <c r="T89" s="124">
        <f>AL18</f>
        <v>2.15</v>
      </c>
      <c r="U89" s="157">
        <f>S89*T89</f>
        <v>128356.22635379061</v>
      </c>
      <c r="V89" s="77"/>
      <c r="W89" s="77"/>
      <c r="X89" s="77"/>
      <c r="Y89" s="121" t="s">
        <v>272</v>
      </c>
      <c r="Z89" s="381"/>
      <c r="AA89" s="382">
        <f>$AK$11</f>
        <v>59700.570397111915</v>
      </c>
      <c r="AB89" s="124">
        <f>AM18</f>
        <v>2.15</v>
      </c>
      <c r="AC89" s="157">
        <f>AA89*AB89</f>
        <v>128356.22635379061</v>
      </c>
      <c r="AD89" s="77"/>
      <c r="AE89" s="77"/>
      <c r="AF89" s="77"/>
      <c r="AG89" s="87"/>
      <c r="AH89" s="77"/>
      <c r="AI89" s="77"/>
      <c r="AJ89" s="77"/>
      <c r="AK89" s="77"/>
    </row>
    <row r="90" spans="1:39" s="75" customFormat="1" x14ac:dyDescent="0.2">
      <c r="A90" s="380" t="s">
        <v>273</v>
      </c>
      <c r="B90" s="381"/>
      <c r="C90" s="382">
        <f>$AK$12</f>
        <v>51947.798987144524</v>
      </c>
      <c r="D90" s="124">
        <f>AJ19</f>
        <v>3</v>
      </c>
      <c r="E90" s="157">
        <f>C90*D90</f>
        <v>155843.39696143358</v>
      </c>
      <c r="F90" s="157"/>
      <c r="G90" s="408"/>
      <c r="H90" s="158"/>
      <c r="I90" s="380" t="s">
        <v>273</v>
      </c>
      <c r="J90" s="381"/>
      <c r="K90" s="382">
        <f>$AK$12</f>
        <v>51947.798987144524</v>
      </c>
      <c r="L90" s="124">
        <f>$AK$19</f>
        <v>3</v>
      </c>
      <c r="M90" s="157">
        <f>K90*L90</f>
        <v>155843.39696143358</v>
      </c>
      <c r="N90" s="157"/>
      <c r="O90" s="157"/>
      <c r="P90" s="157"/>
      <c r="Q90" s="380" t="s">
        <v>273</v>
      </c>
      <c r="R90" s="381"/>
      <c r="S90" s="382">
        <f>$AK$12</f>
        <v>51947.798987144524</v>
      </c>
      <c r="T90" s="124">
        <f>AL19</f>
        <v>3</v>
      </c>
      <c r="U90" s="157">
        <f>S90*T90</f>
        <v>155843.39696143358</v>
      </c>
      <c r="V90" s="77"/>
      <c r="W90" s="77"/>
      <c r="X90" s="77"/>
      <c r="Y90" s="121" t="s">
        <v>273</v>
      </c>
      <c r="Z90" s="381"/>
      <c r="AA90" s="382">
        <f>$AK$12</f>
        <v>51947.798987144524</v>
      </c>
      <c r="AB90" s="124">
        <f>AM19</f>
        <v>4</v>
      </c>
      <c r="AC90" s="157">
        <f>AA90*AB90</f>
        <v>207791.1959485781</v>
      </c>
      <c r="AD90" s="77"/>
      <c r="AE90" s="77"/>
      <c r="AF90" s="77"/>
      <c r="AG90" s="205"/>
      <c r="AH90" s="87"/>
      <c r="AI90" s="77"/>
      <c r="AJ90" s="77"/>
      <c r="AK90" s="77"/>
    </row>
    <row r="91" spans="1:39" s="133" customFormat="1" x14ac:dyDescent="0.2">
      <c r="A91" s="383" t="s">
        <v>275</v>
      </c>
      <c r="B91" s="124">
        <f>AJ27</f>
        <v>0.8482142857142857</v>
      </c>
      <c r="C91" s="382">
        <f>$AK$13</f>
        <v>31102.5</v>
      </c>
      <c r="D91" s="124">
        <f>B86/B91</f>
        <v>14.147368421052631</v>
      </c>
      <c r="E91" s="157">
        <f>C91*D91</f>
        <v>440018.52631578944</v>
      </c>
      <c r="F91" s="157"/>
      <c r="G91" s="408"/>
      <c r="H91" s="158"/>
      <c r="I91" s="383" t="s">
        <v>275</v>
      </c>
      <c r="J91" s="124">
        <f>AK27</f>
        <v>0.85815273477812182</v>
      </c>
      <c r="K91" s="382">
        <f>$AK$13</f>
        <v>31102.5</v>
      </c>
      <c r="L91" s="124">
        <f>J86/J91</f>
        <v>18.062052792976971</v>
      </c>
      <c r="M91" s="157">
        <f>K91*L91</f>
        <v>561774.99699356628</v>
      </c>
      <c r="N91" s="157"/>
      <c r="O91" s="157"/>
      <c r="P91" s="243"/>
      <c r="Q91" s="383" t="s">
        <v>275</v>
      </c>
      <c r="R91" s="124">
        <f>AL27</f>
        <v>0.92860869565217397</v>
      </c>
      <c r="S91" s="382">
        <f>$AK$13</f>
        <v>31102.5</v>
      </c>
      <c r="T91" s="124">
        <f>R86/R91</f>
        <v>21.537597153291504</v>
      </c>
      <c r="U91" s="157">
        <f>S91*T91</f>
        <v>669873.11546024901</v>
      </c>
      <c r="V91" s="77"/>
      <c r="W91" s="77"/>
      <c r="X91" s="77"/>
      <c r="Y91" s="131" t="s">
        <v>275</v>
      </c>
      <c r="Z91" s="124">
        <f>'FTE Ratios'!$N$26</f>
        <v>0.93530864197530861</v>
      </c>
      <c r="AA91" s="382">
        <f>$AK$13</f>
        <v>31102.5</v>
      </c>
      <c r="AB91" s="124">
        <f>Z86/Z91</f>
        <v>26.729144667370644</v>
      </c>
      <c r="AC91" s="157">
        <f>AA91*AB91</f>
        <v>831343.22201689542</v>
      </c>
      <c r="AD91" s="77"/>
      <c r="AE91" s="77"/>
      <c r="AF91" s="77"/>
      <c r="AG91" s="86"/>
      <c r="AH91" s="87"/>
      <c r="AI91" s="88"/>
      <c r="AJ91" s="88"/>
      <c r="AK91" s="88"/>
    </row>
    <row r="92" spans="1:39" s="133" customFormat="1" x14ac:dyDescent="0.2">
      <c r="A92" s="383" t="s">
        <v>276</v>
      </c>
      <c r="B92" s="124"/>
      <c r="C92" s="382">
        <f>$AK$13</f>
        <v>31102.5</v>
      </c>
      <c r="D92" s="124">
        <f>D91*$AJ$8</f>
        <v>2.7750607287449394</v>
      </c>
      <c r="E92" s="157">
        <f>C92*D92</f>
        <v>86311.326315789483</v>
      </c>
      <c r="F92" s="143"/>
      <c r="G92" s="408"/>
      <c r="H92" s="158"/>
      <c r="I92" s="383" t="s">
        <v>276</v>
      </c>
      <c r="J92" s="124"/>
      <c r="K92" s="382">
        <f>$AK$13</f>
        <v>31102.5</v>
      </c>
      <c r="L92" s="124">
        <f>L91*$AJ$8</f>
        <v>3.5429411247762519</v>
      </c>
      <c r="M92" s="157">
        <f>K92*L92</f>
        <v>110194.32633335337</v>
      </c>
      <c r="N92" s="157"/>
      <c r="O92" s="157"/>
      <c r="P92" s="243"/>
      <c r="Q92" s="383" t="s">
        <v>276</v>
      </c>
      <c r="R92" s="124"/>
      <c r="S92" s="382">
        <f>$AK$13</f>
        <v>31102.5</v>
      </c>
      <c r="T92" s="124">
        <f>T91*$AJ$8</f>
        <v>4.2246825185302566</v>
      </c>
      <c r="U92" s="157">
        <f>S92*T92</f>
        <v>131398.18803258729</v>
      </c>
      <c r="V92" s="77"/>
      <c r="W92" s="77"/>
      <c r="X92" s="77"/>
      <c r="Y92" s="131" t="s">
        <v>276</v>
      </c>
      <c r="Z92" s="124"/>
      <c r="AA92" s="382">
        <f>$AK$13</f>
        <v>31102.5</v>
      </c>
      <c r="AB92" s="124">
        <f>AB91*$AJ$8</f>
        <v>5.2430245309073182</v>
      </c>
      <c r="AC92" s="157">
        <f>AA92*AB92</f>
        <v>163071.17047254488</v>
      </c>
      <c r="AD92" s="77"/>
      <c r="AE92" s="77"/>
      <c r="AF92" s="77"/>
      <c r="AG92" s="86"/>
      <c r="AH92" s="87"/>
      <c r="AI92" s="88"/>
      <c r="AJ92" s="88"/>
      <c r="AK92" s="88"/>
    </row>
    <row r="93" spans="1:39" s="75" customFormat="1" x14ac:dyDescent="0.2">
      <c r="A93" s="380" t="s">
        <v>370</v>
      </c>
      <c r="B93" s="124"/>
      <c r="C93" s="382">
        <f>$AK$14</f>
        <v>30600.305857957486</v>
      </c>
      <c r="D93" s="124">
        <f>AJ23</f>
        <v>3</v>
      </c>
      <c r="E93" s="157">
        <f>C93*D93</f>
        <v>91800.917573872459</v>
      </c>
      <c r="F93" s="143"/>
      <c r="G93" s="408"/>
      <c r="H93" s="158"/>
      <c r="I93" s="380" t="s">
        <v>370</v>
      </c>
      <c r="J93" s="124"/>
      <c r="K93" s="382">
        <f>$AK$14</f>
        <v>30600.305857957486</v>
      </c>
      <c r="L93" s="124">
        <f>AK23</f>
        <v>3</v>
      </c>
      <c r="M93" s="157">
        <f>K93*L93</f>
        <v>91800.917573872459</v>
      </c>
      <c r="N93" s="157"/>
      <c r="O93" s="157"/>
      <c r="P93" s="157"/>
      <c r="Q93" s="380" t="s">
        <v>370</v>
      </c>
      <c r="R93" s="124"/>
      <c r="S93" s="382">
        <f>$AK$14</f>
        <v>30600.305857957486</v>
      </c>
      <c r="T93" s="124">
        <f>AL23</f>
        <v>3</v>
      </c>
      <c r="U93" s="157">
        <f>S93*T93</f>
        <v>91800.917573872459</v>
      </c>
      <c r="V93" s="77"/>
      <c r="W93" s="77"/>
      <c r="X93" s="77"/>
      <c r="Y93" s="121" t="s">
        <v>370</v>
      </c>
      <c r="Z93" s="124"/>
      <c r="AA93" s="382">
        <f>$AK$14</f>
        <v>30600.305857957486</v>
      </c>
      <c r="AB93" s="124">
        <f>AM23</f>
        <v>4</v>
      </c>
      <c r="AC93" s="157">
        <f>AA93*AB93</f>
        <v>122401.22343182995</v>
      </c>
      <c r="AD93" s="77"/>
      <c r="AE93" s="77"/>
      <c r="AF93" s="77"/>
      <c r="AG93" s="86"/>
      <c r="AH93" s="87"/>
      <c r="AI93" s="77"/>
      <c r="AJ93" s="77"/>
      <c r="AK93" s="77"/>
    </row>
    <row r="94" spans="1:39" s="101" customFormat="1" x14ac:dyDescent="0.2">
      <c r="A94" s="387" t="s">
        <v>277</v>
      </c>
      <c r="B94" s="387"/>
      <c r="C94" s="388"/>
      <c r="D94" s="389">
        <f>SUM(D89:D93)</f>
        <v>25.072429149797571</v>
      </c>
      <c r="E94" s="388">
        <f>SUM(E89:E93)</f>
        <v>902330.3935206756</v>
      </c>
      <c r="F94" s="369"/>
      <c r="G94" s="408"/>
      <c r="H94" s="369"/>
      <c r="I94" s="387" t="s">
        <v>277</v>
      </c>
      <c r="J94" s="387"/>
      <c r="K94" s="388"/>
      <c r="L94" s="389">
        <f>SUM(L89:L93)</f>
        <v>29.754993917753222</v>
      </c>
      <c r="M94" s="388">
        <f>SUM(M89:M93)</f>
        <v>1047969.8642160164</v>
      </c>
      <c r="N94" s="369"/>
      <c r="O94" s="369"/>
      <c r="P94" s="71"/>
      <c r="Q94" s="387" t="s">
        <v>277</v>
      </c>
      <c r="R94" s="387"/>
      <c r="S94" s="388"/>
      <c r="T94" s="389">
        <f>SUM(T89:T93)</f>
        <v>33.912279671821764</v>
      </c>
      <c r="U94" s="388">
        <f>SUM(U89:U93)</f>
        <v>1177271.8443819331</v>
      </c>
      <c r="V94" s="93"/>
      <c r="W94" s="93"/>
      <c r="X94" s="93"/>
      <c r="Y94" s="138" t="s">
        <v>277</v>
      </c>
      <c r="Z94" s="387"/>
      <c r="AA94" s="388"/>
      <c r="AB94" s="389">
        <f>SUM(AB89:AB93)</f>
        <v>42.122169198277966</v>
      </c>
      <c r="AC94" s="388">
        <f>SUM(AC89:AC93)</f>
        <v>1452963.0382236391</v>
      </c>
      <c r="AD94" s="93"/>
      <c r="AE94" s="93"/>
      <c r="AF94" s="93"/>
      <c r="AG94" s="86"/>
      <c r="AH94" s="87"/>
      <c r="AI94" s="106"/>
      <c r="AJ94" s="106"/>
      <c r="AK94" s="106"/>
    </row>
    <row r="95" spans="1:39" s="101" customFormat="1" x14ac:dyDescent="0.2">
      <c r="A95" s="198"/>
      <c r="B95" s="198"/>
      <c r="C95" s="369"/>
      <c r="D95" s="390"/>
      <c r="E95" s="369"/>
      <c r="F95" s="369"/>
      <c r="G95" s="408"/>
      <c r="H95" s="369"/>
      <c r="I95" s="198"/>
      <c r="J95" s="198"/>
      <c r="K95" s="369"/>
      <c r="L95" s="390"/>
      <c r="M95" s="369"/>
      <c r="N95" s="369"/>
      <c r="O95" s="369"/>
      <c r="P95" s="71"/>
      <c r="Q95" s="198"/>
      <c r="R95" s="198"/>
      <c r="S95" s="369"/>
      <c r="T95" s="390"/>
      <c r="U95" s="369"/>
      <c r="V95" s="93"/>
      <c r="W95" s="93"/>
      <c r="X95" s="93"/>
      <c r="Y95" s="106"/>
      <c r="Z95" s="198"/>
      <c r="AA95" s="369"/>
      <c r="AB95" s="390"/>
      <c r="AC95" s="369"/>
      <c r="AD95" s="93"/>
      <c r="AE95" s="93"/>
      <c r="AF95" s="93"/>
      <c r="AG95" s="86"/>
      <c r="AH95" s="87"/>
      <c r="AI95" s="106"/>
      <c r="AJ95" s="106"/>
      <c r="AK95" s="106"/>
    </row>
    <row r="96" spans="1:39" s="101" customFormat="1" x14ac:dyDescent="0.2">
      <c r="A96" s="391" t="s">
        <v>278</v>
      </c>
      <c r="B96" s="391"/>
      <c r="C96" s="392"/>
      <c r="D96" s="393" t="s">
        <v>279</v>
      </c>
      <c r="E96" s="392"/>
      <c r="F96" s="392"/>
      <c r="G96" s="408"/>
      <c r="H96" s="394"/>
      <c r="I96" s="391" t="s">
        <v>278</v>
      </c>
      <c r="J96" s="391"/>
      <c r="K96" s="392"/>
      <c r="L96" s="393" t="s">
        <v>279</v>
      </c>
      <c r="M96" s="392"/>
      <c r="N96" s="392"/>
      <c r="O96" s="392"/>
      <c r="P96" s="71"/>
      <c r="Q96" s="391" t="s">
        <v>278</v>
      </c>
      <c r="R96" s="391"/>
      <c r="S96" s="392"/>
      <c r="T96" s="393" t="s">
        <v>279</v>
      </c>
      <c r="U96" s="392"/>
      <c r="V96" s="114"/>
      <c r="W96" s="114"/>
      <c r="X96" s="114"/>
      <c r="Y96" s="111" t="s">
        <v>278</v>
      </c>
      <c r="Z96" s="391"/>
      <c r="AA96" s="392"/>
      <c r="AB96" s="393" t="s">
        <v>279</v>
      </c>
      <c r="AC96" s="392"/>
      <c r="AD96" s="114"/>
      <c r="AE96" s="114"/>
      <c r="AF96" s="114"/>
      <c r="AG96" s="20"/>
      <c r="AH96" s="87"/>
      <c r="AI96" s="106"/>
      <c r="AJ96" s="106"/>
      <c r="AK96" s="106"/>
    </row>
    <row r="97" spans="1:39" s="78" customFormat="1" x14ac:dyDescent="0.2">
      <c r="A97" s="143" t="s">
        <v>280</v>
      </c>
      <c r="B97" s="144"/>
      <c r="C97" s="160">
        <f>$AJ$30</f>
        <v>0.25578770213785851</v>
      </c>
      <c r="D97" s="395"/>
      <c r="E97" s="157">
        <f>C97*E94</f>
        <v>230805.01792780322</v>
      </c>
      <c r="F97" s="382"/>
      <c r="G97" s="408"/>
      <c r="H97" s="396"/>
      <c r="I97" s="143" t="s">
        <v>280</v>
      </c>
      <c r="J97" s="144"/>
      <c r="K97" s="160">
        <f>$AJ$30</f>
        <v>0.25578770213785851</v>
      </c>
      <c r="L97" s="395"/>
      <c r="M97" s="157">
        <f>K97*M94</f>
        <v>268057.8034775384</v>
      </c>
      <c r="N97" s="157"/>
      <c r="O97" s="157"/>
      <c r="P97" s="144"/>
      <c r="Q97" s="143" t="s">
        <v>280</v>
      </c>
      <c r="R97" s="144"/>
      <c r="S97" s="160">
        <f>$AJ$30</f>
        <v>0.25578770213785851</v>
      </c>
      <c r="T97" s="395"/>
      <c r="U97" s="157">
        <f>S97*U94</f>
        <v>301131.6598660532</v>
      </c>
      <c r="V97" s="146"/>
      <c r="W97" s="146"/>
      <c r="X97" s="146"/>
      <c r="Y97" s="143" t="s">
        <v>280</v>
      </c>
      <c r="Z97" s="144"/>
      <c r="AA97" s="160">
        <f>$AJ$30</f>
        <v>0.25578770213785851</v>
      </c>
      <c r="AB97" s="395"/>
      <c r="AC97" s="157">
        <f>AA97*AC94</f>
        <v>371650.07683846611</v>
      </c>
      <c r="AD97" s="146"/>
      <c r="AE97" s="146"/>
      <c r="AF97" s="146"/>
      <c r="AG97" s="69"/>
      <c r="AH97" s="87"/>
      <c r="AI97" s="206"/>
      <c r="AJ97" s="206"/>
      <c r="AK97" s="206"/>
    </row>
    <row r="98" spans="1:39" x14ac:dyDescent="0.2">
      <c r="A98" s="397" t="s">
        <v>282</v>
      </c>
      <c r="B98" s="397"/>
      <c r="C98" s="398"/>
      <c r="D98" s="151">
        <f>E98/E85</f>
        <v>258.70671494257505</v>
      </c>
      <c r="E98" s="399">
        <f>E97+E94</f>
        <v>1133135.4114484787</v>
      </c>
      <c r="F98" s="158"/>
      <c r="G98" s="408"/>
      <c r="H98" s="158"/>
      <c r="I98" s="397" t="s">
        <v>282</v>
      </c>
      <c r="J98" s="397"/>
      <c r="K98" s="398"/>
      <c r="L98" s="151">
        <f>M98/M85</f>
        <v>232.61646799709322</v>
      </c>
      <c r="M98" s="399">
        <f>M97+M94</f>
        <v>1316027.6676935549</v>
      </c>
      <c r="N98" s="394"/>
      <c r="O98" s="394"/>
      <c r="P98" s="158"/>
      <c r="Q98" s="397" t="s">
        <v>282</v>
      </c>
      <c r="R98" s="397"/>
      <c r="S98" s="398"/>
      <c r="T98" s="151">
        <f>U98/U85</f>
        <v>202.52102797917621</v>
      </c>
      <c r="U98" s="399">
        <f>U97+U94</f>
        <v>1478403.5042479862</v>
      </c>
      <c r="V98" s="114"/>
      <c r="W98" s="114"/>
      <c r="X98" s="114"/>
      <c r="Y98" s="149" t="s">
        <v>282</v>
      </c>
      <c r="Z98" s="397"/>
      <c r="AA98" s="398"/>
      <c r="AB98" s="151">
        <f>AC98/AC85</f>
        <v>199.95760165064166</v>
      </c>
      <c r="AC98" s="399">
        <f>AC97+AC94</f>
        <v>1824613.1150621052</v>
      </c>
      <c r="AD98" s="114"/>
      <c r="AE98" s="114"/>
      <c r="AF98" s="114"/>
      <c r="AG98" s="125"/>
      <c r="AH98" s="73"/>
      <c r="AI98" s="73"/>
      <c r="AJ98" s="73"/>
      <c r="AK98" s="73"/>
      <c r="AL98" s="72"/>
      <c r="AM98" s="72"/>
    </row>
    <row r="99" spans="1:39" x14ac:dyDescent="0.2">
      <c r="A99" s="143"/>
      <c r="B99" s="143"/>
      <c r="C99" s="157"/>
      <c r="D99" s="365"/>
      <c r="E99" s="157"/>
      <c r="F99" s="157"/>
      <c r="G99" s="408"/>
      <c r="H99" s="158"/>
      <c r="I99" s="143"/>
      <c r="J99" s="143"/>
      <c r="K99" s="157"/>
      <c r="L99" s="365"/>
      <c r="M99" s="157"/>
      <c r="N99" s="157"/>
      <c r="O99" s="157"/>
      <c r="P99" s="158"/>
      <c r="Q99" s="143"/>
      <c r="R99" s="143"/>
      <c r="S99" s="157"/>
      <c r="T99" s="365"/>
      <c r="U99" s="157"/>
      <c r="X99" s="77"/>
      <c r="Y99" s="72"/>
      <c r="Z99" s="143"/>
      <c r="AA99" s="157"/>
      <c r="AB99" s="365"/>
      <c r="AC99" s="157"/>
      <c r="AG99" s="207"/>
      <c r="AH99" s="73"/>
      <c r="AI99" s="73"/>
      <c r="AJ99" s="73"/>
      <c r="AK99" s="73"/>
      <c r="AL99" s="72"/>
      <c r="AM99" s="72"/>
    </row>
    <row r="100" spans="1:39" x14ac:dyDescent="0.2">
      <c r="A100" s="143" t="s">
        <v>91</v>
      </c>
      <c r="B100" s="143"/>
      <c r="C100" s="157"/>
      <c r="D100" s="124">
        <f>$AJ$34</f>
        <v>4.8269348195899369</v>
      </c>
      <c r="E100" s="157">
        <f>D100*E$85</f>
        <v>21141.974509803924</v>
      </c>
      <c r="F100" s="400"/>
      <c r="G100" s="408"/>
      <c r="H100" s="158"/>
      <c r="I100" s="143" t="s">
        <v>91</v>
      </c>
      <c r="J100" s="143"/>
      <c r="K100" s="157"/>
      <c r="L100" s="124">
        <f>$AJ$34</f>
        <v>4.8269348195899369</v>
      </c>
      <c r="M100" s="157">
        <f>L100*M$85</f>
        <v>27308.383741830068</v>
      </c>
      <c r="N100" s="157"/>
      <c r="O100" s="157"/>
      <c r="P100" s="158"/>
      <c r="Q100" s="143" t="s">
        <v>91</v>
      </c>
      <c r="R100" s="143"/>
      <c r="S100" s="157"/>
      <c r="T100" s="124">
        <f>$AJ$34</f>
        <v>4.8269348195899369</v>
      </c>
      <c r="U100" s="157">
        <f>T100*U$85</f>
        <v>35236.624183006541</v>
      </c>
      <c r="X100" s="77"/>
      <c r="Y100" s="72" t="s">
        <v>91</v>
      </c>
      <c r="Z100" s="72"/>
      <c r="AA100" s="75"/>
      <c r="AB100" s="124">
        <f>$AJ$34</f>
        <v>4.8269348195899369</v>
      </c>
      <c r="AC100" s="75">
        <f>AB100*AC$85</f>
        <v>44045.780228758173</v>
      </c>
      <c r="AG100" s="135"/>
      <c r="AH100" s="73"/>
      <c r="AI100" s="73"/>
      <c r="AJ100" s="73"/>
      <c r="AK100" s="73"/>
      <c r="AL100" s="72"/>
      <c r="AM100" s="72"/>
    </row>
    <row r="101" spans="1:39" x14ac:dyDescent="0.2">
      <c r="A101" s="143"/>
      <c r="B101" s="143"/>
      <c r="C101" s="157"/>
      <c r="D101" s="124"/>
      <c r="E101" s="157"/>
      <c r="F101" s="157"/>
      <c r="G101" s="408"/>
      <c r="H101" s="158"/>
      <c r="I101" s="143"/>
      <c r="J101" s="143"/>
      <c r="K101" s="157"/>
      <c r="L101" s="124"/>
      <c r="M101" s="157"/>
      <c r="N101" s="157"/>
      <c r="O101" s="157"/>
      <c r="P101" s="158"/>
      <c r="Q101" s="143"/>
      <c r="R101" s="143"/>
      <c r="S101" s="157"/>
      <c r="T101" s="124"/>
      <c r="U101" s="157"/>
      <c r="V101" s="158"/>
      <c r="W101" s="158"/>
      <c r="X101" s="158"/>
      <c r="Y101" s="72"/>
      <c r="Z101" s="72"/>
      <c r="AA101" s="75"/>
      <c r="AB101" s="124"/>
      <c r="AC101" s="157"/>
      <c r="AD101" s="158"/>
      <c r="AE101" s="158"/>
      <c r="AF101" s="158"/>
      <c r="AG101" s="135"/>
      <c r="AH101" s="73"/>
      <c r="AI101" s="73"/>
      <c r="AJ101" s="73"/>
      <c r="AK101" s="73"/>
      <c r="AL101" s="72"/>
      <c r="AM101" s="72"/>
    </row>
    <row r="102" spans="1:39" x14ac:dyDescent="0.2">
      <c r="A102" s="143" t="s">
        <v>283</v>
      </c>
      <c r="B102" s="143"/>
      <c r="C102" s="157"/>
      <c r="D102" s="124">
        <f>$AJ$36</f>
        <v>16.772324588891873</v>
      </c>
      <c r="E102" s="157">
        <f>D102*E$85</f>
        <v>73462.781699346408</v>
      </c>
      <c r="F102" s="157"/>
      <c r="G102" s="408"/>
      <c r="H102" s="158"/>
      <c r="I102" s="143" t="s">
        <v>283</v>
      </c>
      <c r="J102" s="143"/>
      <c r="K102" s="157"/>
      <c r="L102" s="124">
        <f>$AJ$36</f>
        <v>16.772324588891873</v>
      </c>
      <c r="M102" s="157">
        <f>L102*M$85</f>
        <v>94889.426361655773</v>
      </c>
      <c r="N102" s="157"/>
      <c r="O102" s="157"/>
      <c r="P102" s="158"/>
      <c r="Q102" s="143" t="s">
        <v>283</v>
      </c>
      <c r="R102" s="143"/>
      <c r="S102" s="157"/>
      <c r="T102" s="124">
        <f>$AJ$36</f>
        <v>16.772324588891873</v>
      </c>
      <c r="U102" s="157">
        <f>T102*U$85</f>
        <v>122437.96949891068</v>
      </c>
      <c r="X102" s="77"/>
      <c r="Y102" s="72" t="s">
        <v>283</v>
      </c>
      <c r="Z102" s="72"/>
      <c r="AA102" s="75"/>
      <c r="AB102" s="124">
        <f>$AJ$36</f>
        <v>16.772324588891873</v>
      </c>
      <c r="AC102" s="75">
        <f>AB102*AC$85</f>
        <v>153047.46187363836</v>
      </c>
      <c r="AG102" s="135"/>
      <c r="AH102" s="73"/>
      <c r="AI102" s="73"/>
      <c r="AJ102" s="73"/>
      <c r="AK102" s="73"/>
      <c r="AL102" s="72"/>
      <c r="AM102" s="72"/>
    </row>
    <row r="103" spans="1:39" x14ac:dyDescent="0.2">
      <c r="A103" s="143"/>
      <c r="B103" s="143"/>
      <c r="C103" s="157"/>
      <c r="D103" s="159">
        <f>SUM(D100:D102)</f>
        <v>21.59925940848181</v>
      </c>
      <c r="E103" s="157"/>
      <c r="F103" s="157"/>
      <c r="G103" s="408"/>
      <c r="H103" s="158"/>
      <c r="I103" s="143"/>
      <c r="J103" s="143"/>
      <c r="K103" s="157"/>
      <c r="L103" s="159">
        <f>SUM(L100:L102)</f>
        <v>21.59925940848181</v>
      </c>
      <c r="M103" s="157"/>
      <c r="N103" s="157"/>
      <c r="O103" s="157"/>
      <c r="P103" s="158"/>
      <c r="Q103" s="143"/>
      <c r="R103" s="143"/>
      <c r="S103" s="157"/>
      <c r="T103" s="159">
        <f>SUM(T100:T102)</f>
        <v>21.59925940848181</v>
      </c>
      <c r="U103" s="157"/>
      <c r="X103" s="77"/>
      <c r="Y103" s="72"/>
      <c r="Z103" s="72"/>
      <c r="AA103" s="75"/>
      <c r="AB103" s="159">
        <f>SUM(AB100:AB102)</f>
        <v>21.59925940848181</v>
      </c>
      <c r="AC103" s="75"/>
      <c r="AG103" s="135"/>
      <c r="AH103" s="73"/>
      <c r="AI103" s="73"/>
      <c r="AJ103" s="73"/>
      <c r="AK103" s="73"/>
      <c r="AL103" s="72"/>
      <c r="AM103" s="72"/>
    </row>
    <row r="104" spans="1:39" x14ac:dyDescent="0.2">
      <c r="A104" s="387" t="s">
        <v>371</v>
      </c>
      <c r="B104" s="387"/>
      <c r="C104" s="388"/>
      <c r="D104" s="389"/>
      <c r="E104" s="388">
        <f>SUM(E98:E102)</f>
        <v>1227740.1676576289</v>
      </c>
      <c r="F104" s="369"/>
      <c r="G104" s="408"/>
      <c r="H104" s="369"/>
      <c r="I104" s="387" t="s">
        <v>371</v>
      </c>
      <c r="J104" s="387"/>
      <c r="K104" s="388"/>
      <c r="L104" s="389"/>
      <c r="M104" s="388">
        <f>SUM(M98:M102)</f>
        <v>1438225.4777970407</v>
      </c>
      <c r="N104" s="369"/>
      <c r="O104" s="369"/>
      <c r="P104" s="158"/>
      <c r="Q104" s="387" t="s">
        <v>371</v>
      </c>
      <c r="R104" s="387"/>
      <c r="S104" s="388"/>
      <c r="T104" s="389"/>
      <c r="U104" s="388">
        <f>SUM(U98:U102)</f>
        <v>1636078.0979299035</v>
      </c>
      <c r="V104" s="93"/>
      <c r="W104" s="93"/>
      <c r="X104" s="93"/>
      <c r="Y104" s="138" t="s">
        <v>371</v>
      </c>
      <c r="Z104" s="138"/>
      <c r="AA104" s="139"/>
      <c r="AB104" s="140"/>
      <c r="AC104" s="139">
        <f>SUM(AC98:AC102)</f>
        <v>2021706.3571645019</v>
      </c>
      <c r="AD104" s="93"/>
      <c r="AE104" s="93"/>
      <c r="AF104" s="93"/>
      <c r="AG104" s="135"/>
      <c r="AH104" s="73"/>
      <c r="AI104" s="73"/>
      <c r="AJ104" s="73"/>
      <c r="AK104" s="73"/>
      <c r="AL104" s="72"/>
      <c r="AM104" s="72"/>
    </row>
    <row r="105" spans="1:39" x14ac:dyDescent="0.2">
      <c r="A105" s="143" t="s">
        <v>286</v>
      </c>
      <c r="B105" s="143"/>
      <c r="C105" s="160" t="e">
        <f>$AJ$42</f>
        <v>#REF!</v>
      </c>
      <c r="D105" s="124"/>
      <c r="E105" s="157" t="e">
        <f>C105*E104</f>
        <v>#REF!</v>
      </c>
      <c r="F105" s="158"/>
      <c r="G105" s="408"/>
      <c r="H105" s="158"/>
      <c r="I105" s="143" t="s">
        <v>286</v>
      </c>
      <c r="J105" s="143"/>
      <c r="K105" s="160" t="e">
        <f>$AJ$42</f>
        <v>#REF!</v>
      </c>
      <c r="L105" s="124"/>
      <c r="M105" s="157" t="e">
        <f>K105*M104</f>
        <v>#REF!</v>
      </c>
      <c r="N105" s="157"/>
      <c r="O105" s="157"/>
      <c r="P105" s="158"/>
      <c r="Q105" s="143" t="s">
        <v>286</v>
      </c>
      <c r="R105" s="143"/>
      <c r="S105" s="160" t="e">
        <f>$AJ$42</f>
        <v>#REF!</v>
      </c>
      <c r="T105" s="124"/>
      <c r="U105" s="157" t="e">
        <f>S105*U104</f>
        <v>#REF!</v>
      </c>
      <c r="X105" s="77"/>
      <c r="Y105" s="72" t="s">
        <v>286</v>
      </c>
      <c r="Z105" s="72"/>
      <c r="AA105" s="160" t="e">
        <f>$AJ$42</f>
        <v>#REF!</v>
      </c>
      <c r="AB105" s="132"/>
      <c r="AC105" s="75" t="e">
        <f>AA105*AC104</f>
        <v>#REF!</v>
      </c>
      <c r="AG105" s="208"/>
      <c r="AH105" s="208"/>
      <c r="AI105" s="208"/>
      <c r="AJ105" s="208"/>
      <c r="AK105" s="73"/>
      <c r="AL105" s="72"/>
      <c r="AM105" s="72"/>
    </row>
    <row r="106" spans="1:39" s="101" customFormat="1" ht="15" customHeight="1" thickBot="1" x14ac:dyDescent="0.25">
      <c r="A106" s="401" t="s">
        <v>288</v>
      </c>
      <c r="B106" s="401"/>
      <c r="C106" s="402"/>
      <c r="D106" s="403"/>
      <c r="E106" s="404" t="e">
        <f>ROUND(SUM(E104:E105),2)</f>
        <v>#REF!</v>
      </c>
      <c r="F106" s="369"/>
      <c r="G106" s="408"/>
      <c r="H106" s="369"/>
      <c r="I106" s="401" t="s">
        <v>288</v>
      </c>
      <c r="J106" s="401"/>
      <c r="K106" s="402"/>
      <c r="L106" s="403"/>
      <c r="M106" s="404" t="e">
        <f>ROUND(SUM(M104:M105),2)</f>
        <v>#REF!</v>
      </c>
      <c r="N106" s="369"/>
      <c r="O106" s="369"/>
      <c r="P106" s="71"/>
      <c r="Q106" s="401" t="s">
        <v>288</v>
      </c>
      <c r="R106" s="401"/>
      <c r="S106" s="402"/>
      <c r="T106" s="403"/>
      <c r="U106" s="404" t="e">
        <f>ROUND(SUM(U104:U105),2)</f>
        <v>#REF!</v>
      </c>
      <c r="V106" s="93"/>
      <c r="W106" s="93"/>
      <c r="X106" s="93"/>
      <c r="Y106" s="161" t="s">
        <v>288</v>
      </c>
      <c r="Z106" s="161"/>
      <c r="AA106" s="162"/>
      <c r="AB106" s="163"/>
      <c r="AC106" s="164" t="e">
        <f>ROUND(SUM(AC104:AC105),2)</f>
        <v>#REF!</v>
      </c>
      <c r="AD106" s="93"/>
      <c r="AE106" s="93"/>
      <c r="AF106" s="93"/>
      <c r="AG106" s="209"/>
      <c r="AH106" s="210"/>
      <c r="AI106" s="211"/>
      <c r="AJ106" s="210"/>
      <c r="AK106" s="106"/>
    </row>
    <row r="107" spans="1:39" s="101" customFormat="1" ht="13.5" thickTop="1" x14ac:dyDescent="0.2">
      <c r="A107" s="391"/>
      <c r="B107" s="391"/>
      <c r="C107" s="392"/>
      <c r="D107" s="405"/>
      <c r="E107" s="392"/>
      <c r="F107" s="392"/>
      <c r="G107" s="408"/>
      <c r="H107" s="394"/>
      <c r="I107" s="391"/>
      <c r="J107" s="391"/>
      <c r="K107" s="392"/>
      <c r="L107" s="405"/>
      <c r="M107" s="392"/>
      <c r="N107" s="392"/>
      <c r="O107" s="392"/>
      <c r="P107" s="71"/>
      <c r="Q107" s="391"/>
      <c r="R107" s="391"/>
      <c r="S107" s="392"/>
      <c r="T107" s="405"/>
      <c r="U107" s="392"/>
      <c r="V107" s="114"/>
      <c r="W107" s="114"/>
      <c r="X107" s="114"/>
      <c r="Y107" s="111"/>
      <c r="Z107" s="111"/>
      <c r="AA107" s="112"/>
      <c r="AB107" s="165"/>
      <c r="AC107" s="112"/>
      <c r="AD107" s="114"/>
      <c r="AE107" s="114"/>
      <c r="AF107" s="114"/>
      <c r="AG107" s="153"/>
      <c r="AH107" s="153"/>
      <c r="AI107" s="153"/>
      <c r="AJ107" s="212"/>
      <c r="AK107" s="106"/>
    </row>
    <row r="108" spans="1:39" s="170" customFormat="1" x14ac:dyDescent="0.2">
      <c r="A108" s="167" t="s">
        <v>289</v>
      </c>
      <c r="B108" s="167"/>
      <c r="C108" s="168"/>
      <c r="D108" s="168"/>
      <c r="E108" s="169" t="e">
        <f>E106/E85</f>
        <v>#REF!</v>
      </c>
      <c r="F108" s="170" t="s">
        <v>395</v>
      </c>
      <c r="G108" s="1128" t="s">
        <v>396</v>
      </c>
      <c r="H108" s="171"/>
      <c r="I108" s="167" t="s">
        <v>289</v>
      </c>
      <c r="J108" s="167"/>
      <c r="K108" s="168"/>
      <c r="L108" s="168"/>
      <c r="M108" s="169" t="e">
        <f>M106/M85</f>
        <v>#REF!</v>
      </c>
      <c r="N108" s="170" t="s">
        <v>395</v>
      </c>
      <c r="O108" s="1128" t="s">
        <v>396</v>
      </c>
      <c r="Q108" s="167" t="s">
        <v>289</v>
      </c>
      <c r="R108" s="167"/>
      <c r="S108" s="168"/>
      <c r="T108" s="168"/>
      <c r="U108" s="169" t="e">
        <f>U106/U85</f>
        <v>#REF!</v>
      </c>
      <c r="V108" s="170" t="s">
        <v>395</v>
      </c>
      <c r="W108" s="1128" t="s">
        <v>396</v>
      </c>
      <c r="Y108" s="167" t="s">
        <v>289</v>
      </c>
      <c r="Z108" s="167"/>
      <c r="AA108" s="168"/>
      <c r="AB108" s="168"/>
      <c r="AC108" s="169" t="e">
        <f>AC106/AC85</f>
        <v>#REF!</v>
      </c>
      <c r="AD108" s="170" t="s">
        <v>395</v>
      </c>
      <c r="AE108" s="1128" t="s">
        <v>396</v>
      </c>
      <c r="AG108" s="153"/>
      <c r="AH108" s="153"/>
      <c r="AI108" s="153"/>
      <c r="AJ108" s="153"/>
      <c r="AK108" s="213"/>
    </row>
    <row r="109" spans="1:39" s="170" customFormat="1" ht="13.5" thickBot="1" x14ac:dyDescent="0.25">
      <c r="A109" s="167" t="s">
        <v>290</v>
      </c>
      <c r="B109" s="167"/>
      <c r="C109" s="172">
        <f>$AK$43</f>
        <v>4.4640068153077195E-2</v>
      </c>
      <c r="D109" s="168"/>
      <c r="E109" s="169"/>
      <c r="F109" s="73"/>
      <c r="G109" s="1128"/>
      <c r="H109" s="171"/>
      <c r="I109" s="167" t="s">
        <v>290</v>
      </c>
      <c r="J109" s="167"/>
      <c r="K109" s="172">
        <f>$AK$43</f>
        <v>4.4640068153077195E-2</v>
      </c>
      <c r="L109" s="168"/>
      <c r="M109" s="169"/>
      <c r="N109" s="73"/>
      <c r="O109" s="1128"/>
      <c r="Q109" s="167" t="s">
        <v>290</v>
      </c>
      <c r="R109" s="167"/>
      <c r="S109" s="172">
        <f>$AK$43</f>
        <v>4.4640068153077195E-2</v>
      </c>
      <c r="T109" s="168"/>
      <c r="U109" s="169"/>
      <c r="V109" s="73"/>
      <c r="W109" s="1128"/>
      <c r="X109" s="73"/>
      <c r="Y109" s="167" t="s">
        <v>290</v>
      </c>
      <c r="Z109" s="167"/>
      <c r="AA109" s="172">
        <f>$AK$43</f>
        <v>4.4640068153077195E-2</v>
      </c>
      <c r="AB109" s="168"/>
      <c r="AC109" s="169"/>
      <c r="AD109" s="73"/>
      <c r="AE109" s="1128"/>
      <c r="AF109" s="73"/>
      <c r="AG109" s="153"/>
      <c r="AH109" s="153"/>
      <c r="AI109" s="153"/>
      <c r="AJ109" s="153"/>
      <c r="AK109" s="213"/>
    </row>
    <row r="110" spans="1:39" x14ac:dyDescent="0.2">
      <c r="A110" s="175" t="s">
        <v>292</v>
      </c>
      <c r="B110" s="130"/>
      <c r="C110" s="176">
        <v>0.9</v>
      </c>
      <c r="D110" s="82"/>
      <c r="E110" s="177" t="e">
        <f t="shared" ref="E110:E118" si="8">E$106/(E$85*C110)</f>
        <v>#REF!</v>
      </c>
      <c r="F110" s="177">
        <v>372.16</v>
      </c>
      <c r="G110" s="742" t="e">
        <f>F110*(#REF!+1)</f>
        <v>#REF!</v>
      </c>
      <c r="I110" s="175" t="s">
        <v>292</v>
      </c>
      <c r="J110" s="130"/>
      <c r="K110" s="176">
        <v>0.9</v>
      </c>
      <c r="L110" s="82"/>
      <c r="M110" s="177" t="e">
        <f t="shared" ref="M110:M118" si="9">M$106/(M$85*K110)</f>
        <v>#REF!</v>
      </c>
      <c r="N110" s="178">
        <v>337.52</v>
      </c>
      <c r="O110" s="742" t="e">
        <f>N110*(#REF!+1)</f>
        <v>#REF!</v>
      </c>
      <c r="Q110" s="175" t="s">
        <v>292</v>
      </c>
      <c r="R110" s="130"/>
      <c r="S110" s="176">
        <v>0.9</v>
      </c>
      <c r="T110" s="82"/>
      <c r="U110" s="177" t="e">
        <f t="shared" ref="U110:U118" si="10">U$106/(U$85*S110)</f>
        <v>#REF!</v>
      </c>
      <c r="V110" s="178">
        <v>297.57</v>
      </c>
      <c r="W110" s="742" t="e">
        <f>V110*(#REF!+1)</f>
        <v>#REF!</v>
      </c>
      <c r="X110" s="77"/>
      <c r="Y110" s="175" t="s">
        <v>292</v>
      </c>
      <c r="Z110" s="130"/>
      <c r="AA110" s="176">
        <v>0.9</v>
      </c>
      <c r="AB110" s="82"/>
      <c r="AC110" s="177" t="e">
        <f t="shared" ref="AC110:AC118" si="11">AC$106/(AC$85*AA110)</f>
        <v>#REF!</v>
      </c>
      <c r="AD110" s="178">
        <v>294.17</v>
      </c>
      <c r="AE110" s="742" t="e">
        <f>AD110*(#REF!+1)</f>
        <v>#REF!</v>
      </c>
      <c r="AF110" s="169"/>
      <c r="AG110" s="153"/>
      <c r="AH110" s="212"/>
      <c r="AI110" s="212"/>
      <c r="AJ110" s="212"/>
      <c r="AK110" s="73"/>
      <c r="AL110" s="72"/>
      <c r="AM110" s="72"/>
    </row>
    <row r="111" spans="1:39" x14ac:dyDescent="0.2">
      <c r="A111" s="181"/>
      <c r="B111" s="73"/>
      <c r="C111" s="182">
        <v>0.85</v>
      </c>
      <c r="D111" s="77"/>
      <c r="E111" s="169" t="e">
        <f t="shared" si="8"/>
        <v>#REF!</v>
      </c>
      <c r="F111" s="169">
        <v>394.06</v>
      </c>
      <c r="G111" s="742" t="e">
        <f>F111*(#REF!+1)</f>
        <v>#REF!</v>
      </c>
      <c r="I111" s="181"/>
      <c r="J111" s="73"/>
      <c r="K111" s="182">
        <v>0.85</v>
      </c>
      <c r="L111" s="77"/>
      <c r="M111" s="169" t="e">
        <f t="shared" si="9"/>
        <v>#REF!</v>
      </c>
      <c r="N111" s="183">
        <v>357.38</v>
      </c>
      <c r="O111" s="742" t="e">
        <f>N111*(#REF!+1)</f>
        <v>#REF!</v>
      </c>
      <c r="Q111" s="181"/>
      <c r="R111" s="73"/>
      <c r="S111" s="182">
        <v>0.85</v>
      </c>
      <c r="T111" s="77"/>
      <c r="U111" s="169" t="e">
        <f t="shared" si="10"/>
        <v>#REF!</v>
      </c>
      <c r="V111" s="183">
        <v>315.08</v>
      </c>
      <c r="W111" s="742" t="e">
        <f>V111*(#REF!+1)</f>
        <v>#REF!</v>
      </c>
      <c r="X111" s="77"/>
      <c r="Y111" s="181"/>
      <c r="Z111" s="73"/>
      <c r="AA111" s="182">
        <v>0.85</v>
      </c>
      <c r="AB111" s="77"/>
      <c r="AC111" s="169" t="e">
        <f t="shared" si="11"/>
        <v>#REF!</v>
      </c>
      <c r="AD111" s="183">
        <v>311.45999999999998</v>
      </c>
      <c r="AE111" s="742" t="e">
        <f>AD111*(#REF!+1)</f>
        <v>#REF!</v>
      </c>
      <c r="AF111" s="169"/>
      <c r="AG111" s="214"/>
      <c r="AH111" s="214"/>
      <c r="AI111" s="214"/>
      <c r="AJ111" s="214"/>
      <c r="AK111" s="73"/>
      <c r="AL111" s="72"/>
      <c r="AM111" s="72"/>
    </row>
    <row r="112" spans="1:39" x14ac:dyDescent="0.2">
      <c r="A112" s="181"/>
      <c r="B112" s="73"/>
      <c r="C112" s="182">
        <v>0.8</v>
      </c>
      <c r="D112" s="77"/>
      <c r="E112" s="169" t="e">
        <f t="shared" si="8"/>
        <v>#REF!</v>
      </c>
      <c r="F112" s="169">
        <v>418.68</v>
      </c>
      <c r="G112" s="742" t="e">
        <f>F112*(#REF!+1)</f>
        <v>#REF!</v>
      </c>
      <c r="I112" s="181"/>
      <c r="J112" s="73"/>
      <c r="K112" s="182">
        <v>0.8</v>
      </c>
      <c r="L112" s="77"/>
      <c r="M112" s="169" t="e">
        <f t="shared" si="9"/>
        <v>#REF!</v>
      </c>
      <c r="N112" s="183">
        <v>379.71</v>
      </c>
      <c r="O112" s="742" t="e">
        <f>N112*(#REF!+1)</f>
        <v>#REF!</v>
      </c>
      <c r="Q112" s="181"/>
      <c r="R112" s="73"/>
      <c r="S112" s="182">
        <v>0.8</v>
      </c>
      <c r="T112" s="77"/>
      <c r="U112" s="169" t="e">
        <f t="shared" si="10"/>
        <v>#REF!</v>
      </c>
      <c r="V112" s="183">
        <v>334.77</v>
      </c>
      <c r="W112" s="742" t="e">
        <f>V112*(#REF!+1)</f>
        <v>#REF!</v>
      </c>
      <c r="X112" s="77"/>
      <c r="Y112" s="181"/>
      <c r="Z112" s="73"/>
      <c r="AA112" s="182">
        <v>0.8</v>
      </c>
      <c r="AB112" s="77"/>
      <c r="AC112" s="169" t="e">
        <f t="shared" si="11"/>
        <v>#REF!</v>
      </c>
      <c r="AD112" s="183">
        <v>330.93</v>
      </c>
      <c r="AE112" s="742" t="e">
        <f>AD112*(#REF!+1)</f>
        <v>#REF!</v>
      </c>
      <c r="AF112" s="169"/>
      <c r="AG112" s="209"/>
      <c r="AH112" s="210"/>
      <c r="AI112" s="211"/>
      <c r="AJ112" s="210"/>
      <c r="AK112" s="73"/>
      <c r="AL112" s="72"/>
      <c r="AM112" s="72"/>
    </row>
    <row r="113" spans="1:39" x14ac:dyDescent="0.2">
      <c r="A113" s="181"/>
      <c r="B113" s="73"/>
      <c r="C113" s="182">
        <v>0.75</v>
      </c>
      <c r="D113" s="77"/>
      <c r="E113" s="169" t="e">
        <f t="shared" si="8"/>
        <v>#REF!</v>
      </c>
      <c r="F113" s="169">
        <v>446.6</v>
      </c>
      <c r="G113" s="742" t="e">
        <f>F113*(#REF!+1)</f>
        <v>#REF!</v>
      </c>
      <c r="I113" s="181"/>
      <c r="J113" s="73"/>
      <c r="K113" s="182">
        <v>0.75</v>
      </c>
      <c r="L113" s="77"/>
      <c r="M113" s="169" t="e">
        <f t="shared" si="9"/>
        <v>#REF!</v>
      </c>
      <c r="N113" s="183">
        <v>405.03</v>
      </c>
      <c r="O113" s="742" t="e">
        <f>N113*(#REF!+1)</f>
        <v>#REF!</v>
      </c>
      <c r="Q113" s="181"/>
      <c r="R113" s="73"/>
      <c r="S113" s="182">
        <v>0.75</v>
      </c>
      <c r="T113" s="77"/>
      <c r="U113" s="169" t="e">
        <f t="shared" si="10"/>
        <v>#REF!</v>
      </c>
      <c r="V113" s="183">
        <v>357.08</v>
      </c>
      <c r="W113" s="742" t="e">
        <f>V113*(#REF!+1)</f>
        <v>#REF!</v>
      </c>
      <c r="X113" s="77"/>
      <c r="Y113" s="181"/>
      <c r="Z113" s="73"/>
      <c r="AA113" s="182">
        <v>0.75</v>
      </c>
      <c r="AB113" s="77"/>
      <c r="AC113" s="169" t="e">
        <f t="shared" si="11"/>
        <v>#REF!</v>
      </c>
      <c r="AD113" s="183">
        <v>353</v>
      </c>
      <c r="AE113" s="742" t="e">
        <f>AD113*(#REF!+1)</f>
        <v>#REF!</v>
      </c>
      <c r="AF113" s="169"/>
      <c r="AG113" s="153"/>
      <c r="AH113" s="153"/>
      <c r="AI113" s="153"/>
      <c r="AJ113" s="153"/>
      <c r="AK113" s="73"/>
      <c r="AL113" s="72"/>
      <c r="AM113" s="72"/>
    </row>
    <row r="114" spans="1:39" x14ac:dyDescent="0.2">
      <c r="A114" s="181"/>
      <c r="B114" s="73"/>
      <c r="C114" s="182">
        <v>0.7</v>
      </c>
      <c r="D114" s="77"/>
      <c r="E114" s="169" t="e">
        <f t="shared" si="8"/>
        <v>#REF!</v>
      </c>
      <c r="F114" s="169">
        <v>478.5</v>
      </c>
      <c r="G114" s="742" t="e">
        <f>F114*(#REF!+1)</f>
        <v>#REF!</v>
      </c>
      <c r="I114" s="181"/>
      <c r="J114" s="73"/>
      <c r="K114" s="182">
        <v>0.7</v>
      </c>
      <c r="L114" s="77"/>
      <c r="M114" s="169" t="e">
        <f t="shared" si="9"/>
        <v>#REF!</v>
      </c>
      <c r="N114" s="183">
        <v>433.96</v>
      </c>
      <c r="O114" s="742" t="e">
        <f>N114*(#REF!+1)</f>
        <v>#REF!</v>
      </c>
      <c r="Q114" s="181"/>
      <c r="R114" s="73"/>
      <c r="S114" s="182">
        <v>0.7</v>
      </c>
      <c r="T114" s="77"/>
      <c r="U114" s="169" t="e">
        <f t="shared" si="10"/>
        <v>#REF!</v>
      </c>
      <c r="V114" s="183">
        <v>382.58</v>
      </c>
      <c r="W114" s="742" t="e">
        <f>V114*(#REF!+1)</f>
        <v>#REF!</v>
      </c>
      <c r="X114" s="77"/>
      <c r="Y114" s="181"/>
      <c r="Z114" s="73"/>
      <c r="AA114" s="182">
        <v>0.7</v>
      </c>
      <c r="AB114" s="77"/>
      <c r="AC114" s="169" t="e">
        <f t="shared" si="11"/>
        <v>#REF!</v>
      </c>
      <c r="AD114" s="183">
        <v>378.21</v>
      </c>
      <c r="AE114" s="742" t="e">
        <f>AD114*(#REF!+1)</f>
        <v>#REF!</v>
      </c>
      <c r="AF114" s="169"/>
      <c r="AG114" s="153"/>
      <c r="AH114" s="153"/>
      <c r="AI114" s="153"/>
      <c r="AJ114" s="153"/>
      <c r="AK114" s="73"/>
      <c r="AL114" s="72"/>
      <c r="AM114" s="72"/>
    </row>
    <row r="115" spans="1:39" x14ac:dyDescent="0.2">
      <c r="A115" s="181"/>
      <c r="B115" s="73"/>
      <c r="C115" s="182">
        <v>0.65</v>
      </c>
      <c r="D115" s="77"/>
      <c r="E115" s="169" t="e">
        <f t="shared" si="8"/>
        <v>#REF!</v>
      </c>
      <c r="F115" s="169">
        <v>515.30999999999995</v>
      </c>
      <c r="G115" s="742" t="e">
        <f>F115*(#REF!+1)</f>
        <v>#REF!</v>
      </c>
      <c r="I115" s="181"/>
      <c r="J115" s="73"/>
      <c r="K115" s="182">
        <v>0.65</v>
      </c>
      <c r="L115" s="77"/>
      <c r="M115" s="169" t="e">
        <f t="shared" si="9"/>
        <v>#REF!</v>
      </c>
      <c r="N115" s="183">
        <v>467.34</v>
      </c>
      <c r="O115" s="742" t="e">
        <f>N115*(#REF!+1)</f>
        <v>#REF!</v>
      </c>
      <c r="Q115" s="181"/>
      <c r="R115" s="73"/>
      <c r="S115" s="182">
        <v>0.65</v>
      </c>
      <c r="T115" s="77"/>
      <c r="U115" s="169" t="e">
        <f t="shared" si="10"/>
        <v>#REF!</v>
      </c>
      <c r="V115" s="183">
        <v>412.02</v>
      </c>
      <c r="W115" s="742" t="e">
        <f>V115*(#REF!+1)</f>
        <v>#REF!</v>
      </c>
      <c r="X115" s="77"/>
      <c r="Y115" s="181"/>
      <c r="Z115" s="73"/>
      <c r="AA115" s="182">
        <v>0.65</v>
      </c>
      <c r="AB115" s="77"/>
      <c r="AC115" s="169" t="e">
        <f t="shared" si="11"/>
        <v>#REF!</v>
      </c>
      <c r="AD115" s="183">
        <v>407.31</v>
      </c>
      <c r="AE115" s="742" t="e">
        <f>AD115*(#REF!+1)</f>
        <v>#REF!</v>
      </c>
      <c r="AF115" s="169"/>
      <c r="AH115" s="73"/>
      <c r="AI115" s="73"/>
      <c r="AJ115" s="73"/>
      <c r="AK115" s="73"/>
      <c r="AL115" s="72"/>
      <c r="AM115" s="72"/>
    </row>
    <row r="116" spans="1:39" x14ac:dyDescent="0.2">
      <c r="A116" s="181"/>
      <c r="B116" s="73"/>
      <c r="C116" s="182">
        <v>0.6</v>
      </c>
      <c r="D116" s="77"/>
      <c r="E116" s="169" t="e">
        <f t="shared" si="8"/>
        <v>#REF!</v>
      </c>
      <c r="F116" s="169">
        <v>558.25</v>
      </c>
      <c r="G116" s="742" t="e">
        <f>F116*(#REF!+1)</f>
        <v>#REF!</v>
      </c>
      <c r="I116" s="181"/>
      <c r="J116" s="73"/>
      <c r="K116" s="182">
        <v>0.6</v>
      </c>
      <c r="L116" s="77"/>
      <c r="M116" s="169" t="e">
        <f t="shared" si="9"/>
        <v>#REF!</v>
      </c>
      <c r="N116" s="183">
        <v>506.29</v>
      </c>
      <c r="O116" s="742" t="e">
        <f>N116*(#REF!+1)</f>
        <v>#REF!</v>
      </c>
      <c r="Q116" s="181"/>
      <c r="R116" s="73"/>
      <c r="S116" s="182">
        <v>0.6</v>
      </c>
      <c r="T116" s="77"/>
      <c r="U116" s="169" t="e">
        <f t="shared" si="10"/>
        <v>#REF!</v>
      </c>
      <c r="V116" s="183">
        <v>446.35</v>
      </c>
      <c r="W116" s="742" t="e">
        <f>V116*(#REF!+1)</f>
        <v>#REF!</v>
      </c>
      <c r="X116" s="77"/>
      <c r="Y116" s="181"/>
      <c r="Z116" s="73"/>
      <c r="AA116" s="182">
        <v>0.6</v>
      </c>
      <c r="AB116" s="77"/>
      <c r="AC116" s="169" t="e">
        <f t="shared" si="11"/>
        <v>#REF!</v>
      </c>
      <c r="AD116" s="183">
        <v>441.24</v>
      </c>
      <c r="AE116" s="742" t="e">
        <f>AD116*(#REF!+1)</f>
        <v>#REF!</v>
      </c>
      <c r="AF116" s="169"/>
      <c r="AG116" s="180"/>
      <c r="AH116" s="73"/>
      <c r="AI116" s="73"/>
      <c r="AJ116" s="73"/>
      <c r="AK116" s="73"/>
      <c r="AL116" s="72"/>
      <c r="AM116" s="72"/>
    </row>
    <row r="117" spans="1:39" x14ac:dyDescent="0.2">
      <c r="A117" s="181"/>
      <c r="B117" s="73"/>
      <c r="C117" s="182">
        <v>0.55000000000000004</v>
      </c>
      <c r="D117" s="77"/>
      <c r="E117" s="169" t="e">
        <f t="shared" si="8"/>
        <v>#REF!</v>
      </c>
      <c r="F117" s="169">
        <v>609</v>
      </c>
      <c r="G117" s="742" t="e">
        <f>F117*(#REF!+1)</f>
        <v>#REF!</v>
      </c>
      <c r="I117" s="181"/>
      <c r="J117" s="73"/>
      <c r="K117" s="182">
        <v>0.55000000000000004</v>
      </c>
      <c r="L117" s="77"/>
      <c r="M117" s="169" t="e">
        <f t="shared" si="9"/>
        <v>#REF!</v>
      </c>
      <c r="N117" s="183">
        <v>552.32000000000005</v>
      </c>
      <c r="O117" s="742" t="e">
        <f>N117*(#REF!+1)</f>
        <v>#REF!</v>
      </c>
      <c r="Q117" s="181"/>
      <c r="R117" s="73"/>
      <c r="S117" s="182">
        <v>0.55000000000000004</v>
      </c>
      <c r="T117" s="77"/>
      <c r="U117" s="169" t="e">
        <f t="shared" si="10"/>
        <v>#REF!</v>
      </c>
      <c r="V117" s="183">
        <v>486.93</v>
      </c>
      <c r="W117" s="742" t="e">
        <f>V117*(#REF!+1)</f>
        <v>#REF!</v>
      </c>
      <c r="X117" s="77"/>
      <c r="Y117" s="181"/>
      <c r="Z117" s="73"/>
      <c r="AA117" s="182">
        <v>0.55000000000000004</v>
      </c>
      <c r="AB117" s="77"/>
      <c r="AC117" s="169" t="e">
        <f t="shared" si="11"/>
        <v>#REF!</v>
      </c>
      <c r="AD117" s="183">
        <v>481.36</v>
      </c>
      <c r="AE117" s="742" t="e">
        <f>AD117*(#REF!+1)</f>
        <v>#REF!</v>
      </c>
      <c r="AF117" s="169"/>
      <c r="AH117" s="186"/>
      <c r="AI117" s="73"/>
      <c r="AJ117" s="73"/>
      <c r="AK117" s="106"/>
      <c r="AL117" s="101"/>
      <c r="AM117" s="101"/>
    </row>
    <row r="118" spans="1:39" ht="13.5" thickBot="1" x14ac:dyDescent="0.25">
      <c r="A118" s="189"/>
      <c r="B118" s="190"/>
      <c r="C118" s="191">
        <v>0.5</v>
      </c>
      <c r="D118" s="192"/>
      <c r="E118" s="193" t="e">
        <f t="shared" si="8"/>
        <v>#REF!</v>
      </c>
      <c r="F118" s="193">
        <v>669.9</v>
      </c>
      <c r="G118" s="742" t="e">
        <f>F118*(#REF!+1)</f>
        <v>#REF!</v>
      </c>
      <c r="I118" s="189"/>
      <c r="J118" s="190"/>
      <c r="K118" s="191">
        <v>0.5</v>
      </c>
      <c r="L118" s="192"/>
      <c r="M118" s="193" t="e">
        <f t="shared" si="9"/>
        <v>#REF!</v>
      </c>
      <c r="N118" s="194">
        <v>607.54999999999995</v>
      </c>
      <c r="O118" s="742" t="e">
        <f>N118*(#REF!+1)</f>
        <v>#REF!</v>
      </c>
      <c r="Q118" s="189"/>
      <c r="R118" s="190"/>
      <c r="S118" s="191">
        <v>0.5</v>
      </c>
      <c r="T118" s="192"/>
      <c r="U118" s="193" t="e">
        <f t="shared" si="10"/>
        <v>#REF!</v>
      </c>
      <c r="V118" s="194">
        <v>535.62</v>
      </c>
      <c r="W118" s="742" t="e">
        <f>V118*(#REF!+1)</f>
        <v>#REF!</v>
      </c>
      <c r="X118" s="77"/>
      <c r="Y118" s="189"/>
      <c r="Z118" s="190"/>
      <c r="AA118" s="191">
        <v>0.5</v>
      </c>
      <c r="AB118" s="192"/>
      <c r="AC118" s="193" t="e">
        <f t="shared" si="11"/>
        <v>#REF!</v>
      </c>
      <c r="AD118" s="194">
        <v>529.49</v>
      </c>
      <c r="AE118" s="742" t="e">
        <f>AD118*(#REF!+1)</f>
        <v>#REF!</v>
      </c>
      <c r="AF118" s="169"/>
      <c r="AG118" s="185"/>
      <c r="AH118" s="197"/>
      <c r="AI118" s="198"/>
      <c r="AJ118" s="73"/>
      <c r="AK118" s="73"/>
      <c r="AL118" s="72"/>
      <c r="AM118" s="72"/>
    </row>
    <row r="119" spans="1:39" ht="13.5" thickBot="1" x14ac:dyDescent="0.25">
      <c r="A119" s="168"/>
      <c r="B119" s="73"/>
      <c r="C119" s="182"/>
      <c r="D119" s="77"/>
      <c r="E119" s="169"/>
      <c r="F119" s="169"/>
      <c r="G119" s="408"/>
      <c r="I119" s="168"/>
      <c r="J119" s="73"/>
      <c r="K119" s="182"/>
      <c r="L119" s="77"/>
      <c r="M119" s="169"/>
      <c r="N119" s="169"/>
      <c r="O119" s="169"/>
      <c r="Q119" s="168"/>
      <c r="R119" s="73"/>
      <c r="S119" s="182"/>
      <c r="T119" s="77"/>
      <c r="U119" s="169"/>
      <c r="V119" s="169"/>
      <c r="W119" s="169"/>
      <c r="X119" s="77"/>
      <c r="Y119" s="168"/>
      <c r="Z119" s="73"/>
      <c r="AA119" s="182"/>
      <c r="AB119" s="77"/>
      <c r="AC119" s="169"/>
      <c r="AD119" s="169"/>
      <c r="AE119" s="169"/>
      <c r="AF119" s="169"/>
      <c r="AG119" s="185"/>
      <c r="AH119" s="197"/>
      <c r="AI119" s="198"/>
      <c r="AJ119" s="73"/>
      <c r="AK119" s="73"/>
      <c r="AL119" s="72"/>
      <c r="AM119" s="72"/>
    </row>
    <row r="120" spans="1:39" ht="13.5" thickBot="1" x14ac:dyDescent="0.25">
      <c r="A120" s="1119" t="s">
        <v>299</v>
      </c>
      <c r="B120" s="1120"/>
      <c r="G120" s="408"/>
      <c r="AJ120" s="184"/>
      <c r="AK120" s="77"/>
      <c r="AL120" s="72"/>
      <c r="AM120" s="72"/>
    </row>
    <row r="121" spans="1:39" ht="14.25" customHeight="1" x14ac:dyDescent="0.2">
      <c r="A121" s="78"/>
      <c r="B121" s="74"/>
      <c r="C121" s="90" t="s">
        <v>255</v>
      </c>
      <c r="D121" s="91"/>
      <c r="E121" s="92"/>
      <c r="F121" s="92"/>
      <c r="G121" s="408"/>
      <c r="H121" s="93"/>
      <c r="I121" s="1121" t="s">
        <v>256</v>
      </c>
      <c r="J121" s="1121"/>
      <c r="K121" s="1121"/>
      <c r="L121" s="1121"/>
      <c r="M121" s="1121"/>
      <c r="N121" s="92"/>
      <c r="O121" s="92"/>
      <c r="Q121" s="78"/>
      <c r="R121" s="74"/>
      <c r="S121" s="90" t="s">
        <v>257</v>
      </c>
      <c r="T121" s="91"/>
      <c r="U121" s="92"/>
      <c r="V121" s="93"/>
      <c r="W121" s="93"/>
      <c r="X121" s="93"/>
      <c r="Y121" s="78"/>
      <c r="Z121" s="74"/>
      <c r="AA121" s="90" t="s">
        <v>258</v>
      </c>
      <c r="AB121" s="91"/>
      <c r="AC121" s="92"/>
      <c r="AD121" s="93"/>
      <c r="AE121" s="93"/>
      <c r="AF121" s="93"/>
      <c r="AG121" s="184"/>
      <c r="AI121" s="73"/>
      <c r="AJ121" s="73"/>
      <c r="AK121" s="73"/>
      <c r="AL121" s="72"/>
      <c r="AM121" s="72"/>
    </row>
    <row r="122" spans="1:39" s="101" customFormat="1" x14ac:dyDescent="0.2">
      <c r="A122" s="94" t="s">
        <v>261</v>
      </c>
      <c r="B122" s="95" t="s">
        <v>339</v>
      </c>
      <c r="C122" s="96" t="s">
        <v>262</v>
      </c>
      <c r="D122" s="97">
        <v>365</v>
      </c>
      <c r="E122" s="98">
        <f>D122*B123</f>
        <v>4380</v>
      </c>
      <c r="F122" s="98"/>
      <c r="G122" s="408"/>
      <c r="H122" s="99"/>
      <c r="I122" s="94" t="s">
        <v>261</v>
      </c>
      <c r="J122" s="100" t="s">
        <v>340</v>
      </c>
      <c r="K122" s="96" t="s">
        <v>262</v>
      </c>
      <c r="L122" s="97">
        <v>365</v>
      </c>
      <c r="M122" s="98">
        <f>J123*L122</f>
        <v>5657.5</v>
      </c>
      <c r="N122" s="98"/>
      <c r="O122" s="98"/>
      <c r="Q122" s="94" t="s">
        <v>261</v>
      </c>
      <c r="R122" s="102" t="s">
        <v>263</v>
      </c>
      <c r="S122" s="96" t="s">
        <v>262</v>
      </c>
      <c r="T122" s="97">
        <v>365</v>
      </c>
      <c r="U122" s="98">
        <f>R123*T122</f>
        <v>7300</v>
      </c>
      <c r="V122" s="99"/>
      <c r="W122" s="99"/>
      <c r="X122" s="99"/>
      <c r="Y122" s="94" t="s">
        <v>261</v>
      </c>
      <c r="Z122" s="102" t="s">
        <v>264</v>
      </c>
      <c r="AA122" s="96" t="s">
        <v>262</v>
      </c>
      <c r="AB122" s="97">
        <v>365</v>
      </c>
      <c r="AC122" s="98">
        <f>Z123*AB122</f>
        <v>9125</v>
      </c>
      <c r="AD122" s="99"/>
      <c r="AE122" s="99"/>
      <c r="AF122" s="99"/>
      <c r="AG122" s="106"/>
      <c r="AH122" s="106"/>
      <c r="AI122" s="106"/>
      <c r="AJ122" s="106"/>
      <c r="AK122" s="106"/>
    </row>
    <row r="123" spans="1:39" s="101" customFormat="1" x14ac:dyDescent="0.2">
      <c r="A123" s="94"/>
      <c r="B123" s="102">
        <v>12</v>
      </c>
      <c r="C123" s="96"/>
      <c r="D123" s="97"/>
      <c r="E123" s="98"/>
      <c r="F123" s="98"/>
      <c r="G123" s="408"/>
      <c r="H123" s="99"/>
      <c r="I123" s="94"/>
      <c r="J123" s="102">
        <v>15.5</v>
      </c>
      <c r="K123" s="96"/>
      <c r="L123" s="97"/>
      <c r="M123" s="98"/>
      <c r="N123" s="98"/>
      <c r="O123" s="98"/>
      <c r="Q123" s="94"/>
      <c r="R123" s="102">
        <v>20</v>
      </c>
      <c r="S123" s="96"/>
      <c r="T123" s="97"/>
      <c r="U123" s="98"/>
      <c r="V123" s="99"/>
      <c r="W123" s="99"/>
      <c r="X123" s="99"/>
      <c r="Y123" s="94"/>
      <c r="Z123" s="102">
        <v>25</v>
      </c>
      <c r="AA123" s="96"/>
      <c r="AB123" s="97"/>
      <c r="AC123" s="98"/>
      <c r="AD123" s="99"/>
      <c r="AE123" s="99"/>
      <c r="AF123" s="99"/>
      <c r="AG123" s="106"/>
      <c r="AH123" s="106"/>
      <c r="AI123" s="106"/>
      <c r="AJ123" s="106"/>
      <c r="AK123" s="106"/>
    </row>
    <row r="124" spans="1:39" s="101" customFormat="1" x14ac:dyDescent="0.2">
      <c r="A124" s="94"/>
      <c r="B124" s="102"/>
      <c r="C124" s="108"/>
      <c r="D124" s="97"/>
      <c r="E124" s="98"/>
      <c r="F124" s="98"/>
      <c r="G124" s="408"/>
      <c r="H124" s="99"/>
      <c r="I124" s="94"/>
      <c r="J124" s="102"/>
      <c r="K124" s="96"/>
      <c r="L124" s="97"/>
      <c r="M124" s="98"/>
      <c r="N124" s="98"/>
      <c r="O124" s="98"/>
      <c r="Q124" s="94"/>
      <c r="R124" s="102"/>
      <c r="S124" s="96"/>
      <c r="T124" s="97"/>
      <c r="U124" s="98"/>
      <c r="V124" s="99"/>
      <c r="W124" s="99"/>
      <c r="X124" s="99"/>
      <c r="Y124" s="94"/>
      <c r="Z124" s="102"/>
      <c r="AA124" s="96"/>
      <c r="AB124" s="97"/>
      <c r="AC124" s="98"/>
      <c r="AD124" s="99"/>
      <c r="AE124" s="99"/>
      <c r="AF124" s="99"/>
      <c r="AG124" s="106"/>
      <c r="AH124" s="204"/>
      <c r="AI124" s="106"/>
      <c r="AJ124" s="106"/>
      <c r="AK124" s="106"/>
    </row>
    <row r="125" spans="1:39" s="357" customFormat="1" ht="28.5" customHeight="1" x14ac:dyDescent="0.2">
      <c r="A125" s="356"/>
      <c r="B125" s="292" t="s">
        <v>269</v>
      </c>
      <c r="C125" s="293" t="s">
        <v>341</v>
      </c>
      <c r="D125" s="294" t="s">
        <v>270</v>
      </c>
      <c r="E125" s="293" t="s">
        <v>342</v>
      </c>
      <c r="F125" s="293"/>
      <c r="G125" s="408"/>
      <c r="H125" s="207"/>
      <c r="I125" s="356"/>
      <c r="J125" s="292" t="s">
        <v>269</v>
      </c>
      <c r="K125" s="293" t="s">
        <v>341</v>
      </c>
      <c r="L125" s="294" t="s">
        <v>270</v>
      </c>
      <c r="M125" s="293" t="s">
        <v>342</v>
      </c>
      <c r="N125" s="293"/>
      <c r="O125" s="293"/>
      <c r="Q125" s="356"/>
      <c r="R125" s="292" t="s">
        <v>269</v>
      </c>
      <c r="S125" s="293" t="s">
        <v>341</v>
      </c>
      <c r="T125" s="294" t="s">
        <v>270</v>
      </c>
      <c r="U125" s="293" t="s">
        <v>342</v>
      </c>
      <c r="V125" s="207"/>
      <c r="W125" s="207"/>
      <c r="X125" s="207"/>
      <c r="Y125" s="356"/>
      <c r="Z125" s="292" t="s">
        <v>269</v>
      </c>
      <c r="AA125" s="293" t="s">
        <v>341</v>
      </c>
      <c r="AB125" s="294" t="s">
        <v>270</v>
      </c>
      <c r="AC125" s="293" t="s">
        <v>342</v>
      </c>
      <c r="AD125" s="207"/>
      <c r="AE125" s="207"/>
      <c r="AF125" s="207"/>
      <c r="AG125" s="205"/>
      <c r="AH125" s="205"/>
      <c r="AI125" s="205"/>
      <c r="AJ125" s="205"/>
      <c r="AK125" s="354"/>
    </row>
    <row r="126" spans="1:39" s="75" customFormat="1" x14ac:dyDescent="0.2">
      <c r="A126" s="380" t="s">
        <v>272</v>
      </c>
      <c r="B126" s="381"/>
      <c r="C126" s="382">
        <f>$AK$11</f>
        <v>59700.570397111915</v>
      </c>
      <c r="D126" s="124">
        <f>AJ18</f>
        <v>2.15</v>
      </c>
      <c r="E126" s="157">
        <f>C126*D126</f>
        <v>128356.22635379061</v>
      </c>
      <c r="F126" s="157"/>
      <c r="G126" s="408"/>
      <c r="H126" s="158"/>
      <c r="I126" s="380" t="s">
        <v>272</v>
      </c>
      <c r="J126" s="381"/>
      <c r="K126" s="382">
        <f>$AK$11</f>
        <v>59700.570397111915</v>
      </c>
      <c r="L126" s="124">
        <f>AJ18</f>
        <v>2.15</v>
      </c>
      <c r="M126" s="157">
        <f>K126*L126</f>
        <v>128356.22635379061</v>
      </c>
      <c r="N126" s="157"/>
      <c r="O126" s="157"/>
      <c r="P126" s="157"/>
      <c r="Q126" s="380" t="s">
        <v>272</v>
      </c>
      <c r="R126" s="381"/>
      <c r="S126" s="382">
        <f>$AK$11</f>
        <v>59700.570397111915</v>
      </c>
      <c r="T126" s="124">
        <f>AJ18</f>
        <v>2.15</v>
      </c>
      <c r="U126" s="157">
        <f>S126*T126</f>
        <v>128356.22635379061</v>
      </c>
      <c r="V126" s="158"/>
      <c r="W126" s="158"/>
      <c r="X126" s="77"/>
      <c r="Y126" s="380" t="s">
        <v>272</v>
      </c>
      <c r="Z126" s="381"/>
      <c r="AA126" s="382">
        <f>$AK$11</f>
        <v>59700.570397111915</v>
      </c>
      <c r="AB126" s="124">
        <f>AJ18</f>
        <v>2.15</v>
      </c>
      <c r="AC126" s="157">
        <f>AA126*AB126</f>
        <v>128356.22635379061</v>
      </c>
      <c r="AD126" s="77"/>
      <c r="AE126" s="77"/>
      <c r="AF126" s="77"/>
      <c r="AG126" s="87"/>
      <c r="AH126" s="77"/>
      <c r="AI126" s="77"/>
      <c r="AJ126" s="77"/>
      <c r="AK126" s="77"/>
    </row>
    <row r="127" spans="1:39" s="75" customFormat="1" x14ac:dyDescent="0.2">
      <c r="A127" s="380" t="s">
        <v>273</v>
      </c>
      <c r="B127" s="381"/>
      <c r="C127" s="382">
        <f>$AK$12</f>
        <v>51947.798987144524</v>
      </c>
      <c r="D127" s="124">
        <f>AJ19</f>
        <v>3</v>
      </c>
      <c r="E127" s="157">
        <f>C127*D127</f>
        <v>155843.39696143358</v>
      </c>
      <c r="F127" s="157"/>
      <c r="G127" s="408"/>
      <c r="H127" s="158"/>
      <c r="I127" s="380" t="s">
        <v>273</v>
      </c>
      <c r="J127" s="381"/>
      <c r="K127" s="382">
        <f>$AK$12</f>
        <v>51947.798987144524</v>
      </c>
      <c r="L127" s="124">
        <f>$AK$19</f>
        <v>3</v>
      </c>
      <c r="M127" s="157">
        <f>K127*L127</f>
        <v>155843.39696143358</v>
      </c>
      <c r="N127" s="157"/>
      <c r="O127" s="157"/>
      <c r="P127" s="157"/>
      <c r="Q127" s="380" t="s">
        <v>273</v>
      </c>
      <c r="R127" s="381"/>
      <c r="S127" s="382">
        <f>$AK$12</f>
        <v>51947.798987144524</v>
      </c>
      <c r="T127" s="124">
        <f>AJ19</f>
        <v>3</v>
      </c>
      <c r="U127" s="157">
        <f>S127*T127</f>
        <v>155843.39696143358</v>
      </c>
      <c r="V127" s="158"/>
      <c r="W127" s="158"/>
      <c r="X127" s="77"/>
      <c r="Y127" s="380" t="s">
        <v>273</v>
      </c>
      <c r="Z127" s="381"/>
      <c r="AA127" s="382">
        <f>$AK$12</f>
        <v>51947.798987144524</v>
      </c>
      <c r="AB127" s="124">
        <f>AJ19</f>
        <v>3</v>
      </c>
      <c r="AC127" s="157">
        <f>AA127*AB127</f>
        <v>155843.39696143358</v>
      </c>
      <c r="AD127" s="77"/>
      <c r="AE127" s="77"/>
      <c r="AF127" s="77"/>
      <c r="AG127" s="205"/>
      <c r="AH127" s="87"/>
      <c r="AI127" s="77"/>
      <c r="AJ127" s="77"/>
      <c r="AK127" s="77"/>
    </row>
    <row r="128" spans="1:39" s="133" customFormat="1" x14ac:dyDescent="0.2">
      <c r="A128" s="383" t="s">
        <v>275</v>
      </c>
      <c r="B128" s="124">
        <f>AJ27</f>
        <v>0.8482142857142857</v>
      </c>
      <c r="C128" s="382">
        <f>$AK$13</f>
        <v>31102.5</v>
      </c>
      <c r="D128" s="124">
        <f>B123/B128</f>
        <v>14.147368421052631</v>
      </c>
      <c r="E128" s="157">
        <f>C128*D128</f>
        <v>440018.52631578944</v>
      </c>
      <c r="F128" s="157"/>
      <c r="G128" s="408"/>
      <c r="H128" s="158"/>
      <c r="I128" s="383" t="s">
        <v>275</v>
      </c>
      <c r="J128" s="124">
        <f>AK27</f>
        <v>0.85815273477812182</v>
      </c>
      <c r="K128" s="382">
        <f>$AK$13</f>
        <v>31102.5</v>
      </c>
      <c r="L128" s="124">
        <f>J123/J128</f>
        <v>18.062052792976971</v>
      </c>
      <c r="M128" s="157">
        <f>K128*L128</f>
        <v>561774.99699356628</v>
      </c>
      <c r="N128" s="157"/>
      <c r="O128" s="157"/>
      <c r="P128" s="243"/>
      <c r="Q128" s="383" t="s">
        <v>275</v>
      </c>
      <c r="R128" s="124">
        <f>AL27</f>
        <v>0.92860869565217397</v>
      </c>
      <c r="S128" s="382">
        <f>$AK$13</f>
        <v>31102.5</v>
      </c>
      <c r="T128" s="124">
        <f>R123/R128</f>
        <v>21.537597153291504</v>
      </c>
      <c r="U128" s="157">
        <f>S128*T128</f>
        <v>669873.11546024901</v>
      </c>
      <c r="V128" s="158"/>
      <c r="W128" s="158"/>
      <c r="X128" s="77"/>
      <c r="Y128" s="383" t="s">
        <v>275</v>
      </c>
      <c r="Z128" s="124">
        <f>'FTE Ratios'!$N$26</f>
        <v>0.93530864197530861</v>
      </c>
      <c r="AA128" s="382">
        <f>$AK$13</f>
        <v>31102.5</v>
      </c>
      <c r="AB128" s="124">
        <f>Z123/Z128</f>
        <v>26.729144667370644</v>
      </c>
      <c r="AC128" s="157">
        <f>AA128*AB128</f>
        <v>831343.22201689542</v>
      </c>
      <c r="AD128" s="77"/>
      <c r="AE128" s="77"/>
      <c r="AF128" s="77"/>
      <c r="AG128" s="86"/>
      <c r="AH128" s="87"/>
      <c r="AI128" s="88"/>
      <c r="AJ128" s="88"/>
      <c r="AK128" s="88"/>
    </row>
    <row r="129" spans="1:39" s="133" customFormat="1" x14ac:dyDescent="0.2">
      <c r="A129" s="383" t="s">
        <v>276</v>
      </c>
      <c r="B129" s="124"/>
      <c r="C129" s="382">
        <f>$AK$13</f>
        <v>31102.5</v>
      </c>
      <c r="D129" s="124">
        <f>D128*$AJ$8</f>
        <v>2.7750607287449394</v>
      </c>
      <c r="E129" s="157">
        <f>C129*D129</f>
        <v>86311.326315789483</v>
      </c>
      <c r="F129" s="157"/>
      <c r="G129" s="408"/>
      <c r="H129" s="158"/>
      <c r="I129" s="383" t="s">
        <v>276</v>
      </c>
      <c r="J129" s="124"/>
      <c r="K129" s="382">
        <f>$AK$13</f>
        <v>31102.5</v>
      </c>
      <c r="L129" s="124">
        <f>L128*$AJ$8</f>
        <v>3.5429411247762519</v>
      </c>
      <c r="M129" s="157">
        <f>K129*L129</f>
        <v>110194.32633335337</v>
      </c>
      <c r="N129" s="157"/>
      <c r="O129" s="157"/>
      <c r="P129" s="243"/>
      <c r="Q129" s="383" t="s">
        <v>276</v>
      </c>
      <c r="R129" s="124"/>
      <c r="S129" s="382">
        <f>$AK$13</f>
        <v>31102.5</v>
      </c>
      <c r="T129" s="124">
        <f>T128*$AJ$8</f>
        <v>4.2246825185302566</v>
      </c>
      <c r="U129" s="157">
        <f>S129*T129</f>
        <v>131398.18803258729</v>
      </c>
      <c r="V129" s="158"/>
      <c r="W129" s="158"/>
      <c r="X129" s="77"/>
      <c r="Y129" s="383" t="s">
        <v>276</v>
      </c>
      <c r="Z129" s="124"/>
      <c r="AA129" s="382">
        <f>$AK$13</f>
        <v>31102.5</v>
      </c>
      <c r="AB129" s="124">
        <f>AB128*$AJ$8</f>
        <v>5.2430245309073182</v>
      </c>
      <c r="AC129" s="157">
        <f>AA129*AB129</f>
        <v>163071.17047254488</v>
      </c>
      <c r="AD129" s="77"/>
      <c r="AE129" s="77"/>
      <c r="AF129" s="77"/>
      <c r="AG129" s="86"/>
      <c r="AH129" s="87"/>
      <c r="AI129" s="88"/>
      <c r="AJ129" s="88"/>
      <c r="AK129" s="88"/>
    </row>
    <row r="130" spans="1:39" s="75" customFormat="1" x14ac:dyDescent="0.2">
      <c r="A130" s="380" t="s">
        <v>370</v>
      </c>
      <c r="B130" s="124"/>
      <c r="C130" s="382">
        <f>$AK$14</f>
        <v>30600.305857957486</v>
      </c>
      <c r="D130" s="124">
        <f>AJ22</f>
        <v>0.75</v>
      </c>
      <c r="E130" s="157">
        <f>C130*D130</f>
        <v>22950.229393468115</v>
      </c>
      <c r="F130" s="157"/>
      <c r="G130" s="408"/>
      <c r="H130" s="158"/>
      <c r="I130" s="380" t="s">
        <v>370</v>
      </c>
      <c r="J130" s="124"/>
      <c r="K130" s="382">
        <f>$AK$14</f>
        <v>30600.305857957486</v>
      </c>
      <c r="L130" s="124">
        <f>AK22</f>
        <v>0.9</v>
      </c>
      <c r="M130" s="157">
        <f>K130*L130</f>
        <v>27540.27527216174</v>
      </c>
      <c r="N130" s="157"/>
      <c r="O130" s="157"/>
      <c r="P130" s="157"/>
      <c r="Q130" s="380" t="s">
        <v>370</v>
      </c>
      <c r="R130" s="124"/>
      <c r="S130" s="382">
        <f>$AK$14</f>
        <v>30600.305857957486</v>
      </c>
      <c r="T130" s="124">
        <f>AL22</f>
        <v>1</v>
      </c>
      <c r="U130" s="157">
        <f>S130*T130</f>
        <v>30600.305857957486</v>
      </c>
      <c r="V130" s="158"/>
      <c r="W130" s="158"/>
      <c r="X130" s="77"/>
      <c r="Y130" s="380" t="s">
        <v>370</v>
      </c>
      <c r="Z130" s="124"/>
      <c r="AA130" s="382">
        <f>$AK$14</f>
        <v>30600.305857957486</v>
      </c>
      <c r="AB130" s="124">
        <f>$AM$22</f>
        <v>1.5</v>
      </c>
      <c r="AC130" s="157">
        <f>AA130*AB130</f>
        <v>45900.458786936229</v>
      </c>
      <c r="AD130" s="77"/>
      <c r="AE130" s="77"/>
      <c r="AF130" s="77"/>
      <c r="AG130" s="86"/>
      <c r="AH130" s="87"/>
      <c r="AI130" s="77"/>
      <c r="AJ130" s="77"/>
      <c r="AK130" s="77"/>
    </row>
    <row r="131" spans="1:39" s="101" customFormat="1" x14ac:dyDescent="0.2">
      <c r="A131" s="387" t="s">
        <v>277</v>
      </c>
      <c r="B131" s="387"/>
      <c r="C131" s="388"/>
      <c r="D131" s="389">
        <f>SUM(D126:D130)</f>
        <v>22.822429149797571</v>
      </c>
      <c r="E131" s="388">
        <f>SUM(E126:E130)</f>
        <v>833479.70534027123</v>
      </c>
      <c r="F131" s="369"/>
      <c r="G131" s="408"/>
      <c r="H131" s="369"/>
      <c r="I131" s="387" t="s">
        <v>277</v>
      </c>
      <c r="J131" s="387"/>
      <c r="K131" s="388"/>
      <c r="L131" s="389">
        <f>SUM(L126:L130)</f>
        <v>27.65499391775322</v>
      </c>
      <c r="M131" s="388">
        <f>SUM(M126:M130)</f>
        <v>983709.22191430558</v>
      </c>
      <c r="N131" s="369"/>
      <c r="O131" s="369"/>
      <c r="P131" s="71"/>
      <c r="Q131" s="387" t="s">
        <v>277</v>
      </c>
      <c r="R131" s="387"/>
      <c r="S131" s="388"/>
      <c r="T131" s="389">
        <f>SUM(T126:T130)</f>
        <v>31.912279671821764</v>
      </c>
      <c r="U131" s="388">
        <f>SUM(U126:U130)</f>
        <v>1116071.2326660182</v>
      </c>
      <c r="V131" s="369"/>
      <c r="W131" s="369"/>
      <c r="X131" s="93"/>
      <c r="Y131" s="387" t="s">
        <v>277</v>
      </c>
      <c r="Z131" s="387"/>
      <c r="AA131" s="388"/>
      <c r="AB131" s="389">
        <f>SUM(AB126:AB130)</f>
        <v>38.622169198277966</v>
      </c>
      <c r="AC131" s="388">
        <f>SUM(AC126:AC130)</f>
        <v>1324514.4745916007</v>
      </c>
      <c r="AD131" s="93"/>
      <c r="AE131" s="93"/>
      <c r="AF131" s="93"/>
      <c r="AG131" s="86"/>
      <c r="AH131" s="87"/>
      <c r="AI131" s="106"/>
      <c r="AJ131" s="106"/>
      <c r="AK131" s="106"/>
    </row>
    <row r="132" spans="1:39" s="101" customFormat="1" x14ac:dyDescent="0.2">
      <c r="A132" s="198"/>
      <c r="B132" s="198"/>
      <c r="C132" s="369"/>
      <c r="D132" s="390"/>
      <c r="E132" s="369"/>
      <c r="F132" s="369"/>
      <c r="G132" s="408"/>
      <c r="H132" s="369"/>
      <c r="I132" s="198"/>
      <c r="J132" s="198"/>
      <c r="K132" s="369"/>
      <c r="L132" s="390"/>
      <c r="M132" s="369"/>
      <c r="N132" s="369"/>
      <c r="O132" s="369"/>
      <c r="P132" s="71"/>
      <c r="Q132" s="198"/>
      <c r="R132" s="198"/>
      <c r="S132" s="369"/>
      <c r="T132" s="390"/>
      <c r="U132" s="369"/>
      <c r="V132" s="369"/>
      <c r="W132" s="369"/>
      <c r="X132" s="93"/>
      <c r="Y132" s="198"/>
      <c r="Z132" s="198"/>
      <c r="AA132" s="369"/>
      <c r="AB132" s="390"/>
      <c r="AC132" s="369"/>
      <c r="AD132" s="93"/>
      <c r="AE132" s="93"/>
      <c r="AF132" s="93"/>
      <c r="AG132" s="86"/>
      <c r="AH132" s="87"/>
      <c r="AI132" s="106"/>
      <c r="AJ132" s="106"/>
      <c r="AK132" s="106"/>
    </row>
    <row r="133" spans="1:39" s="101" customFormat="1" x14ac:dyDescent="0.2">
      <c r="A133" s="391" t="s">
        <v>278</v>
      </c>
      <c r="B133" s="391"/>
      <c r="C133" s="392"/>
      <c r="D133" s="393" t="s">
        <v>279</v>
      </c>
      <c r="E133" s="392"/>
      <c r="F133" s="392"/>
      <c r="G133" s="408"/>
      <c r="H133" s="394"/>
      <c r="I133" s="391" t="s">
        <v>278</v>
      </c>
      <c r="J133" s="391"/>
      <c r="K133" s="392"/>
      <c r="L133" s="393" t="s">
        <v>279</v>
      </c>
      <c r="M133" s="392"/>
      <c r="N133" s="392"/>
      <c r="O133" s="392"/>
      <c r="P133" s="71"/>
      <c r="Q133" s="391" t="s">
        <v>278</v>
      </c>
      <c r="R133" s="391"/>
      <c r="S133" s="392"/>
      <c r="T133" s="393" t="s">
        <v>279</v>
      </c>
      <c r="U133" s="392"/>
      <c r="V133" s="394"/>
      <c r="W133" s="394"/>
      <c r="X133" s="114"/>
      <c r="Y133" s="391" t="s">
        <v>278</v>
      </c>
      <c r="Z133" s="391"/>
      <c r="AA133" s="392"/>
      <c r="AB133" s="393" t="s">
        <v>279</v>
      </c>
      <c r="AC133" s="392"/>
      <c r="AD133" s="114"/>
      <c r="AE133" s="114"/>
      <c r="AF133" s="114"/>
      <c r="AG133" s="20"/>
      <c r="AH133" s="87"/>
      <c r="AI133" s="106"/>
      <c r="AJ133" s="106"/>
      <c r="AK133" s="106"/>
    </row>
    <row r="134" spans="1:39" s="78" customFormat="1" x14ac:dyDescent="0.2">
      <c r="A134" s="143" t="s">
        <v>280</v>
      </c>
      <c r="B134" s="144"/>
      <c r="C134" s="160">
        <f>$AJ$30</f>
        <v>0.25578770213785851</v>
      </c>
      <c r="D134" s="395"/>
      <c r="E134" s="157">
        <f>C134*E131</f>
        <v>213193.85860752736</v>
      </c>
      <c r="F134" s="382"/>
      <c r="G134" s="408"/>
      <c r="H134" s="396"/>
      <c r="I134" s="143" t="s">
        <v>280</v>
      </c>
      <c r="J134" s="144"/>
      <c r="K134" s="160">
        <f>$AJ$30</f>
        <v>0.25578770213785851</v>
      </c>
      <c r="L134" s="395"/>
      <c r="M134" s="157">
        <f>K134*M131</f>
        <v>251620.72144528094</v>
      </c>
      <c r="N134" s="157"/>
      <c r="O134" s="157"/>
      <c r="P134" s="144"/>
      <c r="Q134" s="143" t="s">
        <v>280</v>
      </c>
      <c r="R134" s="144"/>
      <c r="S134" s="160">
        <f>$AJ$30</f>
        <v>0.25578770213785851</v>
      </c>
      <c r="T134" s="395"/>
      <c r="U134" s="157">
        <f>S134*U131</f>
        <v>285477.29602580803</v>
      </c>
      <c r="V134" s="396"/>
      <c r="W134" s="396"/>
      <c r="X134" s="146"/>
      <c r="Y134" s="143" t="s">
        <v>280</v>
      </c>
      <c r="Z134" s="144"/>
      <c r="AA134" s="160">
        <f>$AJ$30</f>
        <v>0.25578770213785851</v>
      </c>
      <c r="AB134" s="395"/>
      <c r="AC134" s="157">
        <f>AA134*AC131</f>
        <v>338794.5139041185</v>
      </c>
      <c r="AD134" s="146"/>
      <c r="AE134" s="146"/>
      <c r="AF134" s="146"/>
      <c r="AG134" s="69"/>
      <c r="AH134" s="87"/>
      <c r="AI134" s="206"/>
      <c r="AJ134" s="206"/>
      <c r="AK134" s="206"/>
    </row>
    <row r="135" spans="1:39" x14ac:dyDescent="0.2">
      <c r="A135" s="397" t="s">
        <v>282</v>
      </c>
      <c r="B135" s="397"/>
      <c r="C135" s="398"/>
      <c r="D135" s="151">
        <f>E135/E122</f>
        <v>238.96656711136953</v>
      </c>
      <c r="E135" s="399">
        <f>E134+E131</f>
        <v>1046673.5639477986</v>
      </c>
      <c r="F135" s="158"/>
      <c r="G135" s="408"/>
      <c r="H135" s="158"/>
      <c r="I135" s="397" t="s">
        <v>282</v>
      </c>
      <c r="J135" s="397"/>
      <c r="K135" s="398"/>
      <c r="L135" s="151">
        <f>M135/M122</f>
        <v>218.35261924164143</v>
      </c>
      <c r="M135" s="399">
        <f>M134+M131</f>
        <v>1235329.9433595864</v>
      </c>
      <c r="N135" s="394"/>
      <c r="O135" s="394"/>
      <c r="P135" s="158"/>
      <c r="Q135" s="397" t="s">
        <v>282</v>
      </c>
      <c r="R135" s="397"/>
      <c r="S135" s="398"/>
      <c r="T135" s="151">
        <f>U135/U122</f>
        <v>191.99294913586661</v>
      </c>
      <c r="U135" s="399">
        <f>U134+U131</f>
        <v>1401548.5286918262</v>
      </c>
      <c r="V135" s="394"/>
      <c r="W135" s="394"/>
      <c r="X135" s="114"/>
      <c r="Y135" s="397" t="s">
        <v>282</v>
      </c>
      <c r="Z135" s="397"/>
      <c r="AA135" s="398"/>
      <c r="AB135" s="151">
        <f>AC135/AC122</f>
        <v>182.28043709542126</v>
      </c>
      <c r="AC135" s="399">
        <f>AC134+AC131</f>
        <v>1663308.9884957192</v>
      </c>
      <c r="AD135" s="114"/>
      <c r="AE135" s="114"/>
      <c r="AF135" s="114"/>
      <c r="AG135" s="125"/>
      <c r="AH135" s="73"/>
      <c r="AI135" s="73"/>
      <c r="AJ135" s="73"/>
      <c r="AK135" s="73"/>
      <c r="AL135" s="72"/>
      <c r="AM135" s="72"/>
    </row>
    <row r="136" spans="1:39" x14ac:dyDescent="0.2">
      <c r="A136" s="143"/>
      <c r="B136" s="143"/>
      <c r="C136" s="157"/>
      <c r="D136" s="365"/>
      <c r="E136" s="157"/>
      <c r="F136" s="157"/>
      <c r="G136" s="408"/>
      <c r="H136" s="158"/>
      <c r="I136" s="143"/>
      <c r="J136" s="143"/>
      <c r="K136" s="157"/>
      <c r="L136" s="365"/>
      <c r="M136" s="157"/>
      <c r="N136" s="157"/>
      <c r="O136" s="157"/>
      <c r="P136" s="158"/>
      <c r="Q136" s="143"/>
      <c r="R136" s="143"/>
      <c r="S136" s="157"/>
      <c r="T136" s="365"/>
      <c r="U136" s="157"/>
      <c r="V136" s="158"/>
      <c r="W136" s="158"/>
      <c r="X136" s="77"/>
      <c r="Y136" s="143"/>
      <c r="Z136" s="143"/>
      <c r="AA136" s="157"/>
      <c r="AB136" s="365"/>
      <c r="AC136" s="157"/>
      <c r="AG136" s="207"/>
      <c r="AH136" s="73"/>
      <c r="AI136" s="73"/>
      <c r="AJ136" s="73"/>
      <c r="AK136" s="73"/>
      <c r="AL136" s="72"/>
      <c r="AM136" s="72"/>
    </row>
    <row r="137" spans="1:39" x14ac:dyDescent="0.2">
      <c r="A137" s="143" t="s">
        <v>91</v>
      </c>
      <c r="B137" s="143"/>
      <c r="C137" s="157"/>
      <c r="D137" s="124">
        <f>$AJ$34</f>
        <v>4.8269348195899369</v>
      </c>
      <c r="E137" s="157">
        <f>D137*E$85</f>
        <v>21141.974509803924</v>
      </c>
      <c r="F137" s="400"/>
      <c r="G137" s="408"/>
      <c r="H137" s="158"/>
      <c r="I137" s="143" t="s">
        <v>91</v>
      </c>
      <c r="J137" s="143"/>
      <c r="K137" s="157"/>
      <c r="L137" s="124">
        <f>$AJ$34</f>
        <v>4.8269348195899369</v>
      </c>
      <c r="M137" s="157">
        <f>L137*M$85</f>
        <v>27308.383741830068</v>
      </c>
      <c r="N137" s="157"/>
      <c r="O137" s="157"/>
      <c r="P137" s="158"/>
      <c r="Q137" s="143" t="s">
        <v>91</v>
      </c>
      <c r="R137" s="143"/>
      <c r="S137" s="157"/>
      <c r="T137" s="124">
        <f>$AJ$34</f>
        <v>4.8269348195899369</v>
      </c>
      <c r="U137" s="157">
        <f>T137*U$85</f>
        <v>35236.624183006541</v>
      </c>
      <c r="V137" s="158"/>
      <c r="W137" s="158"/>
      <c r="X137" s="77"/>
      <c r="Y137" s="143" t="s">
        <v>91</v>
      </c>
      <c r="Z137" s="143"/>
      <c r="AA137" s="157"/>
      <c r="AB137" s="124">
        <f>$AJ$34</f>
        <v>4.8269348195899369</v>
      </c>
      <c r="AC137" s="157">
        <f>AB137*AC$85</f>
        <v>44045.780228758173</v>
      </c>
      <c r="AG137" s="135"/>
      <c r="AH137" s="73"/>
      <c r="AI137" s="73"/>
      <c r="AJ137" s="73"/>
      <c r="AK137" s="73"/>
      <c r="AL137" s="72"/>
      <c r="AM137" s="72"/>
    </row>
    <row r="138" spans="1:39" x14ac:dyDescent="0.2">
      <c r="A138" s="143"/>
      <c r="B138" s="143"/>
      <c r="C138" s="157"/>
      <c r="D138" s="124"/>
      <c r="E138" s="157"/>
      <c r="F138" s="157"/>
      <c r="G138" s="408"/>
      <c r="H138" s="158"/>
      <c r="I138" s="143"/>
      <c r="J138" s="143"/>
      <c r="K138" s="157"/>
      <c r="L138" s="124"/>
      <c r="M138" s="157"/>
      <c r="N138" s="157"/>
      <c r="O138" s="157"/>
      <c r="P138" s="158"/>
      <c r="Q138" s="143"/>
      <c r="R138" s="143"/>
      <c r="S138" s="157"/>
      <c r="T138" s="124"/>
      <c r="U138" s="157"/>
      <c r="V138" s="158"/>
      <c r="W138" s="158"/>
      <c r="X138" s="158"/>
      <c r="Y138" s="143"/>
      <c r="Z138" s="143"/>
      <c r="AA138" s="157"/>
      <c r="AB138" s="124"/>
      <c r="AC138" s="157"/>
      <c r="AD138" s="158"/>
      <c r="AE138" s="158"/>
      <c r="AF138" s="158"/>
      <c r="AG138" s="135"/>
      <c r="AH138" s="73"/>
      <c r="AI138" s="73"/>
      <c r="AJ138" s="73"/>
      <c r="AK138" s="73"/>
      <c r="AL138" s="72"/>
      <c r="AM138" s="72"/>
    </row>
    <row r="139" spans="1:39" x14ac:dyDescent="0.2">
      <c r="A139" s="143" t="s">
        <v>283</v>
      </c>
      <c r="B139" s="143"/>
      <c r="C139" s="157"/>
      <c r="D139" s="124">
        <f>$AJ$36</f>
        <v>16.772324588891873</v>
      </c>
      <c r="E139" s="157">
        <f>D139*E$85</f>
        <v>73462.781699346408</v>
      </c>
      <c r="F139" s="157"/>
      <c r="G139" s="408"/>
      <c r="H139" s="158"/>
      <c r="I139" s="143" t="s">
        <v>283</v>
      </c>
      <c r="J139" s="143"/>
      <c r="K139" s="157"/>
      <c r="L139" s="124">
        <f>$AJ$36</f>
        <v>16.772324588891873</v>
      </c>
      <c r="M139" s="157">
        <f>L139*M$85</f>
        <v>94889.426361655773</v>
      </c>
      <c r="N139" s="157"/>
      <c r="O139" s="157"/>
      <c r="P139" s="158"/>
      <c r="Q139" s="143" t="s">
        <v>283</v>
      </c>
      <c r="R139" s="143"/>
      <c r="S139" s="157"/>
      <c r="T139" s="124">
        <f>$AJ$36</f>
        <v>16.772324588891873</v>
      </c>
      <c r="U139" s="157">
        <f>T139*U$85</f>
        <v>122437.96949891068</v>
      </c>
      <c r="V139" s="158"/>
      <c r="W139" s="158"/>
      <c r="X139" s="77"/>
      <c r="Y139" s="143" t="s">
        <v>283</v>
      </c>
      <c r="Z139" s="143"/>
      <c r="AA139" s="157"/>
      <c r="AB139" s="124">
        <f>$AJ$36</f>
        <v>16.772324588891873</v>
      </c>
      <c r="AC139" s="157">
        <f>AB139*AC$85</f>
        <v>153047.46187363836</v>
      </c>
      <c r="AG139" s="135"/>
      <c r="AH139" s="73"/>
      <c r="AI139" s="73"/>
      <c r="AJ139" s="73"/>
      <c r="AK139" s="73"/>
      <c r="AL139" s="72"/>
      <c r="AM139" s="72"/>
    </row>
    <row r="140" spans="1:39" x14ac:dyDescent="0.2">
      <c r="C140" s="75"/>
      <c r="D140" s="159">
        <f>SUM(D137:D139)</f>
        <v>21.59925940848181</v>
      </c>
      <c r="E140" s="75"/>
      <c r="F140" s="75"/>
      <c r="G140" s="408"/>
      <c r="H140" s="77"/>
      <c r="I140" s="72"/>
      <c r="J140" s="72"/>
      <c r="L140" s="159">
        <f>SUM(L137:L139)</f>
        <v>21.59925940848181</v>
      </c>
      <c r="Q140" s="72"/>
      <c r="R140" s="72"/>
      <c r="S140" s="75"/>
      <c r="T140" s="159">
        <f>SUM(T137:T139)</f>
        <v>21.59925940848181</v>
      </c>
      <c r="U140" s="75"/>
      <c r="X140" s="77"/>
      <c r="Y140" s="72"/>
      <c r="Z140" s="72"/>
      <c r="AA140" s="75"/>
      <c r="AB140" s="159">
        <f>SUM(AB137:AB139)</f>
        <v>21.59925940848181</v>
      </c>
      <c r="AC140" s="75"/>
      <c r="AG140" s="135"/>
      <c r="AH140" s="73"/>
      <c r="AI140" s="73"/>
      <c r="AJ140" s="73"/>
      <c r="AK140" s="73"/>
      <c r="AL140" s="72"/>
      <c r="AM140" s="72"/>
    </row>
    <row r="141" spans="1:39" x14ac:dyDescent="0.2">
      <c r="A141" s="138" t="s">
        <v>371</v>
      </c>
      <c r="B141" s="138"/>
      <c r="C141" s="139"/>
      <c r="D141" s="140"/>
      <c r="E141" s="139">
        <f>SUM(E135:E139)</f>
        <v>1141278.3201569489</v>
      </c>
      <c r="F141" s="93"/>
      <c r="G141" s="408"/>
      <c r="H141" s="93"/>
      <c r="I141" s="138" t="s">
        <v>371</v>
      </c>
      <c r="J141" s="138"/>
      <c r="K141" s="139"/>
      <c r="L141" s="140"/>
      <c r="M141" s="139">
        <f>SUM(M135:M139)</f>
        <v>1357527.7534630722</v>
      </c>
      <c r="N141" s="93"/>
      <c r="O141" s="93"/>
      <c r="Q141" s="138" t="s">
        <v>371</v>
      </c>
      <c r="R141" s="138"/>
      <c r="S141" s="139"/>
      <c r="T141" s="140"/>
      <c r="U141" s="139">
        <f>SUM(U135:U139)</f>
        <v>1559223.1223737434</v>
      </c>
      <c r="V141" s="93"/>
      <c r="W141" s="93"/>
      <c r="X141" s="93"/>
      <c r="Y141" s="138" t="s">
        <v>371</v>
      </c>
      <c r="Z141" s="138"/>
      <c r="AA141" s="139"/>
      <c r="AB141" s="140"/>
      <c r="AC141" s="139">
        <f>SUM(AC135:AC139)</f>
        <v>1860402.2305981158</v>
      </c>
      <c r="AD141" s="93"/>
      <c r="AE141" s="93"/>
      <c r="AF141" s="93"/>
      <c r="AG141" s="135"/>
      <c r="AH141" s="73"/>
      <c r="AI141" s="73"/>
      <c r="AJ141" s="73"/>
      <c r="AK141" s="73"/>
      <c r="AL141" s="72"/>
      <c r="AM141" s="72"/>
    </row>
    <row r="142" spans="1:39" x14ac:dyDescent="0.2">
      <c r="A142" s="72" t="s">
        <v>286</v>
      </c>
      <c r="C142" s="160" t="e">
        <f>$AJ$42</f>
        <v>#REF!</v>
      </c>
      <c r="D142" s="132"/>
      <c r="E142" s="75" t="e">
        <f>C142*E141</f>
        <v>#REF!</v>
      </c>
      <c r="F142" s="158"/>
      <c r="G142" s="408"/>
      <c r="H142" s="77"/>
      <c r="I142" s="72" t="s">
        <v>286</v>
      </c>
      <c r="J142" s="72"/>
      <c r="K142" s="160" t="e">
        <f>$AJ$42</f>
        <v>#REF!</v>
      </c>
      <c r="L142" s="132"/>
      <c r="M142" s="75" t="e">
        <f>K142*M141</f>
        <v>#REF!</v>
      </c>
      <c r="Q142" s="72" t="s">
        <v>286</v>
      </c>
      <c r="R142" s="72"/>
      <c r="S142" s="160" t="e">
        <f>$AJ$42</f>
        <v>#REF!</v>
      </c>
      <c r="T142" s="132"/>
      <c r="U142" s="75" t="e">
        <f>S142*U141</f>
        <v>#REF!</v>
      </c>
      <c r="X142" s="77"/>
      <c r="Y142" s="72" t="s">
        <v>286</v>
      </c>
      <c r="Z142" s="72"/>
      <c r="AA142" s="160" t="e">
        <f>$AJ$42</f>
        <v>#REF!</v>
      </c>
      <c r="AB142" s="132"/>
      <c r="AC142" s="75" t="e">
        <f>AA142*AC141</f>
        <v>#REF!</v>
      </c>
      <c r="AG142" s="208"/>
      <c r="AH142" s="208"/>
      <c r="AI142" s="208"/>
      <c r="AJ142" s="208"/>
      <c r="AK142" s="73"/>
      <c r="AL142" s="72"/>
      <c r="AM142" s="72"/>
    </row>
    <row r="143" spans="1:39" s="101" customFormat="1" ht="15" customHeight="1" thickBot="1" x14ac:dyDescent="0.25">
      <c r="A143" s="161" t="s">
        <v>288</v>
      </c>
      <c r="B143" s="161"/>
      <c r="C143" s="162"/>
      <c r="D143" s="163"/>
      <c r="E143" s="164" t="e">
        <f>ROUND(SUM(E141:E142),2)</f>
        <v>#REF!</v>
      </c>
      <c r="F143" s="93"/>
      <c r="G143" s="408"/>
      <c r="H143" s="93"/>
      <c r="I143" s="161" t="s">
        <v>288</v>
      </c>
      <c r="J143" s="161"/>
      <c r="K143" s="162"/>
      <c r="L143" s="163"/>
      <c r="M143" s="164" t="e">
        <f>ROUND(SUM(M141:M142),2)</f>
        <v>#REF!</v>
      </c>
      <c r="N143" s="93"/>
      <c r="O143" s="93"/>
      <c r="Q143" s="161" t="s">
        <v>288</v>
      </c>
      <c r="R143" s="161"/>
      <c r="S143" s="162"/>
      <c r="T143" s="163"/>
      <c r="U143" s="164" t="e">
        <f>ROUND(SUM(U141:U142),2)</f>
        <v>#REF!</v>
      </c>
      <c r="V143" s="93"/>
      <c r="W143" s="93"/>
      <c r="X143" s="93"/>
      <c r="Y143" s="161" t="s">
        <v>288</v>
      </c>
      <c r="Z143" s="161"/>
      <c r="AA143" s="162"/>
      <c r="AB143" s="163"/>
      <c r="AC143" s="164" t="e">
        <f>ROUND(SUM(AC141:AC142),2)</f>
        <v>#REF!</v>
      </c>
      <c r="AD143" s="93"/>
      <c r="AE143" s="93"/>
      <c r="AF143" s="93"/>
      <c r="AG143" s="209"/>
      <c r="AH143" s="210"/>
      <c r="AI143" s="211"/>
      <c r="AJ143" s="210"/>
      <c r="AK143" s="106"/>
    </row>
    <row r="144" spans="1:39" s="101" customFormat="1" ht="13.5" thickTop="1" x14ac:dyDescent="0.2">
      <c r="A144" s="111"/>
      <c r="B144" s="111"/>
      <c r="C144" s="112"/>
      <c r="D144" s="165"/>
      <c r="E144" s="112"/>
      <c r="F144" s="112"/>
      <c r="G144" s="408"/>
      <c r="H144" s="114"/>
      <c r="I144" s="111"/>
      <c r="J144" s="111"/>
      <c r="K144" s="112"/>
      <c r="L144" s="165"/>
      <c r="M144" s="112"/>
      <c r="N144" s="112"/>
      <c r="O144" s="112"/>
      <c r="Q144" s="111"/>
      <c r="R144" s="111"/>
      <c r="S144" s="112"/>
      <c r="T144" s="165"/>
      <c r="U144" s="112"/>
      <c r="V144" s="114"/>
      <c r="W144" s="114"/>
      <c r="X144" s="114"/>
      <c r="Y144" s="111"/>
      <c r="Z144" s="111"/>
      <c r="AA144" s="112"/>
      <c r="AB144" s="165"/>
      <c r="AC144" s="112"/>
      <c r="AD144" s="114"/>
      <c r="AE144" s="114"/>
      <c r="AF144" s="114"/>
      <c r="AG144" s="153"/>
      <c r="AH144" s="153"/>
      <c r="AI144" s="153"/>
      <c r="AJ144" s="212"/>
      <c r="AK144" s="106"/>
    </row>
    <row r="145" spans="1:39" s="170" customFormat="1" ht="13.15" customHeight="1" x14ac:dyDescent="0.2">
      <c r="A145" s="167" t="s">
        <v>289</v>
      </c>
      <c r="B145" s="167"/>
      <c r="C145" s="168"/>
      <c r="D145" s="168"/>
      <c r="E145" s="169" t="e">
        <f>E143/E122</f>
        <v>#REF!</v>
      </c>
      <c r="F145" s="170" t="s">
        <v>395</v>
      </c>
      <c r="G145" s="1128" t="s">
        <v>396</v>
      </c>
      <c r="H145" s="171"/>
      <c r="I145" s="167" t="s">
        <v>357</v>
      </c>
      <c r="J145" s="167"/>
      <c r="K145" s="168"/>
      <c r="L145" s="168"/>
      <c r="M145" s="169" t="e">
        <f>M143/M122</f>
        <v>#REF!</v>
      </c>
      <c r="N145" s="170" t="s">
        <v>395</v>
      </c>
      <c r="O145" s="1128" t="s">
        <v>396</v>
      </c>
      <c r="Q145" s="167" t="s">
        <v>289</v>
      </c>
      <c r="R145" s="167"/>
      <c r="S145" s="168"/>
      <c r="T145" s="168"/>
      <c r="U145" s="169" t="e">
        <f>U143/U122</f>
        <v>#REF!</v>
      </c>
      <c r="V145" s="170" t="s">
        <v>395</v>
      </c>
      <c r="W145" s="1128" t="s">
        <v>396</v>
      </c>
      <c r="Y145" s="167" t="s">
        <v>289</v>
      </c>
      <c r="Z145" s="167"/>
      <c r="AA145" s="168"/>
      <c r="AB145" s="168"/>
      <c r="AC145" s="169" t="e">
        <f>AC143/AC122</f>
        <v>#REF!</v>
      </c>
      <c r="AD145" s="170" t="s">
        <v>395</v>
      </c>
      <c r="AE145" s="1128" t="s">
        <v>396</v>
      </c>
      <c r="AG145" s="153"/>
      <c r="AH145" s="153"/>
      <c r="AI145" s="153"/>
      <c r="AJ145" s="153"/>
      <c r="AK145" s="213"/>
    </row>
    <row r="146" spans="1:39" s="170" customFormat="1" ht="13.5" thickBot="1" x14ac:dyDescent="0.25">
      <c r="A146" s="167" t="s">
        <v>290</v>
      </c>
      <c r="B146" s="167"/>
      <c r="C146" s="172">
        <f>$AK$43</f>
        <v>4.4640068153077195E-2</v>
      </c>
      <c r="D146" s="168"/>
      <c r="E146" s="169"/>
      <c r="F146" s="73"/>
      <c r="G146" s="1128"/>
      <c r="H146" s="171"/>
      <c r="I146" s="167" t="s">
        <v>290</v>
      </c>
      <c r="J146" s="167"/>
      <c r="K146" s="172">
        <f>$AK$43</f>
        <v>4.4640068153077195E-2</v>
      </c>
      <c r="L146" s="168"/>
      <c r="M146" s="319" t="e">
        <f>M145*1.0254</f>
        <v>#REF!</v>
      </c>
      <c r="N146" s="73"/>
      <c r="O146" s="1128"/>
      <c r="Q146" s="167" t="s">
        <v>290</v>
      </c>
      <c r="R146" s="167"/>
      <c r="S146" s="172">
        <f>$AK$43</f>
        <v>4.4640068153077195E-2</v>
      </c>
      <c r="T146" s="168"/>
      <c r="U146" s="169"/>
      <c r="V146" s="73"/>
      <c r="W146" s="1128"/>
      <c r="X146" s="73"/>
      <c r="Y146" s="167" t="s">
        <v>290</v>
      </c>
      <c r="Z146" s="167"/>
      <c r="AA146" s="172">
        <f>$AK$43</f>
        <v>4.4640068153077195E-2</v>
      </c>
      <c r="AB146" s="168"/>
      <c r="AC146" s="169"/>
      <c r="AD146" s="73"/>
      <c r="AE146" s="1128"/>
      <c r="AF146" s="73"/>
      <c r="AG146" s="153"/>
      <c r="AH146" s="153"/>
      <c r="AI146" s="153"/>
      <c r="AJ146" s="153"/>
      <c r="AK146" s="213"/>
    </row>
    <row r="147" spans="1:39" x14ac:dyDescent="0.2">
      <c r="A147" s="175" t="s">
        <v>292</v>
      </c>
      <c r="B147" s="130"/>
      <c r="C147" s="176">
        <v>0.9</v>
      </c>
      <c r="D147" s="82"/>
      <c r="E147" s="177" t="e">
        <f t="shared" ref="E147:E155" si="12">E$143/(E$122*C147)</f>
        <v>#REF!</v>
      </c>
      <c r="F147" s="177">
        <v>345.96</v>
      </c>
      <c r="G147" s="742" t="e">
        <f>F147*(#REF!+1)</f>
        <v>#REF!</v>
      </c>
      <c r="I147" s="175" t="s">
        <v>292</v>
      </c>
      <c r="J147" s="130"/>
      <c r="K147" s="176">
        <v>0.9</v>
      </c>
      <c r="L147" s="82"/>
      <c r="M147" s="177" t="e">
        <f>M143/(M$122*K147)</f>
        <v>#REF!</v>
      </c>
      <c r="N147" s="178">
        <v>318.58999999999997</v>
      </c>
      <c r="O147" s="742" t="e">
        <f>N147*(#REF!+1)</f>
        <v>#REF!</v>
      </c>
      <c r="Q147" s="175" t="s">
        <v>292</v>
      </c>
      <c r="R147" s="130"/>
      <c r="S147" s="176">
        <v>0.9</v>
      </c>
      <c r="T147" s="82"/>
      <c r="U147" s="177" t="e">
        <f t="shared" ref="U147:U155" si="13">U$143/(U$122*S147)</f>
        <v>#REF!</v>
      </c>
      <c r="V147" s="178">
        <v>283.58999999999997</v>
      </c>
      <c r="W147" s="742" t="e">
        <f>V147*(#REF!+1)</f>
        <v>#REF!</v>
      </c>
      <c r="X147" s="77"/>
      <c r="Y147" s="175" t="s">
        <v>292</v>
      </c>
      <c r="Z147" s="130"/>
      <c r="AA147" s="176">
        <v>0.9</v>
      </c>
      <c r="AB147" s="82"/>
      <c r="AC147" s="177" t="e">
        <f>AC$143/(AC$122*AA147)</f>
        <v>#REF!</v>
      </c>
      <c r="AD147" s="178">
        <v>270.69</v>
      </c>
      <c r="AE147" s="742" t="e">
        <f>AD147*(#REF!+1)</f>
        <v>#REF!</v>
      </c>
      <c r="AF147" s="169"/>
      <c r="AG147" s="153"/>
      <c r="AH147" s="212"/>
      <c r="AI147" s="212"/>
      <c r="AJ147" s="212"/>
      <c r="AK147" s="73"/>
      <c r="AL147" s="72"/>
      <c r="AM147" s="72"/>
    </row>
    <row r="148" spans="1:39" x14ac:dyDescent="0.2">
      <c r="A148" s="181"/>
      <c r="B148" s="73"/>
      <c r="C148" s="182">
        <v>0.85</v>
      </c>
      <c r="D148" s="77"/>
      <c r="E148" s="169" t="e">
        <f t="shared" si="12"/>
        <v>#REF!</v>
      </c>
      <c r="F148" s="169">
        <v>366.31</v>
      </c>
      <c r="G148" s="742" t="e">
        <f>F148*(#REF!+1)</f>
        <v>#REF!</v>
      </c>
      <c r="I148" s="181"/>
      <c r="J148" s="73"/>
      <c r="K148" s="182">
        <v>0.85</v>
      </c>
      <c r="L148" s="77"/>
      <c r="M148" s="169" t="e">
        <f>M$143/(M$122*K148)</f>
        <v>#REF!</v>
      </c>
      <c r="N148" s="183">
        <v>337.33</v>
      </c>
      <c r="O148" s="742" t="e">
        <f>N148*(#REF!+1)</f>
        <v>#REF!</v>
      </c>
      <c r="Q148" s="181"/>
      <c r="R148" s="73"/>
      <c r="S148" s="182">
        <v>0.85</v>
      </c>
      <c r="T148" s="77"/>
      <c r="U148" s="169" t="e">
        <f t="shared" si="13"/>
        <v>#REF!</v>
      </c>
      <c r="V148" s="183">
        <v>300.27</v>
      </c>
      <c r="W148" s="742" t="e">
        <f>V148*(#REF!+1)</f>
        <v>#REF!</v>
      </c>
      <c r="X148" s="77"/>
      <c r="Y148" s="181"/>
      <c r="Z148" s="73"/>
      <c r="AA148" s="182">
        <v>0.85</v>
      </c>
      <c r="AB148" s="77"/>
      <c r="AC148" s="169" t="e">
        <f t="shared" ref="AC148:AC155" si="14">AC$143/(AC$122*AA148)</f>
        <v>#REF!</v>
      </c>
      <c r="AD148" s="183">
        <v>286.62</v>
      </c>
      <c r="AE148" s="742" t="e">
        <f>AD148*(#REF!+1)</f>
        <v>#REF!</v>
      </c>
      <c r="AF148" s="169"/>
      <c r="AG148" s="214"/>
      <c r="AH148" s="214"/>
      <c r="AI148" s="214"/>
      <c r="AJ148" s="214"/>
      <c r="AK148" s="73"/>
      <c r="AL148" s="72"/>
      <c r="AM148" s="72"/>
    </row>
    <row r="149" spans="1:39" x14ac:dyDescent="0.2">
      <c r="A149" s="181"/>
      <c r="B149" s="73"/>
      <c r="C149" s="182">
        <v>0.8</v>
      </c>
      <c r="D149" s="77"/>
      <c r="E149" s="169" t="e">
        <f t="shared" si="12"/>
        <v>#REF!</v>
      </c>
      <c r="F149" s="169">
        <v>389.2</v>
      </c>
      <c r="G149" s="742" t="e">
        <f>F149*(#REF!+1)</f>
        <v>#REF!</v>
      </c>
      <c r="I149" s="181"/>
      <c r="J149" s="73"/>
      <c r="K149" s="182">
        <v>0.8</v>
      </c>
      <c r="L149" s="77"/>
      <c r="M149" s="169" t="e">
        <f>M$143/(M$122*K149)</f>
        <v>#REF!</v>
      </c>
      <c r="N149" s="183">
        <v>358.41</v>
      </c>
      <c r="O149" s="742" t="e">
        <f>N149*(#REF!+1)</f>
        <v>#REF!</v>
      </c>
      <c r="Q149" s="181"/>
      <c r="R149" s="73"/>
      <c r="S149" s="182">
        <v>0.8</v>
      </c>
      <c r="T149" s="77"/>
      <c r="U149" s="169" t="e">
        <f t="shared" si="13"/>
        <v>#REF!</v>
      </c>
      <c r="V149" s="183">
        <v>319.02999999999997</v>
      </c>
      <c r="W149" s="742" t="e">
        <f>V149*(#REF!+1)</f>
        <v>#REF!</v>
      </c>
      <c r="X149" s="77"/>
      <c r="Y149" s="181"/>
      <c r="Z149" s="73"/>
      <c r="AA149" s="182">
        <v>0.8</v>
      </c>
      <c r="AB149" s="77"/>
      <c r="AC149" s="169" t="e">
        <f t="shared" si="14"/>
        <v>#REF!</v>
      </c>
      <c r="AD149" s="183">
        <v>304.52999999999997</v>
      </c>
      <c r="AE149" s="742" t="e">
        <f>AD149*(#REF!+1)</f>
        <v>#REF!</v>
      </c>
      <c r="AF149" s="169"/>
      <c r="AG149" s="209"/>
      <c r="AH149" s="210"/>
      <c r="AI149" s="211"/>
      <c r="AJ149" s="210"/>
      <c r="AK149" s="73"/>
      <c r="AL149" s="72"/>
      <c r="AM149" s="72"/>
    </row>
    <row r="150" spans="1:39" x14ac:dyDescent="0.2">
      <c r="A150" s="181"/>
      <c r="B150" s="73"/>
      <c r="C150" s="182">
        <v>0.75</v>
      </c>
      <c r="D150" s="77"/>
      <c r="E150" s="169" t="e">
        <f t="shared" si="12"/>
        <v>#REF!</v>
      </c>
      <c r="F150" s="169">
        <v>415.15</v>
      </c>
      <c r="G150" s="742" t="e">
        <f>F150*(#REF!+1)</f>
        <v>#REF!</v>
      </c>
      <c r="I150" s="181"/>
      <c r="J150" s="73"/>
      <c r="K150" s="182">
        <v>0.75</v>
      </c>
      <c r="L150" s="77"/>
      <c r="M150" s="169" t="e">
        <f t="shared" ref="M150:M155" si="15">M$143/(M$122*K150)</f>
        <v>#REF!</v>
      </c>
      <c r="N150" s="183">
        <v>382.31</v>
      </c>
      <c r="O150" s="742" t="e">
        <f>N150*(#REF!+1)</f>
        <v>#REF!</v>
      </c>
      <c r="Q150" s="181"/>
      <c r="R150" s="73"/>
      <c r="S150" s="182">
        <v>0.75</v>
      </c>
      <c r="T150" s="77"/>
      <c r="U150" s="169" t="e">
        <f t="shared" si="13"/>
        <v>#REF!</v>
      </c>
      <c r="V150" s="183">
        <v>340.31</v>
      </c>
      <c r="W150" s="742" t="e">
        <f>V150*(#REF!+1)</f>
        <v>#REF!</v>
      </c>
      <c r="X150" s="77"/>
      <c r="Y150" s="181"/>
      <c r="Z150" s="73"/>
      <c r="AA150" s="182">
        <v>0.75</v>
      </c>
      <c r="AB150" s="77"/>
      <c r="AC150" s="169" t="e">
        <f t="shared" si="14"/>
        <v>#REF!</v>
      </c>
      <c r="AD150" s="183">
        <v>324.83</v>
      </c>
      <c r="AE150" s="742" t="e">
        <f>AD150*(#REF!+1)</f>
        <v>#REF!</v>
      </c>
      <c r="AF150" s="169"/>
      <c r="AG150" s="153"/>
      <c r="AH150" s="153"/>
      <c r="AI150" s="153"/>
      <c r="AJ150" s="153"/>
      <c r="AK150" s="73"/>
      <c r="AL150" s="72"/>
      <c r="AM150" s="72"/>
    </row>
    <row r="151" spans="1:39" x14ac:dyDescent="0.2">
      <c r="A151" s="181"/>
      <c r="B151" s="73"/>
      <c r="C151" s="182">
        <v>0.7</v>
      </c>
      <c r="D151" s="77"/>
      <c r="E151" s="169" t="e">
        <f t="shared" si="12"/>
        <v>#REF!</v>
      </c>
      <c r="F151" s="169">
        <v>444.8</v>
      </c>
      <c r="G151" s="742" t="e">
        <f>F151*(#REF!+1)</f>
        <v>#REF!</v>
      </c>
      <c r="I151" s="181"/>
      <c r="J151" s="73"/>
      <c r="K151" s="182">
        <v>0.7</v>
      </c>
      <c r="L151" s="77"/>
      <c r="M151" s="169" t="e">
        <f t="shared" si="15"/>
        <v>#REF!</v>
      </c>
      <c r="N151" s="183">
        <v>409.61</v>
      </c>
      <c r="O151" s="742" t="e">
        <f>N151*(#REF!+1)</f>
        <v>#REF!</v>
      </c>
      <c r="Q151" s="181"/>
      <c r="R151" s="73"/>
      <c r="S151" s="182">
        <v>0.7</v>
      </c>
      <c r="T151" s="77"/>
      <c r="U151" s="169" t="e">
        <f t="shared" si="13"/>
        <v>#REF!</v>
      </c>
      <c r="V151" s="183">
        <v>364.61</v>
      </c>
      <c r="W151" s="742" t="e">
        <f>V151*(#REF!+1)</f>
        <v>#REF!</v>
      </c>
      <c r="X151" s="77"/>
      <c r="Y151" s="181"/>
      <c r="Z151" s="73"/>
      <c r="AA151" s="182">
        <v>0.7</v>
      </c>
      <c r="AB151" s="77"/>
      <c r="AC151" s="169" t="e">
        <f t="shared" si="14"/>
        <v>#REF!</v>
      </c>
      <c r="AD151" s="183">
        <v>348.03</v>
      </c>
      <c r="AE151" s="742" t="e">
        <f>AD151*(#REF!+1)</f>
        <v>#REF!</v>
      </c>
      <c r="AF151" s="169"/>
      <c r="AG151" s="153"/>
      <c r="AH151" s="153"/>
      <c r="AI151" s="153"/>
      <c r="AJ151" s="153"/>
      <c r="AK151" s="73"/>
      <c r="AL151" s="72"/>
      <c r="AM151" s="72"/>
    </row>
    <row r="152" spans="1:39" x14ac:dyDescent="0.2">
      <c r="A152" s="181"/>
      <c r="B152" s="73"/>
      <c r="C152" s="182">
        <v>0.65</v>
      </c>
      <c r="D152" s="77"/>
      <c r="E152" s="169" t="e">
        <f t="shared" si="12"/>
        <v>#REF!</v>
      </c>
      <c r="F152" s="169">
        <v>479.02</v>
      </c>
      <c r="G152" s="742" t="e">
        <f>F152*(#REF!+1)</f>
        <v>#REF!</v>
      </c>
      <c r="I152" s="181"/>
      <c r="J152" s="73"/>
      <c r="K152" s="182">
        <v>0.65</v>
      </c>
      <c r="L152" s="77"/>
      <c r="M152" s="169" t="e">
        <f t="shared" si="15"/>
        <v>#REF!</v>
      </c>
      <c r="N152" s="183">
        <v>441.12</v>
      </c>
      <c r="O152" s="742" t="e">
        <f>N152*(#REF!+1)</f>
        <v>#REF!</v>
      </c>
      <c r="Q152" s="181"/>
      <c r="R152" s="73"/>
      <c r="S152" s="182">
        <v>0.65</v>
      </c>
      <c r="T152" s="77"/>
      <c r="U152" s="169" t="e">
        <f t="shared" si="13"/>
        <v>#REF!</v>
      </c>
      <c r="V152" s="183">
        <v>392.66</v>
      </c>
      <c r="W152" s="742" t="e">
        <f>V152*(#REF!+1)</f>
        <v>#REF!</v>
      </c>
      <c r="X152" s="77"/>
      <c r="Y152" s="181"/>
      <c r="Z152" s="73"/>
      <c r="AA152" s="182">
        <v>0.65</v>
      </c>
      <c r="AB152" s="77"/>
      <c r="AC152" s="169" t="e">
        <f t="shared" si="14"/>
        <v>#REF!</v>
      </c>
      <c r="AD152" s="183">
        <v>374.81</v>
      </c>
      <c r="AE152" s="742" t="e">
        <f>AD152*(#REF!+1)</f>
        <v>#REF!</v>
      </c>
      <c r="AF152" s="169"/>
      <c r="AH152" s="73"/>
      <c r="AI152" s="73"/>
      <c r="AJ152" s="73"/>
      <c r="AK152" s="73"/>
      <c r="AL152" s="72"/>
      <c r="AM152" s="72"/>
    </row>
    <row r="153" spans="1:39" x14ac:dyDescent="0.2">
      <c r="A153" s="181"/>
      <c r="B153" s="73"/>
      <c r="C153" s="182">
        <v>0.6</v>
      </c>
      <c r="D153" s="77"/>
      <c r="E153" s="169" t="e">
        <f t="shared" si="12"/>
        <v>#REF!</v>
      </c>
      <c r="F153" s="169">
        <v>518.92999999999995</v>
      </c>
      <c r="G153" s="742" t="e">
        <f>F153*(#REF!+1)</f>
        <v>#REF!</v>
      </c>
      <c r="I153" s="181"/>
      <c r="J153" s="73"/>
      <c r="K153" s="182">
        <v>0.6</v>
      </c>
      <c r="L153" s="77"/>
      <c r="M153" s="169" t="e">
        <f t="shared" si="15"/>
        <v>#REF!</v>
      </c>
      <c r="N153" s="183">
        <v>477.88</v>
      </c>
      <c r="O153" s="742" t="e">
        <f>N153*(#REF!+1)</f>
        <v>#REF!</v>
      </c>
      <c r="Q153" s="181"/>
      <c r="R153" s="73"/>
      <c r="S153" s="182">
        <v>0.6</v>
      </c>
      <c r="T153" s="77"/>
      <c r="U153" s="169" t="e">
        <f t="shared" si="13"/>
        <v>#REF!</v>
      </c>
      <c r="V153" s="183">
        <v>425.39</v>
      </c>
      <c r="W153" s="742" t="e">
        <f>V153*(#REF!+1)</f>
        <v>#REF!</v>
      </c>
      <c r="X153" s="77"/>
      <c r="Y153" s="181"/>
      <c r="Z153" s="73"/>
      <c r="AA153" s="182">
        <v>0.6</v>
      </c>
      <c r="AB153" s="77"/>
      <c r="AC153" s="169" t="e">
        <f t="shared" si="14"/>
        <v>#REF!</v>
      </c>
      <c r="AD153" s="183">
        <v>406.04</v>
      </c>
      <c r="AE153" s="742" t="e">
        <f>AD153*(#REF!+1)</f>
        <v>#REF!</v>
      </c>
      <c r="AF153" s="169"/>
      <c r="AG153" s="180"/>
      <c r="AH153" s="172"/>
      <c r="AI153" s="73"/>
      <c r="AJ153" s="73"/>
      <c r="AK153" s="73"/>
      <c r="AL153" s="72"/>
      <c r="AM153" s="72"/>
    </row>
    <row r="154" spans="1:39" x14ac:dyDescent="0.2">
      <c r="A154" s="181"/>
      <c r="B154" s="73"/>
      <c r="C154" s="182">
        <v>0.55000000000000004</v>
      </c>
      <c r="D154" s="77"/>
      <c r="E154" s="169" t="e">
        <f t="shared" si="12"/>
        <v>#REF!</v>
      </c>
      <c r="F154" s="169">
        <v>566.11</v>
      </c>
      <c r="G154" s="742" t="e">
        <f>F154*(#REF!+1)</f>
        <v>#REF!</v>
      </c>
      <c r="I154" s="181"/>
      <c r="J154" s="73"/>
      <c r="K154" s="182">
        <v>0.55000000000000004</v>
      </c>
      <c r="L154" s="77"/>
      <c r="M154" s="169" t="e">
        <f t="shared" si="15"/>
        <v>#REF!</v>
      </c>
      <c r="N154" s="183">
        <v>521.33000000000004</v>
      </c>
      <c r="O154" s="742" t="e">
        <f>N154*(#REF!+1)</f>
        <v>#REF!</v>
      </c>
      <c r="Q154" s="181"/>
      <c r="R154" s="73"/>
      <c r="S154" s="182">
        <v>0.55000000000000004</v>
      </c>
      <c r="T154" s="77"/>
      <c r="U154" s="169" t="e">
        <f t="shared" si="13"/>
        <v>#REF!</v>
      </c>
      <c r="V154" s="183">
        <v>464.06</v>
      </c>
      <c r="W154" s="742" t="e">
        <f>V154*(#REF!+1)</f>
        <v>#REF!</v>
      </c>
      <c r="X154" s="77"/>
      <c r="Y154" s="181"/>
      <c r="Z154" s="73"/>
      <c r="AA154" s="182">
        <v>0.55000000000000004</v>
      </c>
      <c r="AB154" s="77"/>
      <c r="AC154" s="169" t="e">
        <f t="shared" si="14"/>
        <v>#REF!</v>
      </c>
      <c r="AD154" s="183">
        <v>442.96</v>
      </c>
      <c r="AE154" s="742" t="e">
        <f>AD154*(#REF!+1)</f>
        <v>#REF!</v>
      </c>
      <c r="AF154" s="169"/>
      <c r="AH154" s="71"/>
      <c r="AI154" s="71"/>
      <c r="AJ154" s="72"/>
      <c r="AK154" s="72"/>
      <c r="AL154" s="72"/>
      <c r="AM154" s="72"/>
    </row>
    <row r="155" spans="1:39" ht="13.5" thickBot="1" x14ac:dyDescent="0.25">
      <c r="A155" s="189"/>
      <c r="B155" s="190"/>
      <c r="C155" s="191">
        <v>0.5</v>
      </c>
      <c r="D155" s="192"/>
      <c r="E155" s="193" t="e">
        <f t="shared" si="12"/>
        <v>#REF!</v>
      </c>
      <c r="F155" s="193">
        <v>622.72</v>
      </c>
      <c r="G155" s="742" t="e">
        <f>F155*(#REF!+1)</f>
        <v>#REF!</v>
      </c>
      <c r="I155" s="189"/>
      <c r="J155" s="190"/>
      <c r="K155" s="191">
        <v>0.5</v>
      </c>
      <c r="L155" s="192"/>
      <c r="M155" s="193" t="e">
        <f t="shared" si="15"/>
        <v>#REF!</v>
      </c>
      <c r="N155" s="194">
        <v>573.46</v>
      </c>
      <c r="O155" s="742" t="e">
        <f>N155*(#REF!+1)</f>
        <v>#REF!</v>
      </c>
      <c r="Q155" s="189"/>
      <c r="R155" s="190"/>
      <c r="S155" s="191">
        <v>0.5</v>
      </c>
      <c r="T155" s="192"/>
      <c r="U155" s="193" t="e">
        <f t="shared" si="13"/>
        <v>#REF!</v>
      </c>
      <c r="V155" s="194">
        <v>510.46</v>
      </c>
      <c r="W155" s="742" t="e">
        <f>V155*(#REF!+1)</f>
        <v>#REF!</v>
      </c>
      <c r="X155" s="77"/>
      <c r="Y155" s="189"/>
      <c r="Z155" s="190"/>
      <c r="AA155" s="191">
        <v>0.5</v>
      </c>
      <c r="AB155" s="192"/>
      <c r="AC155" s="193" t="e">
        <f t="shared" si="14"/>
        <v>#REF!</v>
      </c>
      <c r="AD155" s="194">
        <v>487.25</v>
      </c>
      <c r="AE155" s="742" t="e">
        <f>AD155*(#REF!+1)</f>
        <v>#REF!</v>
      </c>
      <c r="AF155" s="169"/>
      <c r="AG155" s="185"/>
      <c r="AH155" s="72"/>
      <c r="AI155" s="72"/>
      <c r="AJ155" s="71"/>
      <c r="AK155" s="71"/>
      <c r="AL155" s="71"/>
      <c r="AM155" s="71"/>
    </row>
  </sheetData>
  <mergeCells count="23">
    <mergeCell ref="G67:G68"/>
    <mergeCell ref="G108:G109"/>
    <mergeCell ref="W67:W68"/>
    <mergeCell ref="AE67:AE68"/>
    <mergeCell ref="AE108:AE109"/>
    <mergeCell ref="G26:G27"/>
    <mergeCell ref="AE145:AE146"/>
    <mergeCell ref="G145:G146"/>
    <mergeCell ref="O26:O27"/>
    <mergeCell ref="O67:O68"/>
    <mergeCell ref="O108:O109"/>
    <mergeCell ref="O145:O146"/>
    <mergeCell ref="W26:W27"/>
    <mergeCell ref="W108:W109"/>
    <mergeCell ref="W145:W146"/>
    <mergeCell ref="I121:M121"/>
    <mergeCell ref="A120:B120"/>
    <mergeCell ref="AH1:AM1"/>
    <mergeCell ref="A83:B83"/>
    <mergeCell ref="I2:M2"/>
    <mergeCell ref="AJ16:AM16"/>
    <mergeCell ref="AJ25:AM25"/>
    <mergeCell ref="AE26:AE27"/>
  </mergeCells>
  <phoneticPr fontId="9" type="noConversion"/>
  <pageMargins left="0" right="0" top="0.5" bottom="0.64" header="0.2" footer="0.34"/>
  <pageSetup paperSize="5" scale="48" fitToHeight="2" orientation="landscape" r:id="rId1"/>
  <headerFooter alignWithMargins="0">
    <oddHeader>&amp;C&amp;20YOUTH INTERMEDIATE TERM RESIDENTIAL RATES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9"/>
  <sheetViews>
    <sheetView topLeftCell="A34" zoomScale="80" zoomScaleNormal="80" workbookViewId="0">
      <selection activeCell="A44" sqref="A44:IV44"/>
    </sheetView>
  </sheetViews>
  <sheetFormatPr defaultColWidth="8.25" defaultRowHeight="14.25" x14ac:dyDescent="0.2"/>
  <cols>
    <col min="1" max="1" width="27.75" customWidth="1"/>
    <col min="2" max="2" width="9.25" bestFit="1" customWidth="1"/>
    <col min="3" max="3" width="9" customWidth="1"/>
    <col min="4" max="4" width="8.25" customWidth="1"/>
    <col min="5" max="5" width="10.25" bestFit="1" customWidth="1"/>
    <col min="6" max="6" width="1.75" customWidth="1"/>
    <col min="7" max="7" width="27.75" customWidth="1"/>
    <col min="8" max="8" width="9.25" bestFit="1" customWidth="1"/>
    <col min="9" max="9" width="9" customWidth="1"/>
    <col min="10" max="10" width="8.25" customWidth="1"/>
    <col min="11" max="11" width="9.25" bestFit="1" customWidth="1"/>
    <col min="12" max="12" width="2.75" customWidth="1"/>
    <col min="13" max="13" width="26.625" customWidth="1"/>
    <col min="14" max="14" width="9.25" bestFit="1" customWidth="1"/>
    <col min="15" max="15" width="9" customWidth="1"/>
    <col min="16" max="16" width="8.25" customWidth="1"/>
    <col min="17" max="17" width="9.25" bestFit="1" customWidth="1"/>
    <col min="18" max="18" width="2.75" customWidth="1"/>
    <col min="19" max="19" width="26.625" customWidth="1"/>
    <col min="20" max="20" width="9.25" bestFit="1" customWidth="1"/>
    <col min="21" max="21" width="9" customWidth="1"/>
    <col min="22" max="22" width="8.25" customWidth="1"/>
    <col min="23" max="23" width="9.25" bestFit="1" customWidth="1"/>
    <col min="24" max="24" width="2.75" customWidth="1"/>
    <col min="25" max="25" width="26.625" hidden="1" customWidth="1"/>
    <col min="26" max="26" width="9.25" hidden="1" customWidth="1"/>
    <col min="27" max="27" width="9" hidden="1" customWidth="1"/>
    <col min="28" max="28" width="8.25" hidden="1" customWidth="1"/>
    <col min="29" max="29" width="9.25" hidden="1" customWidth="1"/>
    <col min="30" max="30" width="2.5" customWidth="1"/>
    <col min="31" max="31" width="6" bestFit="1" customWidth="1"/>
    <col min="32" max="32" width="21.125" customWidth="1"/>
    <col min="33" max="33" width="11" customWidth="1"/>
    <col min="34" max="34" width="15" style="227" customWidth="1"/>
    <col min="35" max="35" width="6.625" customWidth="1"/>
    <col min="36" max="37" width="7.375" customWidth="1"/>
    <col min="38" max="38" width="7.25" customWidth="1"/>
  </cols>
  <sheetData>
    <row r="1" spans="1:39" s="72" customFormat="1" ht="15" thickBot="1" x14ac:dyDescent="0.25">
      <c r="A1" s="71"/>
      <c r="F1"/>
      <c r="G1" s="71"/>
      <c r="L1"/>
      <c r="M1" s="71"/>
      <c r="S1" s="71"/>
      <c r="X1"/>
      <c r="Y1" s="71"/>
      <c r="AD1"/>
      <c r="AE1" s="73"/>
      <c r="AF1" s="1122" t="s">
        <v>249</v>
      </c>
      <c r="AG1" s="1122"/>
      <c r="AH1" s="1122"/>
    </row>
    <row r="2" spans="1:39" s="72" customFormat="1" ht="15.75" thickTop="1" thickBot="1" x14ac:dyDescent="0.25">
      <c r="A2" s="71"/>
      <c r="F2"/>
      <c r="G2" s="71"/>
      <c r="L2"/>
      <c r="M2" s="71"/>
      <c r="S2" s="71"/>
      <c r="X2"/>
      <c r="Y2" s="71"/>
      <c r="AD2"/>
      <c r="AE2" s="73"/>
      <c r="AF2" s="205"/>
      <c r="AG2" s="205"/>
      <c r="AH2" s="205"/>
    </row>
    <row r="3" spans="1:39" s="72" customFormat="1" ht="15" thickBot="1" x14ac:dyDescent="0.25">
      <c r="A3" s="84" t="s">
        <v>300</v>
      </c>
      <c r="B3" s="221"/>
      <c r="F3"/>
      <c r="G3" s="198"/>
      <c r="H3" s="125"/>
      <c r="L3"/>
      <c r="M3" s="71"/>
      <c r="S3" s="71"/>
      <c r="X3"/>
      <c r="Y3" s="71"/>
      <c r="AD3"/>
      <c r="AE3" s="73"/>
      <c r="AF3" s="101"/>
      <c r="AG3" s="92"/>
      <c r="AH3" s="222"/>
    </row>
    <row r="4" spans="1:39" x14ac:dyDescent="0.2">
      <c r="AF4" s="79" t="s">
        <v>250</v>
      </c>
      <c r="AG4" s="337" t="s">
        <v>251</v>
      </c>
      <c r="AH4" s="223" t="s">
        <v>252</v>
      </c>
      <c r="AI4" s="72"/>
      <c r="AJ4" s="72"/>
      <c r="AK4" s="72"/>
    </row>
    <row r="5" spans="1:39" s="72" customFormat="1" x14ac:dyDescent="0.2">
      <c r="A5" s="101"/>
      <c r="B5" s="101"/>
      <c r="F5"/>
      <c r="G5" s="101"/>
      <c r="H5" s="101"/>
      <c r="L5"/>
      <c r="M5" s="198"/>
      <c r="N5" s="125"/>
      <c r="S5" s="198"/>
      <c r="T5" s="125"/>
      <c r="X5"/>
      <c r="Y5" s="198"/>
      <c r="Z5" s="125"/>
      <c r="AD5"/>
      <c r="AE5" s="73"/>
      <c r="AF5" s="85" t="s">
        <v>254</v>
      </c>
      <c r="AG5" s="86">
        <v>15</v>
      </c>
      <c r="AH5" s="224">
        <f>AG5*8</f>
        <v>120</v>
      </c>
      <c r="AI5" s="101"/>
      <c r="AJ5" s="101"/>
      <c r="AK5" s="101"/>
    </row>
    <row r="6" spans="1:39" s="72" customFormat="1" x14ac:dyDescent="0.2">
      <c r="A6" s="78"/>
      <c r="B6" s="74"/>
      <c r="C6" s="90" t="s">
        <v>255</v>
      </c>
      <c r="D6" s="91"/>
      <c r="E6" s="92"/>
      <c r="F6"/>
      <c r="G6" s="78"/>
      <c r="H6" s="74"/>
      <c r="I6" s="90" t="s">
        <v>256</v>
      </c>
      <c r="J6" s="91"/>
      <c r="K6" s="92"/>
      <c r="L6" s="93"/>
      <c r="M6" s="78"/>
      <c r="N6" s="74"/>
      <c r="O6" s="90" t="s">
        <v>257</v>
      </c>
      <c r="P6" s="91"/>
      <c r="Q6" s="92"/>
      <c r="R6" s="92"/>
      <c r="S6" s="78"/>
      <c r="T6" s="74"/>
      <c r="U6" s="90" t="s">
        <v>258</v>
      </c>
      <c r="V6" s="91"/>
      <c r="W6" s="92"/>
      <c r="X6" s="93"/>
      <c r="Z6" s="78"/>
      <c r="AA6" s="90" t="s">
        <v>259</v>
      </c>
      <c r="AC6" s="91"/>
      <c r="AD6" s="93"/>
      <c r="AF6" s="85" t="s">
        <v>260</v>
      </c>
      <c r="AG6" s="86">
        <v>15</v>
      </c>
      <c r="AH6" s="224">
        <f>AG6*8</f>
        <v>120</v>
      </c>
      <c r="AI6" s="101"/>
      <c r="AJ6" s="101"/>
      <c r="AK6" s="101"/>
    </row>
    <row r="7" spans="1:39" s="72" customFormat="1" x14ac:dyDescent="0.2">
      <c r="A7" s="94" t="s">
        <v>261</v>
      </c>
      <c r="B7" s="263" t="s">
        <v>343</v>
      </c>
      <c r="C7" s="96" t="s">
        <v>262</v>
      </c>
      <c r="D7" s="97">
        <v>365</v>
      </c>
      <c r="E7" s="98">
        <f>D7*B8</f>
        <v>2920</v>
      </c>
      <c r="F7"/>
      <c r="G7" s="94" t="s">
        <v>261</v>
      </c>
      <c r="H7" s="263" t="s">
        <v>339</v>
      </c>
      <c r="I7" s="96" t="s">
        <v>262</v>
      </c>
      <c r="J7" s="97">
        <v>365</v>
      </c>
      <c r="K7" s="98">
        <f>J7*H8</f>
        <v>4380</v>
      </c>
      <c r="L7" s="99"/>
      <c r="M7" s="94" t="s">
        <v>261</v>
      </c>
      <c r="N7" s="100" t="s">
        <v>340</v>
      </c>
      <c r="O7" s="96" t="s">
        <v>262</v>
      </c>
      <c r="P7" s="97">
        <v>365</v>
      </c>
      <c r="Q7" s="98">
        <f>N8*P7</f>
        <v>5657.5</v>
      </c>
      <c r="R7" s="98"/>
      <c r="S7" s="94" t="s">
        <v>261</v>
      </c>
      <c r="T7" s="102" t="s">
        <v>263</v>
      </c>
      <c r="U7" s="96" t="s">
        <v>262</v>
      </c>
      <c r="V7" s="97">
        <v>365</v>
      </c>
      <c r="W7" s="98">
        <f>T8*V7</f>
        <v>7300</v>
      </c>
      <c r="X7" s="99"/>
      <c r="Y7" s="94" t="s">
        <v>261</v>
      </c>
      <c r="Z7" s="102" t="s">
        <v>264</v>
      </c>
      <c r="AA7" s="96" t="s">
        <v>262</v>
      </c>
      <c r="AB7" s="97">
        <v>365</v>
      </c>
      <c r="AC7" s="98">
        <f>Z8*AB7</f>
        <v>9125</v>
      </c>
      <c r="AD7" s="99"/>
      <c r="AF7" s="85" t="s">
        <v>266</v>
      </c>
      <c r="AG7" s="86">
        <v>13</v>
      </c>
      <c r="AH7" s="224">
        <f>AG7*8</f>
        <v>104</v>
      </c>
      <c r="AI7" s="101"/>
      <c r="AJ7" s="101"/>
      <c r="AK7" s="101"/>
    </row>
    <row r="8" spans="1:39" s="101" customFormat="1" x14ac:dyDescent="0.2">
      <c r="A8" s="94"/>
      <c r="B8" s="102">
        <v>8</v>
      </c>
      <c r="C8" s="96"/>
      <c r="D8" s="97"/>
      <c r="E8" s="98"/>
      <c r="F8"/>
      <c r="G8" s="94"/>
      <c r="H8" s="102">
        <v>12</v>
      </c>
      <c r="I8" s="96"/>
      <c r="J8" s="97"/>
      <c r="K8" s="98"/>
      <c r="L8" s="99"/>
      <c r="M8" s="94"/>
      <c r="N8" s="102">
        <v>15.5</v>
      </c>
      <c r="O8" s="96"/>
      <c r="P8" s="97"/>
      <c r="Q8" s="98"/>
      <c r="R8" s="98"/>
      <c r="S8" s="94"/>
      <c r="T8" s="102">
        <v>20</v>
      </c>
      <c r="U8" s="96"/>
      <c r="V8" s="97"/>
      <c r="W8" s="98"/>
      <c r="X8" s="99"/>
      <c r="Y8" s="94"/>
      <c r="Z8" s="102">
        <v>25</v>
      </c>
      <c r="AA8" s="96"/>
      <c r="AB8" s="97"/>
      <c r="AC8" s="98"/>
      <c r="AD8" s="99"/>
      <c r="AF8" s="104" t="s">
        <v>267</v>
      </c>
      <c r="AG8" s="105">
        <v>8</v>
      </c>
      <c r="AH8" s="225">
        <f>AG8*8</f>
        <v>64</v>
      </c>
    </row>
    <row r="9" spans="1:39" s="101" customFormat="1" x14ac:dyDescent="0.2">
      <c r="A9" s="94"/>
      <c r="B9" s="102"/>
      <c r="C9" s="108"/>
      <c r="D9" s="97"/>
      <c r="E9" s="98"/>
      <c r="F9"/>
      <c r="G9" s="94"/>
      <c r="H9" s="102"/>
      <c r="I9" s="108"/>
      <c r="J9" s="97"/>
      <c r="K9" s="98"/>
      <c r="L9"/>
      <c r="M9" s="94"/>
      <c r="N9" s="102"/>
      <c r="O9" s="108"/>
      <c r="P9" s="97"/>
      <c r="Q9" s="98"/>
      <c r="S9" s="94"/>
      <c r="T9" s="102"/>
      <c r="U9" s="108"/>
      <c r="V9" s="97"/>
      <c r="W9" s="98"/>
      <c r="X9"/>
      <c r="Y9" s="94"/>
      <c r="Z9" s="102"/>
      <c r="AA9" s="108"/>
      <c r="AB9" s="97"/>
      <c r="AC9" s="98"/>
      <c r="AD9"/>
      <c r="AE9" s="99"/>
      <c r="AF9" s="85"/>
      <c r="AG9" s="109" t="s">
        <v>268</v>
      </c>
      <c r="AH9" s="224">
        <f>SUM(AH5:AH8)</f>
        <v>408</v>
      </c>
      <c r="AI9" s="75"/>
      <c r="AJ9" s="75"/>
      <c r="AK9" s="75"/>
    </row>
    <row r="10" spans="1:39" s="357" customFormat="1" ht="26.25" thickBot="1" x14ac:dyDescent="0.25">
      <c r="A10" s="356"/>
      <c r="B10" s="292" t="s">
        <v>269</v>
      </c>
      <c r="C10" s="293" t="s">
        <v>341</v>
      </c>
      <c r="D10" s="294" t="s">
        <v>270</v>
      </c>
      <c r="E10" s="293" t="s">
        <v>342</v>
      </c>
      <c r="F10" s="227"/>
      <c r="G10" s="356"/>
      <c r="H10" s="292" t="s">
        <v>269</v>
      </c>
      <c r="I10" s="293" t="s">
        <v>341</v>
      </c>
      <c r="J10" s="294" t="s">
        <v>270</v>
      </c>
      <c r="K10" s="293" t="s">
        <v>342</v>
      </c>
      <c r="L10" s="227"/>
      <c r="M10" s="356"/>
      <c r="N10" s="292" t="s">
        <v>269</v>
      </c>
      <c r="O10" s="293" t="s">
        <v>341</v>
      </c>
      <c r="P10" s="294" t="s">
        <v>270</v>
      </c>
      <c r="Q10" s="293" t="s">
        <v>342</v>
      </c>
      <c r="S10" s="356"/>
      <c r="T10" s="292" t="s">
        <v>269</v>
      </c>
      <c r="U10" s="377" t="s">
        <v>341</v>
      </c>
      <c r="V10" s="378" t="s">
        <v>270</v>
      </c>
      <c r="W10" s="293" t="s">
        <v>342</v>
      </c>
      <c r="X10" s="227"/>
      <c r="Y10" s="356"/>
      <c r="Z10" s="292" t="s">
        <v>269</v>
      </c>
      <c r="AA10" s="293" t="s">
        <v>341</v>
      </c>
      <c r="AB10" s="294" t="s">
        <v>270</v>
      </c>
      <c r="AC10" s="293" t="s">
        <v>342</v>
      </c>
      <c r="AD10" s="227"/>
      <c r="AE10" s="207"/>
      <c r="AF10" s="360"/>
      <c r="AG10" s="361" t="s">
        <v>271</v>
      </c>
      <c r="AH10" s="226">
        <f>AH9/(52*40)</f>
        <v>0.19615384615384615</v>
      </c>
      <c r="AI10" s="362"/>
      <c r="AJ10" s="362"/>
      <c r="AK10" s="362"/>
    </row>
    <row r="11" spans="1:39" s="101" customFormat="1" ht="15" thickBot="1" x14ac:dyDescent="0.25">
      <c r="A11" s="380" t="s">
        <v>272</v>
      </c>
      <c r="B11" s="381"/>
      <c r="C11" s="382">
        <f>$AH$13</f>
        <v>65368.626426372299</v>
      </c>
      <c r="D11" s="124">
        <f>AH20</f>
        <v>2.15</v>
      </c>
      <c r="E11" s="157">
        <f>C11*D11</f>
        <v>140542.54681670043</v>
      </c>
      <c r="F11" s="721"/>
      <c r="G11" s="380" t="s">
        <v>272</v>
      </c>
      <c r="H11" s="381"/>
      <c r="I11" s="382">
        <f>$AH$13</f>
        <v>65368.626426372299</v>
      </c>
      <c r="J11" s="124">
        <f>AI20</f>
        <v>2.15</v>
      </c>
      <c r="K11" s="157">
        <f>I11*J11</f>
        <v>140542.54681670043</v>
      </c>
      <c r="L11" s="721"/>
      <c r="M11" s="380" t="s">
        <v>272</v>
      </c>
      <c r="N11" s="381"/>
      <c r="O11" s="382">
        <f>$AH$13</f>
        <v>65368.626426372299</v>
      </c>
      <c r="P11" s="124">
        <f>AJ20</f>
        <v>2.15</v>
      </c>
      <c r="Q11" s="75">
        <f>O11*P11</f>
        <v>140542.54681670043</v>
      </c>
      <c r="R11" s="75"/>
      <c r="S11" s="121" t="s">
        <v>272</v>
      </c>
      <c r="T11" s="122"/>
      <c r="U11" s="382">
        <f>$AH$13</f>
        <v>65368.626426372299</v>
      </c>
      <c r="V11" s="124">
        <f>AK20</f>
        <v>2.15</v>
      </c>
      <c r="W11" s="75">
        <f>U11*V11</f>
        <v>140542.54681670043</v>
      </c>
      <c r="X11"/>
      <c r="Y11" s="121" t="s">
        <v>272</v>
      </c>
      <c r="Z11" s="122"/>
      <c r="AA11" s="382">
        <f>$AH$13</f>
        <v>65368.626426372299</v>
      </c>
      <c r="AB11" s="124">
        <f>AL20</f>
        <v>2.15</v>
      </c>
      <c r="AC11" s="75">
        <f>AA11*AB11</f>
        <v>140542.54681670043</v>
      </c>
      <c r="AD11"/>
      <c r="AE11" s="77"/>
      <c r="AF11" s="73"/>
      <c r="AG11" s="125"/>
      <c r="AH11" s="19"/>
      <c r="AI11" s="133"/>
      <c r="AJ11" s="133"/>
      <c r="AK11" s="133"/>
    </row>
    <row r="12" spans="1:39" s="75" customFormat="1" x14ac:dyDescent="0.2">
      <c r="A12" s="380" t="s">
        <v>273</v>
      </c>
      <c r="B12" s="124">
        <f>AH22</f>
        <v>7.5</v>
      </c>
      <c r="C12" s="382">
        <f>$AH$14</f>
        <v>56879.606800509006</v>
      </c>
      <c r="D12" s="124">
        <f>B8/B12</f>
        <v>1.0666666666666667</v>
      </c>
      <c r="E12" s="157">
        <f>C12*D12</f>
        <v>60671.580587209603</v>
      </c>
      <c r="F12" s="721"/>
      <c r="G12" s="380" t="s">
        <v>273</v>
      </c>
      <c r="H12" s="124">
        <f>AI22</f>
        <v>7.5</v>
      </c>
      <c r="I12" s="382">
        <f>$AH$14</f>
        <v>56879.606800509006</v>
      </c>
      <c r="J12" s="124">
        <f>H8/H12</f>
        <v>1.6</v>
      </c>
      <c r="K12" s="157">
        <f>I12*J12</f>
        <v>91007.370880814415</v>
      </c>
      <c r="L12" s="721"/>
      <c r="M12" s="380" t="s">
        <v>273</v>
      </c>
      <c r="N12" s="124">
        <f>AJ22</f>
        <v>7.5</v>
      </c>
      <c r="O12" s="382">
        <f>$AH$14</f>
        <v>56879.606800509006</v>
      </c>
      <c r="P12" s="132">
        <f>N8/N12</f>
        <v>2.0666666666666669</v>
      </c>
      <c r="Q12" s="75">
        <f>O12*P12</f>
        <v>117551.18738771863</v>
      </c>
      <c r="S12" s="121" t="s">
        <v>273</v>
      </c>
      <c r="T12" s="132">
        <f>AK22</f>
        <v>7.5</v>
      </c>
      <c r="U12" s="382">
        <f>$AH$14</f>
        <v>56879.606800509006</v>
      </c>
      <c r="V12" s="124">
        <f>T8/T12</f>
        <v>2.6666666666666665</v>
      </c>
      <c r="W12" s="75">
        <f>U12*V12</f>
        <v>151678.951468024</v>
      </c>
      <c r="X12"/>
      <c r="Y12" s="121" t="s">
        <v>273</v>
      </c>
      <c r="Z12" s="132">
        <f>AL22</f>
        <v>7.5</v>
      </c>
      <c r="AA12" s="382">
        <f>$AH$14</f>
        <v>56879.606800509006</v>
      </c>
      <c r="AB12" s="132">
        <f>Z8/Z12</f>
        <v>3.3333333333333335</v>
      </c>
      <c r="AC12" s="75">
        <f>AA12*AB12</f>
        <v>189598.68933503004</v>
      </c>
      <c r="AD12"/>
      <c r="AE12" s="77"/>
      <c r="AF12" s="127"/>
      <c r="AG12" s="128"/>
      <c r="AH12" s="266" t="s">
        <v>274</v>
      </c>
      <c r="AI12" s="267"/>
      <c r="AJ12" s="267"/>
      <c r="AK12" s="267"/>
      <c r="AL12" s="82"/>
      <c r="AM12" s="83"/>
    </row>
    <row r="13" spans="1:39" s="75" customFormat="1" x14ac:dyDescent="0.2">
      <c r="A13" s="383" t="s">
        <v>275</v>
      </c>
      <c r="B13" s="124">
        <f>AH30</f>
        <v>1.1000000000000001</v>
      </c>
      <c r="C13" s="382">
        <f>$AH$15</f>
        <v>34055.717454304911</v>
      </c>
      <c r="D13" s="124">
        <f>B8/B13</f>
        <v>7.2727272727272725</v>
      </c>
      <c r="E13" s="157">
        <f>C13*D13</f>
        <v>247677.94512221753</v>
      </c>
      <c r="F13" s="721"/>
      <c r="G13" s="383" t="s">
        <v>275</v>
      </c>
      <c r="H13" s="124">
        <f>AI30</f>
        <v>1.1000000000000001</v>
      </c>
      <c r="I13" s="382">
        <f>$AH$15</f>
        <v>34055.717454304911</v>
      </c>
      <c r="J13" s="124">
        <f>H8/H13</f>
        <v>10.909090909090908</v>
      </c>
      <c r="K13" s="157">
        <f>I13*J13</f>
        <v>371516.91768332629</v>
      </c>
      <c r="L13" s="721"/>
      <c r="M13" s="383" t="s">
        <v>275</v>
      </c>
      <c r="N13" s="124">
        <f>AJ30</f>
        <v>1.1000000000000001</v>
      </c>
      <c r="O13" s="382">
        <f>$AH$15</f>
        <v>34055.717454304911</v>
      </c>
      <c r="P13" s="132">
        <f>N8/N13</f>
        <v>14.09090909090909</v>
      </c>
      <c r="Q13" s="75">
        <f>O13*P13</f>
        <v>479876.01867429644</v>
      </c>
      <c r="R13" s="133"/>
      <c r="S13" s="131" t="s">
        <v>275</v>
      </c>
      <c r="T13" s="132">
        <f>AK30</f>
        <v>1.1000000000000001</v>
      </c>
      <c r="U13" s="382">
        <f>$AH$15</f>
        <v>34055.717454304911</v>
      </c>
      <c r="V13" s="124">
        <f>T8/T13</f>
        <v>18.18181818181818</v>
      </c>
      <c r="W13" s="75">
        <f>U13*V13</f>
        <v>619194.86280554382</v>
      </c>
      <c r="X13"/>
      <c r="Y13" s="131" t="s">
        <v>275</v>
      </c>
      <c r="Z13" s="132">
        <f>AL30</f>
        <v>1.1000000000000001</v>
      </c>
      <c r="AA13" s="382">
        <f>$AH$15</f>
        <v>34055.717454304911</v>
      </c>
      <c r="AB13" s="132">
        <f>Z8/Z13</f>
        <v>22.727272727272727</v>
      </c>
      <c r="AC13" s="75">
        <f>AA13*AB13</f>
        <v>773993.5785069298</v>
      </c>
      <c r="AD13"/>
      <c r="AE13" s="77"/>
      <c r="AF13" s="134" t="s">
        <v>272</v>
      </c>
      <c r="AG13" s="77"/>
      <c r="AH13" s="386">
        <f>'Youth Res Rate Models'!AC10</f>
        <v>65368.626426372299</v>
      </c>
      <c r="AI13" s="77"/>
      <c r="AJ13" s="77"/>
      <c r="AK13" s="77"/>
      <c r="AL13" s="77"/>
      <c r="AM13" s="103"/>
    </row>
    <row r="14" spans="1:39" s="133" customFormat="1" x14ac:dyDescent="0.2">
      <c r="A14" s="383" t="s">
        <v>276</v>
      </c>
      <c r="B14" s="124"/>
      <c r="C14" s="382">
        <f>$AH$15</f>
        <v>34055.717454304911</v>
      </c>
      <c r="D14" s="124">
        <f>D13*AH10</f>
        <v>1.4265734265734265</v>
      </c>
      <c r="E14" s="157">
        <f>C14*D14</f>
        <v>48582.981543204201</v>
      </c>
      <c r="F14" s="721"/>
      <c r="G14" s="383" t="s">
        <v>276</v>
      </c>
      <c r="H14" s="124"/>
      <c r="I14" s="382">
        <f>$AH$15</f>
        <v>34055.717454304911</v>
      </c>
      <c r="J14" s="124">
        <f>J13*AH10</f>
        <v>2.1398601398601396</v>
      </c>
      <c r="K14" s="157">
        <f>I14*J14</f>
        <v>72874.472314806306</v>
      </c>
      <c r="L14" s="721"/>
      <c r="M14" s="383" t="s">
        <v>276</v>
      </c>
      <c r="N14" s="124"/>
      <c r="O14" s="382">
        <f>$AH$15</f>
        <v>34055.717454304911</v>
      </c>
      <c r="P14" s="132">
        <f>P13*AH10</f>
        <v>2.7639860139860137</v>
      </c>
      <c r="Q14" s="75">
        <f>O14*P14</f>
        <v>94129.52673995815</v>
      </c>
      <c r="S14" s="131" t="s">
        <v>276</v>
      </c>
      <c r="T14" s="132"/>
      <c r="U14" s="382">
        <f>$AH$15</f>
        <v>34055.717454304911</v>
      </c>
      <c r="V14" s="124">
        <f>V13*AH10</f>
        <v>3.5664335664335658</v>
      </c>
      <c r="W14" s="75">
        <f>U14*V14</f>
        <v>121457.4538580105</v>
      </c>
      <c r="X14"/>
      <c r="Y14" s="131" t="s">
        <v>276</v>
      </c>
      <c r="Z14" s="132"/>
      <c r="AA14" s="382">
        <f>$AH$15</f>
        <v>34055.717454304911</v>
      </c>
      <c r="AB14" s="132">
        <f>AB13*AH10</f>
        <v>4.4580419580419575</v>
      </c>
      <c r="AC14" s="75">
        <f>AA14*AB14</f>
        <v>151821.81732251315</v>
      </c>
      <c r="AD14"/>
      <c r="AE14" s="77"/>
      <c r="AF14" s="134" t="s">
        <v>273</v>
      </c>
      <c r="AG14" s="77"/>
      <c r="AH14" s="386">
        <f>'Youth Res Rate Models'!AC11</f>
        <v>56879.606800509006</v>
      </c>
      <c r="AI14" s="106"/>
      <c r="AJ14" s="106"/>
      <c r="AK14" s="106"/>
      <c r="AL14" s="88"/>
      <c r="AM14" s="89"/>
    </row>
    <row r="15" spans="1:39" s="133" customFormat="1" x14ac:dyDescent="0.2">
      <c r="A15" s="380" t="s">
        <v>370</v>
      </c>
      <c r="B15" s="124"/>
      <c r="C15" s="382">
        <f>$AH$16</f>
        <v>33504.965890805717</v>
      </c>
      <c r="D15" s="124">
        <f>AH30</f>
        <v>1.1000000000000001</v>
      </c>
      <c r="E15" s="157">
        <f>C15*D15</f>
        <v>36855.462479886293</v>
      </c>
      <c r="F15" s="721"/>
      <c r="G15" s="380" t="s">
        <v>370</v>
      </c>
      <c r="H15" s="124"/>
      <c r="I15" s="382">
        <f>$AH$16</f>
        <v>33504.965890805717</v>
      </c>
      <c r="J15" s="124">
        <f>AI25</f>
        <v>1</v>
      </c>
      <c r="K15" s="157">
        <f>I15*J15</f>
        <v>33504.965890805717</v>
      </c>
      <c r="L15" s="721"/>
      <c r="M15" s="380" t="s">
        <v>370</v>
      </c>
      <c r="N15" s="124"/>
      <c r="O15" s="382">
        <f>$AH$16</f>
        <v>33504.965890805717</v>
      </c>
      <c r="P15" s="132">
        <f>AJ25</f>
        <v>1.25</v>
      </c>
      <c r="Q15" s="75">
        <f>O15*P15</f>
        <v>41881.207363507143</v>
      </c>
      <c r="R15" s="75"/>
      <c r="S15" s="121" t="s">
        <v>370</v>
      </c>
      <c r="T15" s="132"/>
      <c r="U15" s="382">
        <f>$AH$16</f>
        <v>33504.965890805717</v>
      </c>
      <c r="V15" s="124">
        <f>AK25</f>
        <v>1.6666666666666667</v>
      </c>
      <c r="W15" s="75">
        <f>U15*V15</f>
        <v>55841.609818009529</v>
      </c>
      <c r="X15"/>
      <c r="Y15" s="121" t="s">
        <v>370</v>
      </c>
      <c r="Z15" s="132"/>
      <c r="AA15" s="382">
        <f>$AH$16</f>
        <v>33504.965890805717</v>
      </c>
      <c r="AB15" s="132">
        <f>AL25</f>
        <v>2.0833333333333335</v>
      </c>
      <c r="AC15" s="75">
        <f>AA15*AB15</f>
        <v>69802.012272511914</v>
      </c>
      <c r="AD15"/>
      <c r="AE15" s="77"/>
      <c r="AF15" s="137" t="s">
        <v>275</v>
      </c>
      <c r="AG15" s="88"/>
      <c r="AH15" s="386">
        <f>'Youth Res Rate Models'!AC12</f>
        <v>34055.717454304911</v>
      </c>
      <c r="AI15" s="106"/>
      <c r="AJ15" s="106"/>
      <c r="AK15" s="106"/>
      <c r="AL15" s="88"/>
      <c r="AM15" s="89"/>
    </row>
    <row r="16" spans="1:39" s="75" customFormat="1" x14ac:dyDescent="0.2">
      <c r="A16" s="387" t="s">
        <v>277</v>
      </c>
      <c r="B16" s="387"/>
      <c r="C16" s="388"/>
      <c r="D16" s="389">
        <f>SUM(D11:D15)</f>
        <v>13.015967365967365</v>
      </c>
      <c r="E16" s="388">
        <f>SUM(E11:E15)</f>
        <v>534330.5165492181</v>
      </c>
      <c r="F16" s="721"/>
      <c r="G16" s="387" t="s">
        <v>277</v>
      </c>
      <c r="H16" s="387"/>
      <c r="I16" s="388"/>
      <c r="J16" s="389">
        <f>SUM(J11:J15)</f>
        <v>17.798951048951047</v>
      </c>
      <c r="K16" s="388">
        <f>SUM(K11:K15)</f>
        <v>709446.27358645317</v>
      </c>
      <c r="L16" s="721"/>
      <c r="M16" s="387" t="s">
        <v>277</v>
      </c>
      <c r="N16" s="387"/>
      <c r="O16" s="388"/>
      <c r="P16" s="140">
        <f>SUM(P11:P15)</f>
        <v>22.321561771561768</v>
      </c>
      <c r="Q16" s="139">
        <f>SUM(Q11:Q15)</f>
        <v>873980.48698218085</v>
      </c>
      <c r="R16" s="101"/>
      <c r="S16" s="138" t="s">
        <v>277</v>
      </c>
      <c r="T16" s="138"/>
      <c r="U16" s="388"/>
      <c r="V16" s="389">
        <f>SUM(V11:V15)</f>
        <v>28.231585081585081</v>
      </c>
      <c r="W16" s="139">
        <f>SUM(W11:W15)</f>
        <v>1088715.4247662881</v>
      </c>
      <c r="X16"/>
      <c r="Y16" s="138" t="s">
        <v>277</v>
      </c>
      <c r="Z16" s="138"/>
      <c r="AA16" s="388"/>
      <c r="AB16" s="140">
        <f>SUM(AB11:AB15)</f>
        <v>34.751981351981357</v>
      </c>
      <c r="AC16" s="139">
        <f>SUM(AC11:AC15)</f>
        <v>1325758.6442536851</v>
      </c>
      <c r="AD16"/>
      <c r="AE16" s="93"/>
      <c r="AF16" s="134" t="s">
        <v>370</v>
      </c>
      <c r="AG16" s="77"/>
      <c r="AH16" s="386">
        <f>'Youth Res Rate Models'!AC13</f>
        <v>33504.965890805717</v>
      </c>
      <c r="AI16" s="106"/>
      <c r="AJ16" s="106"/>
      <c r="AK16" s="106"/>
      <c r="AL16" s="77"/>
      <c r="AM16" s="103"/>
    </row>
    <row r="17" spans="1:39" s="101" customFormat="1" x14ac:dyDescent="0.2">
      <c r="A17" s="198"/>
      <c r="B17" s="198"/>
      <c r="C17" s="369"/>
      <c r="D17" s="390"/>
      <c r="E17" s="369"/>
      <c r="F17" s="721"/>
      <c r="G17" s="198"/>
      <c r="H17" s="198"/>
      <c r="I17" s="369"/>
      <c r="J17" s="390"/>
      <c r="K17" s="369"/>
      <c r="L17" s="721"/>
      <c r="M17" s="198"/>
      <c r="N17" s="198"/>
      <c r="O17" s="369"/>
      <c r="P17" s="141"/>
      <c r="Q17" s="93"/>
      <c r="S17" s="106"/>
      <c r="T17" s="106"/>
      <c r="U17" s="369"/>
      <c r="V17" s="390"/>
      <c r="W17" s="93"/>
      <c r="X17"/>
      <c r="Y17" s="106"/>
      <c r="Z17" s="106"/>
      <c r="AA17" s="369"/>
      <c r="AB17" s="141"/>
      <c r="AC17" s="93"/>
      <c r="AD17"/>
      <c r="AE17" s="93"/>
      <c r="AF17" s="142"/>
      <c r="AG17" s="77"/>
      <c r="AH17" s="74"/>
      <c r="AI17" s="206"/>
      <c r="AJ17" s="206"/>
      <c r="AK17" s="285"/>
      <c r="AL17" s="106"/>
      <c r="AM17" s="107"/>
    </row>
    <row r="18" spans="1:39" s="101" customFormat="1" x14ac:dyDescent="0.2">
      <c r="A18" s="391" t="s">
        <v>278</v>
      </c>
      <c r="B18" s="391"/>
      <c r="C18" s="392"/>
      <c r="D18" s="393" t="s">
        <v>279</v>
      </c>
      <c r="E18" s="392"/>
      <c r="F18" s="721"/>
      <c r="G18" s="391" t="s">
        <v>278</v>
      </c>
      <c r="H18" s="391"/>
      <c r="I18" s="392"/>
      <c r="J18" s="393" t="s">
        <v>279</v>
      </c>
      <c r="K18" s="392"/>
      <c r="L18" s="721"/>
      <c r="M18" s="391" t="s">
        <v>278</v>
      </c>
      <c r="N18" s="391"/>
      <c r="O18" s="392"/>
      <c r="P18" s="113" t="s">
        <v>279</v>
      </c>
      <c r="Q18" s="112"/>
      <c r="S18" s="111" t="s">
        <v>278</v>
      </c>
      <c r="T18" s="111"/>
      <c r="U18" s="392"/>
      <c r="V18" s="393" t="s">
        <v>279</v>
      </c>
      <c r="W18" s="112"/>
      <c r="X18"/>
      <c r="Y18" s="111" t="s">
        <v>278</v>
      </c>
      <c r="Z18" s="111"/>
      <c r="AA18" s="392"/>
      <c r="AB18" s="113" t="s">
        <v>279</v>
      </c>
      <c r="AC18" s="112"/>
      <c r="AD18"/>
      <c r="AE18" s="114"/>
      <c r="AF18" s="142"/>
      <c r="AG18" s="77"/>
      <c r="AH18" s="268">
        <v>8</v>
      </c>
      <c r="AI18" s="268">
        <v>12</v>
      </c>
      <c r="AJ18" s="268">
        <v>15.5</v>
      </c>
      <c r="AK18" s="268">
        <v>20</v>
      </c>
      <c r="AL18" s="264">
        <v>25</v>
      </c>
      <c r="AM18" s="265">
        <v>30</v>
      </c>
    </row>
    <row r="19" spans="1:39" s="101" customFormat="1" x14ac:dyDescent="0.2">
      <c r="A19" s="143" t="s">
        <v>280</v>
      </c>
      <c r="B19" s="144"/>
      <c r="C19" s="160">
        <f>$AH$33</f>
        <v>0.25578770213785851</v>
      </c>
      <c r="D19" s="395"/>
      <c r="E19" s="157">
        <f>C19*E16</f>
        <v>136675.17501025947</v>
      </c>
      <c r="F19" s="721"/>
      <c r="G19" s="143" t="s">
        <v>280</v>
      </c>
      <c r="H19" s="144"/>
      <c r="I19" s="160">
        <f>$AH$33</f>
        <v>0.25578770213785851</v>
      </c>
      <c r="J19" s="395"/>
      <c r="K19" s="157">
        <f>I19*K16</f>
        <v>181467.63211094536</v>
      </c>
      <c r="L19" s="721"/>
      <c r="M19" s="143" t="s">
        <v>280</v>
      </c>
      <c r="N19" s="144"/>
      <c r="O19" s="160">
        <f>$AH$33</f>
        <v>0.25578770213785851</v>
      </c>
      <c r="P19" s="145"/>
      <c r="Q19" s="75">
        <f>O19*Q16</f>
        <v>223553.4604784986</v>
      </c>
      <c r="R19" s="78"/>
      <c r="S19" s="143" t="s">
        <v>280</v>
      </c>
      <c r="T19" s="144"/>
      <c r="U19" s="160">
        <f>$AH$33</f>
        <v>0.25578770213785851</v>
      </c>
      <c r="V19" s="395"/>
      <c r="W19" s="75">
        <f>U19*W16</f>
        <v>278480.01678301144</v>
      </c>
      <c r="X19"/>
      <c r="Y19" s="143" t="s">
        <v>280</v>
      </c>
      <c r="Z19" s="144"/>
      <c r="AA19" s="160">
        <f>$AH$33</f>
        <v>0.25578770213785851</v>
      </c>
      <c r="AB19" s="145"/>
      <c r="AC19" s="75">
        <f>AA19*AC16</f>
        <v>339112.75720305275</v>
      </c>
      <c r="AD19"/>
      <c r="AE19" s="146"/>
      <c r="AF19" s="147"/>
      <c r="AG19" s="148" t="s">
        <v>281</v>
      </c>
      <c r="AH19" s="1129" t="s">
        <v>270</v>
      </c>
      <c r="AI19" s="1129"/>
      <c r="AJ19" s="1129"/>
      <c r="AK19" s="1129"/>
      <c r="AL19" s="1129"/>
      <c r="AM19" s="1130"/>
    </row>
    <row r="20" spans="1:39" s="78" customFormat="1" x14ac:dyDescent="0.2">
      <c r="A20" s="397" t="s">
        <v>282</v>
      </c>
      <c r="B20" s="397"/>
      <c r="C20" s="398"/>
      <c r="D20" s="151">
        <f>E20/E7</f>
        <v>229.79646971214987</v>
      </c>
      <c r="E20" s="399">
        <f>E19+E16</f>
        <v>671005.69155947759</v>
      </c>
      <c r="F20" s="721"/>
      <c r="G20" s="397" t="s">
        <v>282</v>
      </c>
      <c r="H20" s="397"/>
      <c r="I20" s="398"/>
      <c r="J20" s="151">
        <f>K20/K7</f>
        <v>203.40500130077592</v>
      </c>
      <c r="K20" s="399">
        <f>K19+K16</f>
        <v>890913.90569739859</v>
      </c>
      <c r="L20" s="721"/>
      <c r="M20" s="397" t="s">
        <v>282</v>
      </c>
      <c r="N20" s="397"/>
      <c r="O20" s="398"/>
      <c r="P20" s="151">
        <f>Q20/Q7</f>
        <v>193.9962788264568</v>
      </c>
      <c r="Q20" s="152">
        <f>Q19+Q16</f>
        <v>1097533.9474606793</v>
      </c>
      <c r="R20" s="72"/>
      <c r="S20" s="149" t="s">
        <v>282</v>
      </c>
      <c r="T20" s="149"/>
      <c r="U20" s="398"/>
      <c r="V20" s="151">
        <f>W20/W7</f>
        <v>187.28704678757526</v>
      </c>
      <c r="W20" s="152">
        <f>W19+W16</f>
        <v>1367195.4415492995</v>
      </c>
      <c r="X20"/>
      <c r="Y20" s="149" t="s">
        <v>282</v>
      </c>
      <c r="Z20" s="149"/>
      <c r="AA20" s="150"/>
      <c r="AB20" s="151">
        <f>AC20/AC7</f>
        <v>182.4516604336151</v>
      </c>
      <c r="AC20" s="152">
        <f>AC19+AC16</f>
        <v>1664871.4014567379</v>
      </c>
      <c r="AD20"/>
      <c r="AE20" s="77"/>
      <c r="AF20" s="134" t="s">
        <v>272</v>
      </c>
      <c r="AG20" s="77"/>
      <c r="AH20" s="153">
        <v>2.15</v>
      </c>
      <c r="AI20" s="153">
        <v>2.15</v>
      </c>
      <c r="AJ20" s="153">
        <v>2.15</v>
      </c>
      <c r="AK20" s="153">
        <v>2.15</v>
      </c>
      <c r="AL20" s="153">
        <v>2.15</v>
      </c>
      <c r="AM20" s="155">
        <v>2.15</v>
      </c>
    </row>
    <row r="21" spans="1:39" s="72" customFormat="1" x14ac:dyDescent="0.2">
      <c r="A21" s="143"/>
      <c r="B21" s="143"/>
      <c r="C21" s="157"/>
      <c r="D21" s="365"/>
      <c r="E21" s="157"/>
      <c r="F21" s="721"/>
      <c r="G21" s="143"/>
      <c r="H21" s="143"/>
      <c r="I21" s="157"/>
      <c r="J21" s="365"/>
      <c r="K21" s="157"/>
      <c r="L21" s="721"/>
      <c r="M21" s="143"/>
      <c r="N21" s="143"/>
      <c r="O21" s="157"/>
      <c r="P21" s="76"/>
      <c r="Q21" s="75"/>
      <c r="U21" s="75"/>
      <c r="V21" s="76"/>
      <c r="W21" s="75"/>
      <c r="X21"/>
      <c r="AA21" s="75"/>
      <c r="AB21" s="76"/>
      <c r="AC21" s="75"/>
      <c r="AD21"/>
      <c r="AE21" s="77"/>
      <c r="AF21" s="85"/>
      <c r="AG21" s="73"/>
      <c r="AH21" s="1131" t="s">
        <v>287</v>
      </c>
      <c r="AI21" s="1131"/>
      <c r="AJ21" s="1131"/>
      <c r="AK21" s="1131"/>
      <c r="AL21" s="1131"/>
      <c r="AM21" s="1132"/>
    </row>
    <row r="22" spans="1:39" s="72" customFormat="1" x14ac:dyDescent="0.2">
      <c r="A22" s="143" t="s">
        <v>91</v>
      </c>
      <c r="B22" s="143"/>
      <c r="C22" s="157"/>
      <c r="D22" s="124">
        <f>$AH$35</f>
        <v>36.208547154554275</v>
      </c>
      <c r="E22" s="157">
        <f>D22*E$7</f>
        <v>105728.95769129848</v>
      </c>
      <c r="F22" s="721"/>
      <c r="G22" s="143" t="s">
        <v>91</v>
      </c>
      <c r="H22" s="143"/>
      <c r="I22" s="157"/>
      <c r="J22" s="124">
        <f>$AH$35</f>
        <v>36.208547154554275</v>
      </c>
      <c r="K22" s="157">
        <f>J22*K$7</f>
        <v>158593.43653694773</v>
      </c>
      <c r="L22" s="721"/>
      <c r="M22" s="143" t="s">
        <v>91</v>
      </c>
      <c r="N22" s="143"/>
      <c r="O22" s="157"/>
      <c r="P22" s="124">
        <f>$AH$35</f>
        <v>36.208547154554275</v>
      </c>
      <c r="Q22" s="75">
        <f>P22*Q$7</f>
        <v>204849.85552689081</v>
      </c>
      <c r="S22" s="72" t="s">
        <v>91</v>
      </c>
      <c r="U22" s="75"/>
      <c r="V22" s="124">
        <f>$AH$35</f>
        <v>36.208547154554275</v>
      </c>
      <c r="W22" s="75">
        <f>V22*W$7</f>
        <v>264322.39422824618</v>
      </c>
      <c r="X22"/>
      <c r="Y22" s="72" t="s">
        <v>91</v>
      </c>
      <c r="AA22" s="75"/>
      <c r="AB22" s="124">
        <f>$AH$35</f>
        <v>36.208547154554275</v>
      </c>
      <c r="AC22" s="75">
        <f>AB22*AC$7</f>
        <v>330402.99278530775</v>
      </c>
      <c r="AD22"/>
      <c r="AE22" s="77"/>
      <c r="AF22" s="134" t="s">
        <v>273</v>
      </c>
      <c r="AG22" s="77"/>
      <c r="AH22" s="347">
        <v>7.5</v>
      </c>
      <c r="AI22" s="347">
        <v>7.5</v>
      </c>
      <c r="AJ22" s="347">
        <v>7.5</v>
      </c>
      <c r="AK22" s="347">
        <v>7.5</v>
      </c>
      <c r="AL22" s="347">
        <v>7.5</v>
      </c>
      <c r="AM22" s="348">
        <v>7.5</v>
      </c>
    </row>
    <row r="23" spans="1:39" s="72" customFormat="1" x14ac:dyDescent="0.2">
      <c r="C23" s="75"/>
      <c r="D23" s="124"/>
      <c r="E23" s="157"/>
      <c r="F23"/>
      <c r="I23" s="75"/>
      <c r="J23" s="124"/>
      <c r="K23" s="157"/>
      <c r="L23"/>
      <c r="O23" s="75"/>
      <c r="P23" s="124"/>
      <c r="Q23" s="157"/>
      <c r="U23" s="75"/>
      <c r="V23" s="124"/>
      <c r="W23" s="157"/>
      <c r="X23"/>
      <c r="AA23" s="75"/>
      <c r="AB23" s="124"/>
      <c r="AC23" s="157"/>
      <c r="AD23"/>
      <c r="AE23" s="284"/>
      <c r="AF23" s="134" t="s">
        <v>370</v>
      </c>
      <c r="AG23" s="77"/>
      <c r="AH23" s="1133" t="s">
        <v>270</v>
      </c>
      <c r="AI23" s="1133"/>
      <c r="AJ23" s="1133"/>
      <c r="AK23" s="1133"/>
      <c r="AL23" s="1133"/>
      <c r="AM23" s="1134"/>
    </row>
    <row r="24" spans="1:39" s="72" customFormat="1" x14ac:dyDescent="0.2">
      <c r="A24" s="72" t="s">
        <v>283</v>
      </c>
      <c r="C24" s="75"/>
      <c r="D24" s="124">
        <f>$AH39</f>
        <v>18.364580498704061</v>
      </c>
      <c r="E24" s="75">
        <f>D24*E$7</f>
        <v>53624.575056215857</v>
      </c>
      <c r="F24"/>
      <c r="G24" s="72" t="s">
        <v>283</v>
      </c>
      <c r="I24" s="75"/>
      <c r="J24" s="124">
        <f>$AH39</f>
        <v>18.364580498704061</v>
      </c>
      <c r="K24" s="75">
        <f>J24*K$7</f>
        <v>80436.862584323782</v>
      </c>
      <c r="L24"/>
      <c r="M24" s="72" t="s">
        <v>283</v>
      </c>
      <c r="O24" s="75"/>
      <c r="P24" s="124">
        <f>$AH39</f>
        <v>18.364580498704061</v>
      </c>
      <c r="Q24" s="75">
        <f>P24*Q$7</f>
        <v>103897.61417141823</v>
      </c>
      <c r="S24" s="72" t="s">
        <v>283</v>
      </c>
      <c r="U24" s="75"/>
      <c r="V24" s="124">
        <f>$AH39</f>
        <v>18.364580498704061</v>
      </c>
      <c r="W24" s="75">
        <f>V24*W$7</f>
        <v>134061.43764053966</v>
      </c>
      <c r="X24"/>
      <c r="Y24" s="72" t="s">
        <v>283</v>
      </c>
      <c r="AA24" s="75"/>
      <c r="AB24" s="124">
        <f>$AH39</f>
        <v>18.364580498704061</v>
      </c>
      <c r="AC24" s="75">
        <f>AB24*AC$7</f>
        <v>167576.79705067456</v>
      </c>
      <c r="AD24"/>
      <c r="AE24" s="77"/>
      <c r="AF24" s="142" t="s">
        <v>284</v>
      </c>
      <c r="AG24" s="77"/>
      <c r="AH24" s="269">
        <f>(0.75*7)/12</f>
        <v>0.4375</v>
      </c>
      <c r="AI24" s="269">
        <f>(0.75*12)/12</f>
        <v>0.75</v>
      </c>
      <c r="AJ24" s="269">
        <f>(0.75*15)/12</f>
        <v>0.9375</v>
      </c>
      <c r="AK24" s="269">
        <f>(0.75*20)/12</f>
        <v>1.25</v>
      </c>
      <c r="AL24" s="269">
        <f>(0.75*25)/12</f>
        <v>1.5625</v>
      </c>
      <c r="AM24" s="350">
        <f>(0.75*30)/12</f>
        <v>1.875</v>
      </c>
    </row>
    <row r="25" spans="1:39" s="72" customFormat="1" x14ac:dyDescent="0.2">
      <c r="C25" s="75"/>
      <c r="D25" s="159">
        <f>SUM(D22:D24)</f>
        <v>54.573127653258339</v>
      </c>
      <c r="E25" s="75"/>
      <c r="F25"/>
      <c r="I25" s="75"/>
      <c r="J25" s="159">
        <f>SUM(J22:J24)</f>
        <v>54.573127653258339</v>
      </c>
      <c r="K25" s="75"/>
      <c r="L25"/>
      <c r="O25" s="75"/>
      <c r="P25" s="159">
        <f>SUM(P22:P24)</f>
        <v>54.573127653258339</v>
      </c>
      <c r="Q25" s="75"/>
      <c r="U25" s="75"/>
      <c r="V25" s="159">
        <f>SUM(V22:V24)</f>
        <v>54.573127653258339</v>
      </c>
      <c r="W25" s="75"/>
      <c r="X25"/>
      <c r="AA25" s="75"/>
      <c r="AB25" s="159">
        <f>SUM(AB22:AB24)</f>
        <v>54.573127653258339</v>
      </c>
      <c r="AC25" s="75"/>
      <c r="AD25"/>
      <c r="AE25" s="77"/>
      <c r="AF25" s="142" t="s">
        <v>285</v>
      </c>
      <c r="AG25" s="77"/>
      <c r="AH25" s="269">
        <f>(1*7)/12</f>
        <v>0.58333333333333337</v>
      </c>
      <c r="AI25" s="269">
        <f>(1*12)/12</f>
        <v>1</v>
      </c>
      <c r="AJ25" s="269">
        <f>(1*15)/12</f>
        <v>1.25</v>
      </c>
      <c r="AK25" s="269">
        <f>(1*20)/12</f>
        <v>1.6666666666666667</v>
      </c>
      <c r="AL25" s="269">
        <f>(1*25)/12</f>
        <v>2.0833333333333335</v>
      </c>
      <c r="AM25" s="350">
        <f>(1*30)/12</f>
        <v>2.5</v>
      </c>
    </row>
    <row r="26" spans="1:39" s="72" customFormat="1" x14ac:dyDescent="0.2">
      <c r="A26" s="138" t="s">
        <v>371</v>
      </c>
      <c r="B26" s="138"/>
      <c r="C26" s="139"/>
      <c r="D26" s="140"/>
      <c r="E26" s="139">
        <f>SUM(E20:E24)</f>
        <v>830359.22430699191</v>
      </c>
      <c r="F26"/>
      <c r="G26" s="138" t="s">
        <v>371</v>
      </c>
      <c r="H26" s="138"/>
      <c r="I26" s="139"/>
      <c r="J26" s="140"/>
      <c r="K26" s="139">
        <f>SUM(K20:K24)</f>
        <v>1129944.2048186702</v>
      </c>
      <c r="L26"/>
      <c r="M26" s="138" t="s">
        <v>371</v>
      </c>
      <c r="N26" s="138"/>
      <c r="O26" s="139"/>
      <c r="P26" s="140"/>
      <c r="Q26" s="139">
        <f>SUM(Q20:Q24)</f>
        <v>1406281.4171589883</v>
      </c>
      <c r="S26" s="138" t="s">
        <v>371</v>
      </c>
      <c r="T26" s="138"/>
      <c r="U26" s="139"/>
      <c r="V26" s="140"/>
      <c r="W26" s="139">
        <f>SUM(W20:W24)</f>
        <v>1765579.2734180854</v>
      </c>
      <c r="X26"/>
      <c r="Y26" s="138" t="s">
        <v>371</v>
      </c>
      <c r="Z26" s="138"/>
      <c r="AA26" s="139"/>
      <c r="AB26" s="140"/>
      <c r="AC26" s="139">
        <f>SUM(AC20:AC24)</f>
        <v>2162851.1912927204</v>
      </c>
      <c r="AD26"/>
      <c r="AE26" s="93"/>
      <c r="AF26" s="142"/>
      <c r="AG26" s="77"/>
      <c r="AH26" s="347"/>
      <c r="AI26" s="198"/>
      <c r="AJ26" s="198"/>
      <c r="AK26" s="198"/>
      <c r="AL26" s="125"/>
      <c r="AM26" s="349"/>
    </row>
    <row r="27" spans="1:39" s="72" customFormat="1" x14ac:dyDescent="0.2">
      <c r="A27" s="72" t="s">
        <v>286</v>
      </c>
      <c r="C27" s="160">
        <f>$AH$42</f>
        <v>0.121061</v>
      </c>
      <c r="D27" s="132"/>
      <c r="E27" s="75">
        <f>C27*E26</f>
        <v>100524.11805382874</v>
      </c>
      <c r="F27"/>
      <c r="G27" s="72" t="s">
        <v>286</v>
      </c>
      <c r="I27" s="160">
        <f>$AH$42</f>
        <v>0.121061</v>
      </c>
      <c r="J27" s="132"/>
      <c r="K27" s="75">
        <f>I27*K26</f>
        <v>136792.17537955302</v>
      </c>
      <c r="L27"/>
      <c r="M27" s="72" t="s">
        <v>286</v>
      </c>
      <c r="O27" s="160">
        <f>$AH$42</f>
        <v>0.121061</v>
      </c>
      <c r="P27" s="132"/>
      <c r="Q27" s="75">
        <f>O27*Q26</f>
        <v>170245.83464268429</v>
      </c>
      <c r="S27" s="72" t="s">
        <v>286</v>
      </c>
      <c r="U27" s="160">
        <f>$AH$42</f>
        <v>0.121061</v>
      </c>
      <c r="V27" s="132"/>
      <c r="W27" s="75">
        <f>U27*W26</f>
        <v>213742.79241926683</v>
      </c>
      <c r="X27"/>
      <c r="Y27" s="72" t="s">
        <v>286</v>
      </c>
      <c r="AA27" s="160">
        <f>$AH$42</f>
        <v>0.121061</v>
      </c>
      <c r="AB27" s="132"/>
      <c r="AC27" s="75">
        <f>AA27*AC26</f>
        <v>261836.92806908803</v>
      </c>
      <c r="AD27"/>
      <c r="AE27" s="77"/>
      <c r="AF27" s="142"/>
      <c r="AG27" s="77"/>
      <c r="AH27" s="1135" t="s">
        <v>287</v>
      </c>
      <c r="AI27" s="1135"/>
      <c r="AJ27" s="1135"/>
      <c r="AK27" s="1135"/>
      <c r="AL27" s="1135"/>
      <c r="AM27" s="1136"/>
    </row>
    <row r="28" spans="1:39" s="72" customFormat="1" x14ac:dyDescent="0.2">
      <c r="A28" s="984" t="str">
        <f>AF41</f>
        <v>PFMLA Trust Contribution</v>
      </c>
      <c r="B28" s="979"/>
      <c r="C28" s="975">
        <f>AH41</f>
        <v>7.4999999999999997E-3</v>
      </c>
      <c r="D28" s="993"/>
      <c r="E28" s="984">
        <f>E16*C28</f>
        <v>4007.4788741191355</v>
      </c>
      <c r="F28" s="994"/>
      <c r="G28" s="984" t="str">
        <f>A28</f>
        <v>PFMLA Trust Contribution</v>
      </c>
      <c r="H28" s="979"/>
      <c r="I28" s="975">
        <f>C28</f>
        <v>7.4999999999999997E-3</v>
      </c>
      <c r="J28" s="993"/>
      <c r="K28" s="984">
        <f>K16*I28</f>
        <v>5320.8470518983986</v>
      </c>
      <c r="L28" s="994"/>
      <c r="M28" s="984" t="str">
        <f>G28</f>
        <v>PFMLA Trust Contribution</v>
      </c>
      <c r="N28" s="979"/>
      <c r="O28" s="975">
        <f>I28</f>
        <v>7.4999999999999997E-3</v>
      </c>
      <c r="P28" s="993"/>
      <c r="Q28" s="984">
        <f>Q16*O28</f>
        <v>6554.8536523663561</v>
      </c>
      <c r="R28" s="979"/>
      <c r="S28" s="984" t="str">
        <f>M28</f>
        <v>PFMLA Trust Contribution</v>
      </c>
      <c r="T28" s="979"/>
      <c r="U28" s="975">
        <f>O28</f>
        <v>7.4999999999999997E-3</v>
      </c>
      <c r="V28" s="993"/>
      <c r="W28" s="984">
        <f>W16*U28</f>
        <v>8165.3656857471606</v>
      </c>
      <c r="X28" s="994"/>
      <c r="Y28" s="984" t="str">
        <f>S28</f>
        <v>PFMLA Trust Contribution</v>
      </c>
      <c r="Z28" s="979"/>
      <c r="AA28" s="975">
        <f>U28</f>
        <v>7.4999999999999997E-3</v>
      </c>
      <c r="AB28" s="993"/>
      <c r="AC28" s="984">
        <f>AC16*AA28</f>
        <v>9943.1898319026386</v>
      </c>
      <c r="AD28" s="994"/>
      <c r="AE28" s="77"/>
      <c r="AF28" s="142"/>
      <c r="AG28" s="77"/>
      <c r="AH28" s="970"/>
      <c r="AI28" s="970"/>
      <c r="AJ28" s="970"/>
      <c r="AK28" s="970"/>
      <c r="AL28" s="970"/>
      <c r="AM28" s="971"/>
    </row>
    <row r="29" spans="1:39" s="72" customFormat="1" ht="15" thickBot="1" x14ac:dyDescent="0.25">
      <c r="A29" s="161" t="s">
        <v>288</v>
      </c>
      <c r="B29" s="161"/>
      <c r="C29" s="162"/>
      <c r="D29" s="163"/>
      <c r="E29" s="164">
        <f>SUM(E26:E28)</f>
        <v>934890.82123493974</v>
      </c>
      <c r="F29"/>
      <c r="G29" s="161" t="s">
        <v>288</v>
      </c>
      <c r="H29" s="161"/>
      <c r="I29" s="162"/>
      <c r="J29" s="163"/>
      <c r="K29" s="164">
        <f>SUM(K26:K28)</f>
        <v>1272057.2272501218</v>
      </c>
      <c r="L29"/>
      <c r="M29" s="161" t="s">
        <v>288</v>
      </c>
      <c r="N29" s="161"/>
      <c r="O29" s="162"/>
      <c r="P29" s="163"/>
      <c r="Q29" s="164">
        <f>SUM(Q26:Q28)</f>
        <v>1583082.1054540391</v>
      </c>
      <c r="R29" s="101"/>
      <c r="S29" s="161" t="s">
        <v>288</v>
      </c>
      <c r="T29" s="161"/>
      <c r="U29" s="162"/>
      <c r="V29" s="163"/>
      <c r="W29" s="164">
        <f>SUM(W26:W28)</f>
        <v>1987487.4315230995</v>
      </c>
      <c r="X29"/>
      <c r="Y29" s="161" t="s">
        <v>288</v>
      </c>
      <c r="Z29" s="161"/>
      <c r="AA29" s="162"/>
      <c r="AB29" s="163"/>
      <c r="AC29" s="164">
        <f>SUM(AC26:AC28)</f>
        <v>2434631.3091937113</v>
      </c>
      <c r="AD29"/>
      <c r="AE29" s="93"/>
      <c r="AF29" s="142"/>
      <c r="AG29" s="148" t="s">
        <v>281</v>
      </c>
      <c r="AH29" s="351">
        <v>8</v>
      </c>
      <c r="AI29" s="351">
        <v>12</v>
      </c>
      <c r="AJ29" s="351">
        <v>15.5</v>
      </c>
      <c r="AK29" s="351">
        <v>20</v>
      </c>
      <c r="AL29" s="352">
        <v>25</v>
      </c>
      <c r="AM29" s="353">
        <v>30</v>
      </c>
    </row>
    <row r="30" spans="1:39" s="101" customFormat="1" ht="15" customHeight="1" thickTop="1" x14ac:dyDescent="0.2">
      <c r="A30" s="111"/>
      <c r="B30" s="111"/>
      <c r="C30" s="112"/>
      <c r="D30" s="165"/>
      <c r="E30" s="112"/>
      <c r="F30"/>
      <c r="G30" s="111"/>
      <c r="H30" s="111"/>
      <c r="I30" s="112"/>
      <c r="J30" s="165"/>
      <c r="K30" s="112"/>
      <c r="L30"/>
      <c r="M30" s="111"/>
      <c r="N30" s="111"/>
      <c r="O30" s="112"/>
      <c r="P30" s="165"/>
      <c r="Q30" s="112"/>
      <c r="S30" s="111"/>
      <c r="T30" s="111"/>
      <c r="U30" s="112"/>
      <c r="V30" s="165"/>
      <c r="W30" s="112"/>
      <c r="X30"/>
      <c r="Y30" s="111"/>
      <c r="Z30" s="111"/>
      <c r="AA30" s="112"/>
      <c r="AB30" s="165"/>
      <c r="AC30" s="112"/>
      <c r="AD30"/>
      <c r="AE30" s="114"/>
      <c r="AF30" s="166" t="s">
        <v>275</v>
      </c>
      <c r="AG30" s="77"/>
      <c r="AH30" s="347">
        <v>1.1000000000000001</v>
      </c>
      <c r="AI30" s="347">
        <v>1.1000000000000001</v>
      </c>
      <c r="AJ30" s="347">
        <v>1.1000000000000001</v>
      </c>
      <c r="AK30" s="347">
        <v>1.1000000000000001</v>
      </c>
      <c r="AL30" s="347">
        <v>1.1000000000000001</v>
      </c>
      <c r="AM30" s="348">
        <v>1.1000000000000001</v>
      </c>
    </row>
    <row r="31" spans="1:39" s="101" customFormat="1" ht="13.9" customHeight="1" x14ac:dyDescent="0.2">
      <c r="A31" s="167" t="s">
        <v>289</v>
      </c>
      <c r="B31" s="167"/>
      <c r="C31" s="168"/>
      <c r="D31" s="168"/>
      <c r="E31" s="169">
        <f>E29/E7</f>
        <v>320.16808946402045</v>
      </c>
      <c r="F31"/>
      <c r="G31" s="167" t="s">
        <v>289</v>
      </c>
      <c r="H31" s="167"/>
      <c r="I31" s="168"/>
      <c r="J31" s="168"/>
      <c r="K31" s="169">
        <f>K29/K7</f>
        <v>290.42402448632919</v>
      </c>
      <c r="L31"/>
      <c r="M31" s="167" t="s">
        <v>289</v>
      </c>
      <c r="N31" s="167"/>
      <c r="O31" s="168"/>
      <c r="P31" s="168"/>
      <c r="Q31" s="169">
        <f>Q29/Q7</f>
        <v>279.82008050447001</v>
      </c>
      <c r="R31" s="170"/>
      <c r="S31" s="167" t="s">
        <v>289</v>
      </c>
      <c r="T31" s="167"/>
      <c r="U31" s="168"/>
      <c r="V31" s="168"/>
      <c r="W31" s="169">
        <f>W29/W7</f>
        <v>272.25855226343828</v>
      </c>
      <c r="X31"/>
      <c r="Y31" s="167" t="s">
        <v>289</v>
      </c>
      <c r="Z31" s="167"/>
      <c r="AA31" s="168"/>
      <c r="AB31" s="168"/>
      <c r="AC31" s="169">
        <f>AC29/AC7</f>
        <v>266.80891059657108</v>
      </c>
      <c r="AD31"/>
      <c r="AE31" s="171"/>
      <c r="AF31" s="166"/>
      <c r="AG31" s="77"/>
      <c r="AH31" s="153"/>
      <c r="AI31" s="73"/>
      <c r="AJ31" s="73"/>
      <c r="AK31" s="73"/>
      <c r="AL31" s="106"/>
      <c r="AM31" s="107"/>
    </row>
    <row r="32" spans="1:39" s="170" customFormat="1" ht="15" thickBot="1" x14ac:dyDescent="0.25">
      <c r="A32" s="167" t="s">
        <v>290</v>
      </c>
      <c r="B32" s="167"/>
      <c r="C32" s="172">
        <f>AH44</f>
        <v>1.8120393120392975E-2</v>
      </c>
      <c r="D32" s="168"/>
      <c r="E32" s="169"/>
      <c r="F32"/>
      <c r="G32" s="167" t="s">
        <v>290</v>
      </c>
      <c r="H32" s="167"/>
      <c r="I32" s="172">
        <f>AH44</f>
        <v>1.8120393120392975E-2</v>
      </c>
      <c r="J32" s="168"/>
      <c r="K32" s="169"/>
      <c r="L32"/>
      <c r="M32" s="167" t="s">
        <v>290</v>
      </c>
      <c r="N32" s="167"/>
      <c r="O32" s="172">
        <f>AH44</f>
        <v>1.8120393120392975E-2</v>
      </c>
      <c r="P32" s="168"/>
      <c r="Q32" s="169"/>
      <c r="S32" s="167" t="s">
        <v>290</v>
      </c>
      <c r="T32" s="167"/>
      <c r="U32" s="172">
        <f>AH44</f>
        <v>1.8120393120392975E-2</v>
      </c>
      <c r="V32" s="168"/>
      <c r="W32" s="169"/>
      <c r="X32"/>
      <c r="Y32" s="167" t="s">
        <v>290</v>
      </c>
      <c r="Z32" s="167"/>
      <c r="AA32" s="172">
        <f>AH44</f>
        <v>1.8120393120392975E-2</v>
      </c>
      <c r="AB32" s="168"/>
      <c r="AC32" s="169"/>
      <c r="AD32"/>
      <c r="AE32" s="171"/>
      <c r="AF32" s="173" t="s">
        <v>278</v>
      </c>
      <c r="AG32" s="174"/>
      <c r="AH32" s="270"/>
      <c r="AI32" s="73"/>
      <c r="AJ32" s="73"/>
      <c r="AK32" s="73"/>
      <c r="AL32" s="213"/>
      <c r="AM32" s="277"/>
    </row>
    <row r="33" spans="1:39" s="170" customFormat="1" ht="15" thickBot="1" x14ac:dyDescent="0.25">
      <c r="A33" s="175" t="s">
        <v>292</v>
      </c>
      <c r="B33" s="130"/>
      <c r="C33" s="176">
        <v>0.9</v>
      </c>
      <c r="D33" s="82"/>
      <c r="E33" s="414">
        <f t="shared" ref="E33:E41" si="0">E$29*(C$32+1)/(E$7*C33)</f>
        <v>362.18851234412631</v>
      </c>
      <c r="F33"/>
      <c r="G33" s="175" t="s">
        <v>292</v>
      </c>
      <c r="H33" s="130"/>
      <c r="I33" s="176">
        <v>0.9</v>
      </c>
      <c r="J33" s="82"/>
      <c r="K33" s="178">
        <f t="shared" ref="K33:K41" si="1">K$29*(I$32+1)/(K$7*I33)</f>
        <v>328.54069109069792</v>
      </c>
      <c r="L33"/>
      <c r="M33" s="175" t="s">
        <v>292</v>
      </c>
      <c r="N33" s="130"/>
      <c r="O33" s="176">
        <v>0.9</v>
      </c>
      <c r="P33" s="82"/>
      <c r="Q33" s="178">
        <f t="shared" ref="Q33:Q41" si="2">Q$29*(O$32+1)/(Q$7*O33)</f>
        <v>316.54503374021226</v>
      </c>
      <c r="R33" s="72"/>
      <c r="S33" s="175" t="s">
        <v>292</v>
      </c>
      <c r="T33" s="130"/>
      <c r="U33" s="176">
        <v>0.9</v>
      </c>
      <c r="V33" s="82"/>
      <c r="W33" s="178">
        <f t="shared" ref="W33:W41" si="3">W$29*(U$32+1)/(W$7*U33)</f>
        <v>307.99109362315653</v>
      </c>
      <c r="X33"/>
      <c r="Y33" s="175" t="s">
        <v>292</v>
      </c>
      <c r="Z33" s="130"/>
      <c r="AA33" s="176">
        <v>0.9</v>
      </c>
      <c r="AB33" s="82"/>
      <c r="AC33" s="178">
        <f>AC$29/(AC$7*AA33)</f>
        <v>296.45434510730121</v>
      </c>
      <c r="AD33"/>
      <c r="AE33" s="73"/>
      <c r="AF33" s="678" t="s">
        <v>280</v>
      </c>
      <c r="AG33" s="73"/>
      <c r="AH33" s="717">
        <f>'Rate Options'!$AJ$30</f>
        <v>0.25578770213785851</v>
      </c>
      <c r="AI33" s="73"/>
      <c r="AJ33" s="73"/>
      <c r="AK33" s="73"/>
      <c r="AL33" s="213"/>
      <c r="AM33" s="277"/>
    </row>
    <row r="34" spans="1:39" s="72" customFormat="1" ht="15" thickBot="1" x14ac:dyDescent="0.25">
      <c r="A34" s="181"/>
      <c r="B34" s="73"/>
      <c r="C34" s="182">
        <v>0.85</v>
      </c>
      <c r="D34" s="77"/>
      <c r="E34" s="178">
        <f t="shared" si="0"/>
        <v>383.4937189526043</v>
      </c>
      <c r="F34"/>
      <c r="G34" s="181"/>
      <c r="H34" s="73"/>
      <c r="I34" s="182">
        <v>0.85</v>
      </c>
      <c r="J34" s="77"/>
      <c r="K34" s="178">
        <f t="shared" si="1"/>
        <v>347.86661409603312</v>
      </c>
      <c r="L34"/>
      <c r="M34" s="181"/>
      <c r="N34" s="73"/>
      <c r="O34" s="182">
        <v>0.85</v>
      </c>
      <c r="P34" s="77"/>
      <c r="Q34" s="178">
        <f t="shared" si="2"/>
        <v>335.16532984257771</v>
      </c>
      <c r="S34" s="181"/>
      <c r="T34" s="73"/>
      <c r="U34" s="182">
        <v>0.85</v>
      </c>
      <c r="V34" s="77"/>
      <c r="W34" s="178">
        <f t="shared" si="3"/>
        <v>326.10821677745986</v>
      </c>
      <c r="X34"/>
      <c r="Y34" s="181"/>
      <c r="Z34" s="73"/>
      <c r="AA34" s="182">
        <v>0.85</v>
      </c>
      <c r="AB34" s="77"/>
      <c r="AC34" s="183">
        <f t="shared" ref="AC34:AC41" si="4">AC$29/(AC$7*AA34)</f>
        <v>313.89283599596598</v>
      </c>
      <c r="AD34"/>
      <c r="AE34" s="73"/>
      <c r="AF34" s="85"/>
      <c r="AG34" s="73"/>
      <c r="AH34" s="270"/>
      <c r="AI34" s="73"/>
      <c r="AJ34" s="73"/>
      <c r="AK34" s="73"/>
      <c r="AL34" s="73"/>
      <c r="AM34" s="136"/>
    </row>
    <row r="35" spans="1:39" s="72" customFormat="1" ht="15" thickBot="1" x14ac:dyDescent="0.25">
      <c r="A35" s="181"/>
      <c r="B35" s="73"/>
      <c r="C35" s="182">
        <v>0.8</v>
      </c>
      <c r="D35" s="77"/>
      <c r="E35" s="178">
        <f t="shared" si="0"/>
        <v>407.46207638714208</v>
      </c>
      <c r="F35"/>
      <c r="G35" s="181"/>
      <c r="H35" s="73"/>
      <c r="I35" s="182">
        <v>0.8</v>
      </c>
      <c r="J35" s="77"/>
      <c r="K35" s="178">
        <f t="shared" si="1"/>
        <v>369.60827747703519</v>
      </c>
      <c r="L35"/>
      <c r="M35" s="181"/>
      <c r="N35" s="73"/>
      <c r="O35" s="182">
        <v>0.8</v>
      </c>
      <c r="P35" s="77"/>
      <c r="Q35" s="178">
        <f t="shared" si="2"/>
        <v>356.11316295773878</v>
      </c>
      <c r="S35" s="181"/>
      <c r="T35" s="73"/>
      <c r="U35" s="182">
        <v>0.8</v>
      </c>
      <c r="V35" s="77"/>
      <c r="W35" s="178">
        <f t="shared" si="3"/>
        <v>346.48998032605107</v>
      </c>
      <c r="X35"/>
      <c r="Y35" s="181"/>
      <c r="Z35" s="73"/>
      <c r="AA35" s="182">
        <v>0.8</v>
      </c>
      <c r="AB35" s="77"/>
      <c r="AC35" s="183">
        <f t="shared" si="4"/>
        <v>333.51113824571388</v>
      </c>
      <c r="AD35"/>
      <c r="AE35" s="73"/>
      <c r="AF35" s="85" t="s">
        <v>293</v>
      </c>
      <c r="AG35" s="73"/>
      <c r="AH35" s="338">
        <f>'Youth Res Rate Models'!AB32</f>
        <v>36.208547154554275</v>
      </c>
      <c r="AI35" s="73"/>
      <c r="AJ35" s="73"/>
      <c r="AK35" s="73"/>
      <c r="AL35" s="73"/>
      <c r="AM35" s="136"/>
    </row>
    <row r="36" spans="1:39" s="72" customFormat="1" ht="15" thickBot="1" x14ac:dyDescent="0.25">
      <c r="A36" s="181"/>
      <c r="B36" s="73"/>
      <c r="C36" s="182">
        <v>0.75</v>
      </c>
      <c r="D36" s="77"/>
      <c r="E36" s="178">
        <f t="shared" si="0"/>
        <v>434.62621481295156</v>
      </c>
      <c r="F36"/>
      <c r="G36" s="181"/>
      <c r="H36" s="73"/>
      <c r="I36" s="182">
        <v>0.75</v>
      </c>
      <c r="J36" s="77"/>
      <c r="K36" s="178">
        <f t="shared" si="1"/>
        <v>394.24882930883751</v>
      </c>
      <c r="L36"/>
      <c r="M36" s="181"/>
      <c r="N36" s="73"/>
      <c r="O36" s="182">
        <v>0.75</v>
      </c>
      <c r="P36" s="77"/>
      <c r="Q36" s="178">
        <f t="shared" si="2"/>
        <v>379.85404048825473</v>
      </c>
      <c r="S36" s="181"/>
      <c r="T36" s="73"/>
      <c r="U36" s="182">
        <v>0.75</v>
      </c>
      <c r="V36" s="77"/>
      <c r="W36" s="178">
        <f t="shared" si="3"/>
        <v>369.58931234778782</v>
      </c>
      <c r="X36"/>
      <c r="Y36" s="181"/>
      <c r="Z36" s="73"/>
      <c r="AA36" s="182">
        <v>0.75</v>
      </c>
      <c r="AB36" s="77"/>
      <c r="AC36" s="183">
        <f t="shared" si="4"/>
        <v>355.74521412876146</v>
      </c>
      <c r="AD36"/>
      <c r="AE36" s="73"/>
      <c r="AF36" s="85" t="s">
        <v>294</v>
      </c>
      <c r="AG36" s="73"/>
      <c r="AH36" s="338">
        <f>'Youth Res Rate Models'!AB33</f>
        <v>19.209698401603287</v>
      </c>
      <c r="AI36" s="125"/>
      <c r="AJ36" s="73"/>
      <c r="AK36" s="73"/>
      <c r="AL36" s="73"/>
      <c r="AM36" s="136"/>
    </row>
    <row r="37" spans="1:39" s="72" customFormat="1" ht="15" thickBot="1" x14ac:dyDescent="0.25">
      <c r="A37" s="181"/>
      <c r="B37" s="73"/>
      <c r="C37" s="182">
        <v>0.7</v>
      </c>
      <c r="D37" s="77"/>
      <c r="E37" s="414">
        <f t="shared" si="0"/>
        <v>465.67094444244816</v>
      </c>
      <c r="F37"/>
      <c r="G37" s="181"/>
      <c r="H37" s="73"/>
      <c r="I37" s="182">
        <v>0.7</v>
      </c>
      <c r="J37" s="77"/>
      <c r="K37" s="178">
        <f t="shared" si="1"/>
        <v>422.40945997375445</v>
      </c>
      <c r="L37"/>
      <c r="M37" s="181"/>
      <c r="N37" s="73"/>
      <c r="O37" s="182">
        <v>0.7</v>
      </c>
      <c r="P37" s="77"/>
      <c r="Q37" s="178">
        <f t="shared" si="2"/>
        <v>406.9864719517015</v>
      </c>
      <c r="S37" s="181"/>
      <c r="T37" s="73"/>
      <c r="U37" s="182">
        <v>0.7</v>
      </c>
      <c r="V37" s="77"/>
      <c r="W37" s="178">
        <f t="shared" si="3"/>
        <v>395.98854894405838</v>
      </c>
      <c r="X37"/>
      <c r="Y37" s="181"/>
      <c r="Z37" s="73"/>
      <c r="AA37" s="182">
        <v>0.7</v>
      </c>
      <c r="AB37" s="77"/>
      <c r="AC37" s="183">
        <f t="shared" si="4"/>
        <v>381.15558656653013</v>
      </c>
      <c r="AD37"/>
      <c r="AE37" s="73"/>
      <c r="AF37" s="85" t="s">
        <v>295</v>
      </c>
      <c r="AG37" s="73"/>
      <c r="AH37" s="338">
        <f>'Youth Res Rate Models'!AB34</f>
        <v>5.2851727610295196</v>
      </c>
      <c r="AI37" s="125"/>
      <c r="AJ37" s="73"/>
      <c r="AK37" s="73"/>
      <c r="AL37" s="73"/>
      <c r="AM37" s="136"/>
    </row>
    <row r="38" spans="1:39" s="72" customFormat="1" ht="15" thickBot="1" x14ac:dyDescent="0.25">
      <c r="A38" s="181"/>
      <c r="B38" s="73"/>
      <c r="C38" s="182">
        <v>0.65</v>
      </c>
      <c r="D38" s="77"/>
      <c r="E38" s="178">
        <f t="shared" si="0"/>
        <v>501.49178632263641</v>
      </c>
      <c r="F38"/>
      <c r="G38" s="181"/>
      <c r="H38" s="73"/>
      <c r="I38" s="182">
        <v>0.65</v>
      </c>
      <c r="J38" s="77"/>
      <c r="K38" s="178">
        <f t="shared" si="1"/>
        <v>454.90249535635098</v>
      </c>
      <c r="L38"/>
      <c r="M38" s="181"/>
      <c r="N38" s="73"/>
      <c r="O38" s="182">
        <v>0.65</v>
      </c>
      <c r="P38" s="77"/>
      <c r="Q38" s="178">
        <f t="shared" si="2"/>
        <v>438.29312364029391</v>
      </c>
      <c r="S38" s="181"/>
      <c r="T38" s="73"/>
      <c r="U38" s="182">
        <v>0.65</v>
      </c>
      <c r="V38" s="77"/>
      <c r="W38" s="178">
        <f t="shared" si="3"/>
        <v>426.44920655513977</v>
      </c>
      <c r="X38"/>
      <c r="Y38" s="181"/>
      <c r="Z38" s="73"/>
      <c r="AA38" s="182">
        <v>0.65</v>
      </c>
      <c r="AB38" s="77"/>
      <c r="AC38" s="183">
        <f t="shared" si="4"/>
        <v>410.47524707164786</v>
      </c>
      <c r="AD38"/>
      <c r="AE38" s="73"/>
      <c r="AF38" s="85"/>
      <c r="AG38" s="73"/>
      <c r="AH38" s="338"/>
      <c r="AI38" s="125"/>
      <c r="AJ38" s="73"/>
      <c r="AK38" s="73"/>
      <c r="AL38" s="73"/>
      <c r="AM38" s="136"/>
    </row>
    <row r="39" spans="1:39" s="72" customFormat="1" ht="15" thickBot="1" x14ac:dyDescent="0.25">
      <c r="A39" s="181"/>
      <c r="B39" s="73"/>
      <c r="C39" s="182">
        <v>0.6</v>
      </c>
      <c r="D39" s="77"/>
      <c r="E39" s="178">
        <f t="shared" si="0"/>
        <v>543.28276851618944</v>
      </c>
      <c r="F39"/>
      <c r="G39" s="181"/>
      <c r="H39" s="73"/>
      <c r="I39" s="182">
        <v>0.6</v>
      </c>
      <c r="J39" s="77"/>
      <c r="K39" s="178">
        <f t="shared" si="1"/>
        <v>492.81103663604688</v>
      </c>
      <c r="L39"/>
      <c r="M39" s="181"/>
      <c r="N39" s="73"/>
      <c r="O39" s="182">
        <v>0.6</v>
      </c>
      <c r="P39" s="77"/>
      <c r="Q39" s="178">
        <f t="shared" si="2"/>
        <v>474.81755061031839</v>
      </c>
      <c r="S39" s="181"/>
      <c r="T39" s="73"/>
      <c r="U39" s="182">
        <v>0.6</v>
      </c>
      <c r="V39" s="77"/>
      <c r="W39" s="178">
        <f t="shared" si="3"/>
        <v>461.98664043473474</v>
      </c>
      <c r="X39"/>
      <c r="Y39" s="181"/>
      <c r="Z39" s="73"/>
      <c r="AA39" s="182">
        <v>0.6</v>
      </c>
      <c r="AB39" s="77"/>
      <c r="AC39" s="183">
        <f t="shared" si="4"/>
        <v>444.68151766095184</v>
      </c>
      <c r="AD39"/>
      <c r="AE39" s="73"/>
      <c r="AF39" s="85" t="s">
        <v>283</v>
      </c>
      <c r="AG39" s="73"/>
      <c r="AH39" s="338">
        <f>'Youth Res Rate Models'!AB36</f>
        <v>18.364580498704061</v>
      </c>
      <c r="AI39" s="125"/>
      <c r="AJ39" s="73"/>
      <c r="AK39" s="73"/>
      <c r="AL39" s="73"/>
      <c r="AM39" s="136"/>
    </row>
    <row r="40" spans="1:39" s="72" customFormat="1" ht="15" thickBot="1" x14ac:dyDescent="0.25">
      <c r="A40" s="181"/>
      <c r="B40" s="73"/>
      <c r="C40" s="182">
        <v>0.55000000000000004</v>
      </c>
      <c r="D40" s="77"/>
      <c r="E40" s="178">
        <f t="shared" si="0"/>
        <v>592.67211110857022</v>
      </c>
      <c r="F40"/>
      <c r="G40" s="181"/>
      <c r="H40" s="73"/>
      <c r="I40" s="182">
        <v>0.55000000000000004</v>
      </c>
      <c r="J40" s="77"/>
      <c r="K40" s="178">
        <f t="shared" si="1"/>
        <v>537.61203996659663</v>
      </c>
      <c r="L40"/>
      <c r="M40" s="181"/>
      <c r="N40" s="73"/>
      <c r="O40" s="182">
        <v>0.55000000000000004</v>
      </c>
      <c r="P40" s="77"/>
      <c r="Q40" s="178">
        <f t="shared" si="2"/>
        <v>517.98278248398367</v>
      </c>
      <c r="S40" s="181"/>
      <c r="T40" s="73"/>
      <c r="U40" s="182">
        <v>0.55000000000000004</v>
      </c>
      <c r="V40" s="77"/>
      <c r="W40" s="178">
        <f t="shared" si="3"/>
        <v>503.98542592880148</v>
      </c>
      <c r="X40"/>
      <c r="Y40" s="181"/>
      <c r="Z40" s="73"/>
      <c r="AA40" s="182">
        <v>0.55000000000000004</v>
      </c>
      <c r="AB40" s="77"/>
      <c r="AC40" s="183">
        <f t="shared" si="4"/>
        <v>485.10711017558384</v>
      </c>
      <c r="AD40"/>
      <c r="AE40" s="73"/>
      <c r="AF40" s="187"/>
      <c r="AG40" s="188"/>
      <c r="AH40" s="718"/>
      <c r="AI40" s="719"/>
      <c r="AJ40" s="271"/>
      <c r="AK40" s="271"/>
      <c r="AL40" s="73"/>
      <c r="AM40" s="136"/>
    </row>
    <row r="41" spans="1:39" s="72" customFormat="1" ht="15.75" thickBot="1" x14ac:dyDescent="0.3">
      <c r="A41" s="189"/>
      <c r="B41" s="190"/>
      <c r="C41" s="191">
        <v>0.5</v>
      </c>
      <c r="D41" s="192"/>
      <c r="E41" s="1081">
        <f t="shared" si="0"/>
        <v>651.93932221942737</v>
      </c>
      <c r="F41"/>
      <c r="G41" s="189"/>
      <c r="H41" s="190"/>
      <c r="I41" s="191">
        <v>0.5</v>
      </c>
      <c r="J41" s="192"/>
      <c r="K41" s="1081">
        <f t="shared" si="1"/>
        <v>591.3732439632563</v>
      </c>
      <c r="L41"/>
      <c r="M41" s="189"/>
      <c r="N41" s="190"/>
      <c r="O41" s="191">
        <v>0.5</v>
      </c>
      <c r="P41" s="192"/>
      <c r="Q41" s="1081">
        <f t="shared" si="2"/>
        <v>569.781060732382</v>
      </c>
      <c r="S41" s="189"/>
      <c r="T41" s="190"/>
      <c r="U41" s="191">
        <v>0.5</v>
      </c>
      <c r="V41" s="192"/>
      <c r="W41" s="1081">
        <f t="shared" si="3"/>
        <v>554.38396852168171</v>
      </c>
      <c r="X41"/>
      <c r="Y41" s="189"/>
      <c r="Z41" s="190"/>
      <c r="AA41" s="191">
        <v>0.5</v>
      </c>
      <c r="AB41" s="192"/>
      <c r="AC41" s="194">
        <f t="shared" si="4"/>
        <v>533.61782119314216</v>
      </c>
      <c r="AD41"/>
      <c r="AE41" s="73"/>
      <c r="AF41" s="990" t="s">
        <v>539</v>
      </c>
      <c r="AG41" s="985"/>
      <c r="AH41" s="986">
        <v>7.4999999999999997E-3</v>
      </c>
      <c r="AI41" s="991" t="s">
        <v>540</v>
      </c>
      <c r="AJ41" s="992"/>
      <c r="AK41" s="271"/>
      <c r="AL41" s="73"/>
      <c r="AM41" s="136"/>
    </row>
    <row r="42" spans="1:39" s="72" customForma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 s="85" t="s">
        <v>286</v>
      </c>
      <c r="AG42" s="73"/>
      <c r="AH42" s="717">
        <v>0.121061</v>
      </c>
      <c r="AI42" s="719"/>
      <c r="AJ42" s="271"/>
      <c r="AK42" s="271"/>
      <c r="AL42" s="73"/>
      <c r="AM42" s="136"/>
    </row>
    <row r="43" spans="1:39" x14ac:dyDescent="0.2">
      <c r="AF43" s="173"/>
      <c r="AG43" s="174"/>
      <c r="AH43" s="379" t="e">
        <f>#REF!</f>
        <v>#REF!</v>
      </c>
      <c r="AI43" s="719"/>
      <c r="AJ43" s="271"/>
      <c r="AK43" s="271"/>
      <c r="AL43" s="271"/>
      <c r="AM43" s="272"/>
    </row>
    <row r="44" spans="1:39" ht="15" thickBot="1" x14ac:dyDescent="0.25">
      <c r="AF44" s="200" t="s">
        <v>296</v>
      </c>
      <c r="AG44" s="201"/>
      <c r="AH44" s="967">
        <f>'Spring 2019 CAF'!BU25</f>
        <v>1.8120393120392975E-2</v>
      </c>
      <c r="AI44" s="715"/>
      <c r="AJ44" s="273"/>
      <c r="AK44" s="273"/>
      <c r="AL44" s="273"/>
      <c r="AM44" s="274"/>
    </row>
    <row r="45" spans="1:39" x14ac:dyDescent="0.2">
      <c r="AF45" s="436"/>
      <c r="AG45" s="436"/>
      <c r="AH45" s="636"/>
      <c r="AI45" s="436"/>
      <c r="AJ45" s="436"/>
      <c r="AK45" s="436"/>
      <c r="AL45" s="436"/>
      <c r="AM45" s="436"/>
    </row>
    <row r="46" spans="1:39" ht="15" thickBot="1" x14ac:dyDescent="0.25">
      <c r="AF46" s="637" t="s">
        <v>249</v>
      </c>
      <c r="AG46" s="637"/>
      <c r="AH46" s="637"/>
      <c r="AI46" s="461"/>
      <c r="AJ46" s="461"/>
      <c r="AK46" s="461"/>
      <c r="AL46" s="436"/>
      <c r="AM46" s="436"/>
    </row>
    <row r="47" spans="1:39" ht="15.75" thickTop="1" thickBot="1" x14ac:dyDescent="0.25">
      <c r="AF47" s="205"/>
      <c r="AG47" s="205"/>
      <c r="AH47" s="205"/>
      <c r="AI47" s="461"/>
      <c r="AJ47" s="461"/>
      <c r="AK47" s="461"/>
      <c r="AL47" s="436"/>
      <c r="AM47" s="436"/>
    </row>
    <row r="48" spans="1:39" ht="15" thickBot="1" x14ac:dyDescent="0.25">
      <c r="A48" s="84" t="s">
        <v>301</v>
      </c>
      <c r="B48" s="72"/>
      <c r="C48" s="72"/>
      <c r="D48" s="72"/>
      <c r="E48" s="72"/>
      <c r="G48" s="72"/>
      <c r="H48" s="72"/>
      <c r="I48" s="72"/>
      <c r="J48" s="72"/>
      <c r="K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Y48" s="72"/>
      <c r="Z48" s="72"/>
      <c r="AA48" s="72"/>
      <c r="AB48" s="72"/>
      <c r="AC48" s="72"/>
      <c r="AE48" s="73"/>
      <c r="AF48" s="101"/>
      <c r="AG48" s="92"/>
      <c r="AH48" s="638"/>
      <c r="AI48" s="461"/>
      <c r="AJ48" s="461"/>
      <c r="AK48" s="461"/>
      <c r="AL48" s="436"/>
      <c r="AM48" s="436"/>
    </row>
    <row r="49" spans="1:39" s="72" customFormat="1" x14ac:dyDescent="0.2">
      <c r="A49" s="71"/>
      <c r="F49"/>
      <c r="G49" s="71"/>
      <c r="L49"/>
      <c r="M49" s="71"/>
      <c r="S49" s="71"/>
      <c r="X49"/>
      <c r="Y49" s="71"/>
      <c r="AD49"/>
      <c r="AE49" s="73"/>
      <c r="AF49" s="79" t="s">
        <v>250</v>
      </c>
      <c r="AG49" s="337" t="s">
        <v>251</v>
      </c>
      <c r="AH49" s="223" t="s">
        <v>252</v>
      </c>
      <c r="AI49" s="461"/>
      <c r="AJ49" s="461"/>
      <c r="AK49" s="461"/>
      <c r="AL49" s="461"/>
      <c r="AM49" s="461"/>
    </row>
    <row r="50" spans="1:39" s="72" customFormat="1" x14ac:dyDescent="0.2">
      <c r="F50"/>
      <c r="L50"/>
      <c r="X50"/>
      <c r="AD50"/>
      <c r="AE50" s="73"/>
      <c r="AF50" s="639" t="s">
        <v>254</v>
      </c>
      <c r="AG50" s="640">
        <v>15</v>
      </c>
      <c r="AH50" s="641">
        <f>AG50*8</f>
        <v>120</v>
      </c>
      <c r="AI50" s="101"/>
      <c r="AJ50" s="101"/>
      <c r="AK50" s="101"/>
      <c r="AL50" s="461"/>
      <c r="AM50" s="461"/>
    </row>
    <row r="51" spans="1:39" s="72" customFormat="1" x14ac:dyDescent="0.2">
      <c r="A51" s="78"/>
      <c r="B51" s="74"/>
      <c r="C51" s="90" t="s">
        <v>255</v>
      </c>
      <c r="D51" s="91"/>
      <c r="E51" s="92"/>
      <c r="F51"/>
      <c r="G51" s="78"/>
      <c r="H51" s="74"/>
      <c r="I51" s="90" t="s">
        <v>256</v>
      </c>
      <c r="J51" s="91"/>
      <c r="K51" s="92"/>
      <c r="L51"/>
      <c r="M51" s="78"/>
      <c r="N51" s="74"/>
      <c r="O51" s="90" t="s">
        <v>257</v>
      </c>
      <c r="P51" s="91"/>
      <c r="Q51" s="92"/>
      <c r="S51" s="78"/>
      <c r="T51" s="74"/>
      <c r="U51" s="90" t="s">
        <v>258</v>
      </c>
      <c r="V51" s="91"/>
      <c r="W51" s="92"/>
      <c r="X51"/>
      <c r="Y51" s="78"/>
      <c r="Z51" s="74"/>
      <c r="AA51" s="90" t="s">
        <v>259</v>
      </c>
      <c r="AB51" s="91"/>
      <c r="AC51" s="92"/>
      <c r="AD51"/>
      <c r="AE51" s="93"/>
      <c r="AF51" s="639" t="s">
        <v>260</v>
      </c>
      <c r="AG51" s="640">
        <v>15</v>
      </c>
      <c r="AH51" s="641">
        <f>AG51*8</f>
        <v>120</v>
      </c>
      <c r="AI51" s="101"/>
      <c r="AJ51" s="101"/>
      <c r="AK51" s="101"/>
      <c r="AL51" s="461"/>
      <c r="AM51" s="461"/>
    </row>
    <row r="52" spans="1:39" s="72" customFormat="1" x14ac:dyDescent="0.2">
      <c r="A52" s="94" t="s">
        <v>261</v>
      </c>
      <c r="B52" s="95" t="s">
        <v>343</v>
      </c>
      <c r="C52" s="96" t="s">
        <v>262</v>
      </c>
      <c r="D52" s="97">
        <v>365</v>
      </c>
      <c r="E52" s="98">
        <f>D52*B53</f>
        <v>2920</v>
      </c>
      <c r="F52"/>
      <c r="G52" s="94" t="s">
        <v>261</v>
      </c>
      <c r="H52" s="263" t="s">
        <v>339</v>
      </c>
      <c r="I52" s="96" t="s">
        <v>262</v>
      </c>
      <c r="J52" s="97">
        <v>365</v>
      </c>
      <c r="K52" s="98">
        <f>J52*H53</f>
        <v>4380</v>
      </c>
      <c r="L52" s="99"/>
      <c r="M52" s="94" t="s">
        <v>261</v>
      </c>
      <c r="N52" s="102" t="s">
        <v>340</v>
      </c>
      <c r="O52" s="96" t="s">
        <v>262</v>
      </c>
      <c r="P52" s="97">
        <v>365</v>
      </c>
      <c r="Q52" s="98">
        <f>N53*P52</f>
        <v>5657.5</v>
      </c>
      <c r="R52" s="98"/>
      <c r="S52" s="94" t="s">
        <v>261</v>
      </c>
      <c r="T52" s="102" t="s">
        <v>333</v>
      </c>
      <c r="U52" s="96" t="s">
        <v>262</v>
      </c>
      <c r="V52" s="97">
        <v>365</v>
      </c>
      <c r="W52" s="98">
        <f>T53*V52</f>
        <v>7300</v>
      </c>
      <c r="X52" s="99"/>
      <c r="Y52" s="94" t="s">
        <v>261</v>
      </c>
      <c r="Z52" s="102" t="s">
        <v>264</v>
      </c>
      <c r="AA52" s="96" t="s">
        <v>262</v>
      </c>
      <c r="AB52" s="97">
        <v>365</v>
      </c>
      <c r="AC52" s="98">
        <f>Z53*AB52</f>
        <v>9125</v>
      </c>
      <c r="AD52" s="99"/>
      <c r="AE52" s="99"/>
      <c r="AF52" s="639" t="s">
        <v>266</v>
      </c>
      <c r="AG52" s="640">
        <v>13</v>
      </c>
      <c r="AH52" s="641">
        <f>AG52*8</f>
        <v>104</v>
      </c>
      <c r="AI52" s="101"/>
      <c r="AJ52" s="101"/>
      <c r="AK52" s="101"/>
      <c r="AL52" s="461"/>
      <c r="AM52" s="461"/>
    </row>
    <row r="53" spans="1:39" s="101" customFormat="1" x14ac:dyDescent="0.2">
      <c r="A53" s="94"/>
      <c r="B53" s="102">
        <v>8</v>
      </c>
      <c r="C53" s="96"/>
      <c r="D53" s="97"/>
      <c r="E53" s="98"/>
      <c r="F53"/>
      <c r="G53" s="94"/>
      <c r="H53" s="102">
        <v>12</v>
      </c>
      <c r="I53" s="96"/>
      <c r="J53" s="97"/>
      <c r="K53" s="98"/>
      <c r="L53" s="99"/>
      <c r="M53" s="94"/>
      <c r="N53" s="102">
        <v>15.5</v>
      </c>
      <c r="O53" s="96"/>
      <c r="P53" s="97"/>
      <c r="Q53" s="98"/>
      <c r="R53" s="98"/>
      <c r="S53" s="94"/>
      <c r="T53" s="102">
        <v>20</v>
      </c>
      <c r="U53" s="96"/>
      <c r="V53" s="97"/>
      <c r="W53" s="98"/>
      <c r="X53" s="99"/>
      <c r="Y53" s="94"/>
      <c r="Z53" s="102">
        <v>25</v>
      </c>
      <c r="AA53" s="96"/>
      <c r="AB53" s="97"/>
      <c r="AC53" s="98"/>
      <c r="AD53" s="99"/>
      <c r="AE53" s="99"/>
      <c r="AF53" s="642" t="s">
        <v>267</v>
      </c>
      <c r="AG53" s="643">
        <v>8</v>
      </c>
      <c r="AH53" s="644">
        <f>AG53*8</f>
        <v>64</v>
      </c>
    </row>
    <row r="54" spans="1:39" s="101" customFormat="1" x14ac:dyDescent="0.2">
      <c r="A54" s="94"/>
      <c r="B54" s="102"/>
      <c r="C54" s="108"/>
      <c r="D54" s="97"/>
      <c r="E54" s="98"/>
      <c r="F54"/>
      <c r="G54" s="94"/>
      <c r="H54" s="102"/>
      <c r="I54" s="108"/>
      <c r="J54" s="97"/>
      <c r="K54" s="98"/>
      <c r="L54"/>
      <c r="M54" s="94"/>
      <c r="N54" s="102"/>
      <c r="O54" s="108"/>
      <c r="P54" s="97"/>
      <c r="Q54" s="98"/>
      <c r="S54" s="94"/>
      <c r="T54" s="102"/>
      <c r="U54" s="108"/>
      <c r="V54" s="97"/>
      <c r="W54" s="98"/>
      <c r="X54"/>
      <c r="Y54" s="94"/>
      <c r="Z54" s="102"/>
      <c r="AA54" s="108"/>
      <c r="AB54" s="97"/>
      <c r="AC54" s="98"/>
      <c r="AD54"/>
      <c r="AE54" s="99"/>
      <c r="AF54" s="639"/>
      <c r="AG54" s="645" t="s">
        <v>268</v>
      </c>
      <c r="AH54" s="641">
        <f>SUM(AH50:AH53)</f>
        <v>408</v>
      </c>
      <c r="AI54" s="646"/>
      <c r="AJ54" s="646"/>
      <c r="AK54" s="646"/>
    </row>
    <row r="55" spans="1:39" s="357" customFormat="1" ht="26.25" thickBot="1" x14ac:dyDescent="0.25">
      <c r="A55" s="356"/>
      <c r="B55" s="292" t="s">
        <v>269</v>
      </c>
      <c r="C55" s="377" t="s">
        <v>341</v>
      </c>
      <c r="D55" s="294" t="s">
        <v>270</v>
      </c>
      <c r="E55" s="293" t="s">
        <v>342</v>
      </c>
      <c r="F55" s="227"/>
      <c r="G55" s="356"/>
      <c r="H55" s="292" t="s">
        <v>269</v>
      </c>
      <c r="I55" s="293" t="s">
        <v>341</v>
      </c>
      <c r="J55" s="294" t="s">
        <v>270</v>
      </c>
      <c r="K55" s="293" t="s">
        <v>342</v>
      </c>
      <c r="L55" s="227"/>
      <c r="M55" s="356"/>
      <c r="N55" s="292" t="s">
        <v>269</v>
      </c>
      <c r="O55" s="293" t="s">
        <v>341</v>
      </c>
      <c r="P55" s="294" t="s">
        <v>270</v>
      </c>
      <c r="Q55" s="293" t="s">
        <v>342</v>
      </c>
      <c r="S55" s="356"/>
      <c r="T55" s="292" t="s">
        <v>269</v>
      </c>
      <c r="U55" s="293" t="s">
        <v>341</v>
      </c>
      <c r="V55" s="294" t="s">
        <v>270</v>
      </c>
      <c r="W55" s="293" t="s">
        <v>342</v>
      </c>
      <c r="X55" s="227"/>
      <c r="Y55" s="356"/>
      <c r="Z55" s="292" t="s">
        <v>269</v>
      </c>
      <c r="AA55" s="293" t="s">
        <v>341</v>
      </c>
      <c r="AB55" s="294" t="s">
        <v>270</v>
      </c>
      <c r="AC55" s="293" t="s">
        <v>342</v>
      </c>
      <c r="AD55" s="227"/>
      <c r="AE55" s="207"/>
      <c r="AF55" s="647"/>
      <c r="AG55" s="648" t="s">
        <v>271</v>
      </c>
      <c r="AH55" s="649">
        <f>AH54/(52*40)</f>
        <v>0.19615384615384615</v>
      </c>
      <c r="AI55" s="650"/>
      <c r="AJ55" s="650"/>
      <c r="AK55" s="650"/>
    </row>
    <row r="56" spans="1:39" s="101" customFormat="1" ht="15" thickBot="1" x14ac:dyDescent="0.25">
      <c r="A56" s="121" t="s">
        <v>272</v>
      </c>
      <c r="B56" s="122"/>
      <c r="C56" s="382">
        <f>$AH$13</f>
        <v>65368.626426372299</v>
      </c>
      <c r="D56" s="124">
        <f>AH65</f>
        <v>0.25</v>
      </c>
      <c r="E56" s="75">
        <f>C56*D56</f>
        <v>16342.156606593075</v>
      </c>
      <c r="F56"/>
      <c r="G56" s="121" t="s">
        <v>272</v>
      </c>
      <c r="H56" s="381"/>
      <c r="I56" s="382">
        <f>$AH$13</f>
        <v>65368.626426372299</v>
      </c>
      <c r="J56" s="124">
        <f>AI65</f>
        <v>0.25</v>
      </c>
      <c r="K56" s="157">
        <f>I56*J56</f>
        <v>16342.156606593075</v>
      </c>
      <c r="L56" s="721"/>
      <c r="M56" s="380" t="s">
        <v>272</v>
      </c>
      <c r="N56" s="381"/>
      <c r="O56" s="382">
        <f>$AH$13</f>
        <v>65368.626426372299</v>
      </c>
      <c r="P56" s="124">
        <f>AI65</f>
        <v>0.25</v>
      </c>
      <c r="Q56" s="157">
        <f>O56*P56</f>
        <v>16342.156606593075</v>
      </c>
      <c r="R56" s="157"/>
      <c r="S56" s="380" t="s">
        <v>272</v>
      </c>
      <c r="T56" s="381"/>
      <c r="U56" s="382">
        <f>$AH$13</f>
        <v>65368.626426372299</v>
      </c>
      <c r="V56" s="124">
        <f>AI65</f>
        <v>0.25</v>
      </c>
      <c r="W56" s="75">
        <f>U56*V56</f>
        <v>16342.156606593075</v>
      </c>
      <c r="X56"/>
      <c r="Y56" s="380" t="s">
        <v>272</v>
      </c>
      <c r="Z56" s="381"/>
      <c r="AA56" s="382">
        <f>$AH$13</f>
        <v>65368.626426372299</v>
      </c>
      <c r="AB56" s="124">
        <f>AL65</f>
        <v>0.25</v>
      </c>
      <c r="AC56" s="157">
        <f>AA56*AB56</f>
        <v>16342.156606593075</v>
      </c>
      <c r="AD56" s="721"/>
      <c r="AE56" s="77"/>
      <c r="AF56" s="242"/>
      <c r="AG56" s="651"/>
      <c r="AH56" s="652"/>
      <c r="AI56" s="653"/>
      <c r="AJ56" s="653"/>
      <c r="AK56" s="653"/>
    </row>
    <row r="57" spans="1:39" s="75" customFormat="1" x14ac:dyDescent="0.2">
      <c r="A57" s="131" t="s">
        <v>275</v>
      </c>
      <c r="B57" s="132">
        <f>AH75</f>
        <v>7.5</v>
      </c>
      <c r="C57" s="382">
        <f>$AH$15</f>
        <v>34055.717454304911</v>
      </c>
      <c r="D57" s="132">
        <f>B53/B57</f>
        <v>1.0666666666666667</v>
      </c>
      <c r="E57" s="75">
        <f>C57*D57</f>
        <v>36326.098617925236</v>
      </c>
      <c r="F57"/>
      <c r="G57" s="131" t="s">
        <v>275</v>
      </c>
      <c r="H57" s="124">
        <f>AH75</f>
        <v>7.5</v>
      </c>
      <c r="I57" s="382">
        <f>$AH$15</f>
        <v>34055.717454304911</v>
      </c>
      <c r="J57" s="124">
        <f>H53/H57</f>
        <v>1.6</v>
      </c>
      <c r="K57" s="157">
        <f>I57*J57</f>
        <v>54489.147926887861</v>
      </c>
      <c r="L57" s="721"/>
      <c r="M57" s="383" t="s">
        <v>275</v>
      </c>
      <c r="N57" s="124">
        <f>AJ75</f>
        <v>7.5</v>
      </c>
      <c r="O57" s="382">
        <f>$AH$15</f>
        <v>34055.717454304911</v>
      </c>
      <c r="P57" s="124">
        <f>N53/N57</f>
        <v>2.0666666666666669</v>
      </c>
      <c r="Q57" s="157">
        <f>O57*P57</f>
        <v>70381.816072230155</v>
      </c>
      <c r="R57" s="243"/>
      <c r="S57" s="383" t="s">
        <v>275</v>
      </c>
      <c r="T57" s="124">
        <f>AJ75</f>
        <v>7.5</v>
      </c>
      <c r="U57" s="382">
        <f>$AH$15</f>
        <v>34055.717454304911</v>
      </c>
      <c r="V57" s="124">
        <f>T53/T57</f>
        <v>2.6666666666666665</v>
      </c>
      <c r="W57" s="75">
        <f>U57*V57</f>
        <v>90815.246544813097</v>
      </c>
      <c r="X57"/>
      <c r="Y57" s="383" t="s">
        <v>275</v>
      </c>
      <c r="Z57" s="124">
        <f>AL75</f>
        <v>7.5</v>
      </c>
      <c r="AA57" s="382">
        <f>$AH$15</f>
        <v>34055.717454304911</v>
      </c>
      <c r="AB57" s="124">
        <f>Z53/Z57</f>
        <v>3.3333333333333335</v>
      </c>
      <c r="AC57" s="157">
        <f>AA57*AB57</f>
        <v>113519.05818101637</v>
      </c>
      <c r="AD57" s="721"/>
      <c r="AE57" s="77"/>
      <c r="AF57" s="79"/>
      <c r="AG57" s="654"/>
      <c r="AH57" s="655" t="s">
        <v>274</v>
      </c>
      <c r="AI57" s="656"/>
      <c r="AJ57" s="656"/>
      <c r="AK57" s="656"/>
      <c r="AL57" s="657"/>
      <c r="AM57" s="658"/>
    </row>
    <row r="58" spans="1:39" s="75" customFormat="1" x14ac:dyDescent="0.2">
      <c r="A58" s="131" t="s">
        <v>276</v>
      </c>
      <c r="B58" s="132"/>
      <c r="C58" s="382">
        <f>$AH$15</f>
        <v>34055.717454304911</v>
      </c>
      <c r="D58" s="132">
        <f>D57*AH55</f>
        <v>0.20923076923076922</v>
      </c>
      <c r="E58" s="75">
        <f>C58*D58</f>
        <v>7125.5039596699507</v>
      </c>
      <c r="F58"/>
      <c r="G58" s="131" t="s">
        <v>276</v>
      </c>
      <c r="H58" s="124"/>
      <c r="I58" s="382">
        <f>$AH$15</f>
        <v>34055.717454304911</v>
      </c>
      <c r="J58" s="124">
        <f>J57*AH55</f>
        <v>0.31384615384615389</v>
      </c>
      <c r="K58" s="157">
        <f>I58*J58</f>
        <v>10688.255939504927</v>
      </c>
      <c r="L58" s="721"/>
      <c r="M58" s="383" t="s">
        <v>276</v>
      </c>
      <c r="N58" s="124"/>
      <c r="O58" s="382">
        <f>$AH$15</f>
        <v>34055.717454304911</v>
      </c>
      <c r="P58" s="124">
        <f>P57*AH55</f>
        <v>0.4053846153846154</v>
      </c>
      <c r="Q58" s="157">
        <f>O58*P58</f>
        <v>13805.663921860531</v>
      </c>
      <c r="R58" s="243"/>
      <c r="S58" s="383" t="s">
        <v>276</v>
      </c>
      <c r="T58" s="124"/>
      <c r="U58" s="382">
        <f>$AH$15</f>
        <v>34055.717454304911</v>
      </c>
      <c r="V58" s="124">
        <f>V57*AH55</f>
        <v>0.52307692307692299</v>
      </c>
      <c r="W58" s="75">
        <f>U58*V58</f>
        <v>17813.759899174875</v>
      </c>
      <c r="X58"/>
      <c r="Y58" s="383" t="s">
        <v>276</v>
      </c>
      <c r="Z58" s="124"/>
      <c r="AA58" s="382">
        <f>$AH$15</f>
        <v>34055.717454304911</v>
      </c>
      <c r="AB58" s="124">
        <f>AB57*AH55</f>
        <v>0.65384615384615385</v>
      </c>
      <c r="AC58" s="157">
        <f>AA58*AB58</f>
        <v>22267.199873968595</v>
      </c>
      <c r="AD58" s="721"/>
      <c r="AE58" s="77"/>
      <c r="AF58" s="134" t="s">
        <v>272</v>
      </c>
      <c r="AG58" s="659"/>
      <c r="AH58" s="736">
        <f>AH13</f>
        <v>65368.626426372299</v>
      </c>
      <c r="AI58" s="659"/>
      <c r="AJ58" s="659"/>
      <c r="AK58" s="659"/>
      <c r="AL58" s="659"/>
      <c r="AM58" s="660"/>
    </row>
    <row r="59" spans="1:39" s="133" customFormat="1" x14ac:dyDescent="0.2">
      <c r="A59" s="121" t="s">
        <v>370</v>
      </c>
      <c r="B59" s="132"/>
      <c r="C59" s="382">
        <f>$AH$16</f>
        <v>33504.965890805717</v>
      </c>
      <c r="D59" s="132">
        <f>AH70</f>
        <v>5.8333333333333334E-2</v>
      </c>
      <c r="E59" s="75">
        <f>C59*D59</f>
        <v>1954.4563436303335</v>
      </c>
      <c r="F59"/>
      <c r="G59" s="121" t="s">
        <v>370</v>
      </c>
      <c r="H59" s="124"/>
      <c r="I59" s="382">
        <f>$AH$16</f>
        <v>33504.965890805717</v>
      </c>
      <c r="J59" s="124">
        <f>AI70</f>
        <v>9.9999999999999992E-2</v>
      </c>
      <c r="K59" s="157">
        <f>I59*J59</f>
        <v>3350.4965890805715</v>
      </c>
      <c r="L59" s="721"/>
      <c r="M59" s="380" t="s">
        <v>370</v>
      </c>
      <c r="N59" s="124"/>
      <c r="O59" s="382">
        <f>$AH$16</f>
        <v>33504.965890805717</v>
      </c>
      <c r="P59" s="124">
        <f>AJ70</f>
        <v>0.125</v>
      </c>
      <c r="Q59" s="157">
        <f>O59*P59</f>
        <v>4188.1207363507147</v>
      </c>
      <c r="R59" s="157"/>
      <c r="S59" s="380" t="s">
        <v>370</v>
      </c>
      <c r="T59" s="124"/>
      <c r="U59" s="382">
        <f>$AH$16</f>
        <v>33504.965890805717</v>
      </c>
      <c r="V59" s="124">
        <f>AK70</f>
        <v>0.16666666666666666</v>
      </c>
      <c r="W59" s="75">
        <f>U59*V59</f>
        <v>5584.1609818009529</v>
      </c>
      <c r="X59"/>
      <c r="Y59" s="380" t="s">
        <v>370</v>
      </c>
      <c r="Z59" s="124"/>
      <c r="AA59" s="382">
        <f>$AH$16</f>
        <v>33504.965890805717</v>
      </c>
      <c r="AB59" s="124">
        <f>AL70</f>
        <v>0.20833333333333334</v>
      </c>
      <c r="AC59" s="157">
        <f>AA59*AB59</f>
        <v>6980.2012272511911</v>
      </c>
      <c r="AD59" s="721"/>
      <c r="AE59" s="77"/>
      <c r="AF59" s="134" t="s">
        <v>273</v>
      </c>
      <c r="AG59" s="659"/>
      <c r="AH59" s="736">
        <f>AH14</f>
        <v>56879.606800509006</v>
      </c>
      <c r="AI59" s="106"/>
      <c r="AJ59" s="106"/>
      <c r="AK59" s="106"/>
      <c r="AL59" s="661"/>
      <c r="AM59" s="662"/>
    </row>
    <row r="60" spans="1:39" s="133" customFormat="1" x14ac:dyDescent="0.2">
      <c r="A60" s="138" t="s">
        <v>277</v>
      </c>
      <c r="B60" s="138"/>
      <c r="C60" s="388"/>
      <c r="D60" s="140">
        <f>SUM(D56:D59)</f>
        <v>1.5842307692307693</v>
      </c>
      <c r="E60" s="139">
        <f>SUM(E56:E59)</f>
        <v>61748.215527818596</v>
      </c>
      <c r="F60"/>
      <c r="G60" s="138" t="s">
        <v>277</v>
      </c>
      <c r="H60" s="387"/>
      <c r="I60" s="388"/>
      <c r="J60" s="389">
        <f>SUM(J56:J59)</f>
        <v>2.2638461538461541</v>
      </c>
      <c r="K60" s="388">
        <f>SUM(K56:K59)</f>
        <v>84870.057062066437</v>
      </c>
      <c r="L60" s="721"/>
      <c r="M60" s="387" t="s">
        <v>277</v>
      </c>
      <c r="N60" s="387"/>
      <c r="O60" s="388"/>
      <c r="P60" s="389">
        <f>SUM(P56:P59)</f>
        <v>2.8470512820512823</v>
      </c>
      <c r="Q60" s="388">
        <f>SUM(Q56:Q59)</f>
        <v>104717.75733703446</v>
      </c>
      <c r="R60" s="71"/>
      <c r="S60" s="387" t="s">
        <v>277</v>
      </c>
      <c r="T60" s="387"/>
      <c r="U60" s="388"/>
      <c r="V60" s="389">
        <f>SUM(V56:V59)</f>
        <v>3.606410256410256</v>
      </c>
      <c r="W60" s="139">
        <f>SUM(W56:W59)</f>
        <v>130555.32403238202</v>
      </c>
      <c r="X60"/>
      <c r="Y60" s="387" t="s">
        <v>277</v>
      </c>
      <c r="Z60" s="387"/>
      <c r="AA60" s="388"/>
      <c r="AB60" s="389">
        <f>SUM(AB56:AB59)</f>
        <v>4.4455128205128203</v>
      </c>
      <c r="AC60" s="388">
        <f>SUM(AC56:AC59)</f>
        <v>159108.6158888292</v>
      </c>
      <c r="AD60" s="721"/>
      <c r="AE60" s="77"/>
      <c r="AF60" s="137" t="s">
        <v>275</v>
      </c>
      <c r="AG60" s="661"/>
      <c r="AH60" s="736">
        <f>AH15</f>
        <v>34055.717454304911</v>
      </c>
      <c r="AI60" s="106"/>
      <c r="AJ60" s="106"/>
      <c r="AK60" s="106"/>
      <c r="AL60" s="661"/>
      <c r="AM60" s="662"/>
    </row>
    <row r="61" spans="1:39" s="75" customFormat="1" x14ac:dyDescent="0.2">
      <c r="A61" s="106"/>
      <c r="B61" s="106"/>
      <c r="C61" s="369"/>
      <c r="D61" s="141"/>
      <c r="E61" s="93"/>
      <c r="F61"/>
      <c r="G61" s="106"/>
      <c r="H61" s="198"/>
      <c r="I61" s="369"/>
      <c r="J61" s="390"/>
      <c r="K61" s="369"/>
      <c r="L61" s="721"/>
      <c r="M61" s="198"/>
      <c r="N61" s="198"/>
      <c r="O61" s="369"/>
      <c r="P61" s="390"/>
      <c r="Q61" s="369"/>
      <c r="R61" s="71"/>
      <c r="S61" s="198"/>
      <c r="T61" s="198"/>
      <c r="U61" s="369"/>
      <c r="V61" s="390"/>
      <c r="W61" s="93"/>
      <c r="X61"/>
      <c r="Y61" s="198"/>
      <c r="Z61" s="198"/>
      <c r="AA61" s="369"/>
      <c r="AB61" s="390"/>
      <c r="AC61" s="369"/>
      <c r="AD61" s="721"/>
      <c r="AE61" s="93"/>
      <c r="AF61" s="134" t="s">
        <v>370</v>
      </c>
      <c r="AG61" s="659"/>
      <c r="AH61" s="736">
        <f>AH16</f>
        <v>33504.965890805717</v>
      </c>
      <c r="AI61" s="106"/>
      <c r="AJ61" s="106"/>
      <c r="AK61" s="106"/>
      <c r="AL61" s="659"/>
      <c r="AM61" s="660"/>
    </row>
    <row r="62" spans="1:39" s="101" customFormat="1" x14ac:dyDescent="0.2">
      <c r="A62" s="111" t="s">
        <v>278</v>
      </c>
      <c r="B62" s="111"/>
      <c r="C62" s="392"/>
      <c r="D62" s="113" t="s">
        <v>279</v>
      </c>
      <c r="E62" s="112"/>
      <c r="F62"/>
      <c r="G62" s="111" t="s">
        <v>278</v>
      </c>
      <c r="H62" s="391"/>
      <c r="I62" s="392"/>
      <c r="J62" s="393" t="s">
        <v>279</v>
      </c>
      <c r="K62" s="392"/>
      <c r="L62" s="721"/>
      <c r="M62" s="391" t="s">
        <v>278</v>
      </c>
      <c r="N62" s="391"/>
      <c r="O62" s="392"/>
      <c r="P62" s="393" t="s">
        <v>279</v>
      </c>
      <c r="Q62" s="392"/>
      <c r="R62" s="71"/>
      <c r="S62" s="391" t="s">
        <v>278</v>
      </c>
      <c r="T62" s="391"/>
      <c r="U62" s="392"/>
      <c r="V62" s="393" t="s">
        <v>279</v>
      </c>
      <c r="W62" s="112"/>
      <c r="X62"/>
      <c r="Y62" s="391" t="s">
        <v>278</v>
      </c>
      <c r="Z62" s="391"/>
      <c r="AA62" s="392"/>
      <c r="AB62" s="393" t="s">
        <v>279</v>
      </c>
      <c r="AC62" s="392"/>
      <c r="AD62" s="721"/>
      <c r="AE62" s="93"/>
      <c r="AF62" s="663"/>
      <c r="AG62" s="659"/>
      <c r="AH62" s="205"/>
      <c r="AI62" s="242"/>
      <c r="AJ62" s="242"/>
      <c r="AK62" s="242"/>
      <c r="AL62" s="106"/>
      <c r="AM62" s="107"/>
    </row>
    <row r="63" spans="1:39" s="101" customFormat="1" x14ac:dyDescent="0.2">
      <c r="A63" s="143" t="s">
        <v>280</v>
      </c>
      <c r="B63" s="144"/>
      <c r="C63" s="160">
        <f>$AH$33</f>
        <v>0.25578770213785851</v>
      </c>
      <c r="D63" s="145"/>
      <c r="E63" s="75">
        <f>C63*E60</f>
        <v>15794.434160973953</v>
      </c>
      <c r="F63"/>
      <c r="G63" s="143" t="s">
        <v>280</v>
      </c>
      <c r="H63" s="144"/>
      <c r="I63" s="160">
        <f>$AH$33</f>
        <v>0.25578770213785851</v>
      </c>
      <c r="J63" s="395"/>
      <c r="K63" s="157">
        <f>I63*K60</f>
        <v>21708.716876214905</v>
      </c>
      <c r="L63" s="721"/>
      <c r="M63" s="143" t="s">
        <v>280</v>
      </c>
      <c r="N63" s="144"/>
      <c r="O63" s="160">
        <f>$AH$33</f>
        <v>0.25578770213785851</v>
      </c>
      <c r="P63" s="395"/>
      <c r="Q63" s="157">
        <f>O63*Q60</f>
        <v>26785.514522269918</v>
      </c>
      <c r="R63" s="144"/>
      <c r="S63" s="143" t="s">
        <v>280</v>
      </c>
      <c r="T63" s="144"/>
      <c r="U63" s="160">
        <f>$AH$33</f>
        <v>0.25578770213785851</v>
      </c>
      <c r="V63" s="395"/>
      <c r="W63" s="75">
        <f>U63*W60</f>
        <v>33394.446336106535</v>
      </c>
      <c r="X63"/>
      <c r="Y63" s="143" t="s">
        <v>280</v>
      </c>
      <c r="Z63" s="144"/>
      <c r="AA63" s="160">
        <f>$AH$33</f>
        <v>0.25578770213785851</v>
      </c>
      <c r="AB63" s="395"/>
      <c r="AC63" s="157">
        <f>AA63*AC60</f>
        <v>40698.027248538783</v>
      </c>
      <c r="AD63" s="721"/>
      <c r="AE63" s="114"/>
      <c r="AF63" s="663"/>
      <c r="AG63" s="659"/>
      <c r="AH63" s="664" t="s">
        <v>270</v>
      </c>
      <c r="AI63" s="664"/>
      <c r="AJ63" s="664"/>
      <c r="AK63" s="664"/>
      <c r="AL63" s="664"/>
      <c r="AM63" s="665"/>
    </row>
    <row r="64" spans="1:39" s="101" customFormat="1" x14ac:dyDescent="0.2">
      <c r="A64" s="149" t="s">
        <v>282</v>
      </c>
      <c r="B64" s="149"/>
      <c r="C64" s="398"/>
      <c r="D64" s="151">
        <f>E64/E52</f>
        <v>26.555701948216626</v>
      </c>
      <c r="E64" s="152">
        <f>E63+E60</f>
        <v>77542.649688792546</v>
      </c>
      <c r="F64"/>
      <c r="G64" s="149" t="s">
        <v>282</v>
      </c>
      <c r="H64" s="397"/>
      <c r="I64" s="398"/>
      <c r="J64" s="151">
        <f>K64/K52</f>
        <v>24.333053410566517</v>
      </c>
      <c r="K64" s="399">
        <f>K63+K60</f>
        <v>106578.77393828135</v>
      </c>
      <c r="L64" s="721"/>
      <c r="M64" s="397" t="s">
        <v>282</v>
      </c>
      <c r="N64" s="397"/>
      <c r="O64" s="398"/>
      <c r="P64" s="151">
        <f>Q64/Q52</f>
        <v>23.244060425860251</v>
      </c>
      <c r="Q64" s="399">
        <f>Q63+Q60</f>
        <v>131503.27185930437</v>
      </c>
      <c r="R64" s="143"/>
      <c r="S64" s="397" t="s">
        <v>282</v>
      </c>
      <c r="T64" s="397"/>
      <c r="U64" s="398"/>
      <c r="V64" s="151">
        <f>W64/W52</f>
        <v>22.458872653217611</v>
      </c>
      <c r="W64" s="152">
        <f>W63+W60</f>
        <v>163949.77036848856</v>
      </c>
      <c r="X64"/>
      <c r="Y64" s="397" t="s">
        <v>282</v>
      </c>
      <c r="Z64" s="397"/>
      <c r="AA64" s="398"/>
      <c r="AB64" s="151">
        <f>AC64/AC52</f>
        <v>21.896618426012928</v>
      </c>
      <c r="AC64" s="399">
        <f>AC63+AC60</f>
        <v>199806.64313736797</v>
      </c>
      <c r="AD64" s="721"/>
      <c r="AE64" s="146"/>
      <c r="AF64" s="147"/>
      <c r="AG64" s="666" t="s">
        <v>281</v>
      </c>
      <c r="AH64" s="268">
        <v>8</v>
      </c>
      <c r="AI64" s="268">
        <v>12</v>
      </c>
      <c r="AJ64" s="268">
        <v>15.5</v>
      </c>
      <c r="AK64" s="268">
        <v>20</v>
      </c>
      <c r="AL64" s="264">
        <v>25</v>
      </c>
      <c r="AM64" s="265">
        <v>30</v>
      </c>
    </row>
    <row r="65" spans="1:39" s="78" customFormat="1" x14ac:dyDescent="0.2">
      <c r="A65" s="72"/>
      <c r="B65" s="72"/>
      <c r="C65" s="157"/>
      <c r="D65" s="76"/>
      <c r="E65" s="75"/>
      <c r="F65"/>
      <c r="G65" s="72"/>
      <c r="H65" s="143"/>
      <c r="I65" s="157"/>
      <c r="J65" s="365"/>
      <c r="K65" s="157"/>
      <c r="L65" s="721"/>
      <c r="M65" s="143"/>
      <c r="N65" s="143"/>
      <c r="O65" s="157"/>
      <c r="P65" s="365"/>
      <c r="Q65" s="157"/>
      <c r="R65" s="143"/>
      <c r="S65" s="143"/>
      <c r="T65" s="143"/>
      <c r="U65" s="157"/>
      <c r="V65" s="365"/>
      <c r="W65" s="75"/>
      <c r="X65"/>
      <c r="Y65" s="143"/>
      <c r="Z65" s="143"/>
      <c r="AA65" s="157"/>
      <c r="AB65" s="365"/>
      <c r="AC65" s="157"/>
      <c r="AD65" s="721"/>
      <c r="AE65" s="77"/>
      <c r="AF65" s="134" t="s">
        <v>272</v>
      </c>
      <c r="AG65" s="659"/>
      <c r="AH65" s="667">
        <v>0.25</v>
      </c>
      <c r="AI65" s="667">
        <v>0.25</v>
      </c>
      <c r="AJ65" s="667">
        <v>0.25</v>
      </c>
      <c r="AK65" s="667">
        <v>0.25</v>
      </c>
      <c r="AL65" s="667">
        <v>0.25</v>
      </c>
      <c r="AM65" s="668">
        <v>0.25</v>
      </c>
    </row>
    <row r="66" spans="1:39" s="72" customFormat="1" x14ac:dyDescent="0.2">
      <c r="A66" s="72" t="s">
        <v>91</v>
      </c>
      <c r="C66" s="75"/>
      <c r="D66" s="124">
        <f>AH80</f>
        <v>36.208547154554275</v>
      </c>
      <c r="E66" s="75">
        <f>D66*E$7</f>
        <v>105728.95769129848</v>
      </c>
      <c r="F66"/>
      <c r="G66" s="72" t="s">
        <v>91</v>
      </c>
      <c r="H66" s="143"/>
      <c r="I66" s="157"/>
      <c r="J66" s="124">
        <f>AH80</f>
        <v>36.208547154554275</v>
      </c>
      <c r="K66" s="157">
        <f>J66*K$52</f>
        <v>158593.43653694773</v>
      </c>
      <c r="L66" s="721"/>
      <c r="M66" s="143" t="s">
        <v>91</v>
      </c>
      <c r="N66" s="143"/>
      <c r="O66" s="157"/>
      <c r="P66" s="124">
        <f>AH80</f>
        <v>36.208547154554275</v>
      </c>
      <c r="Q66" s="157">
        <f>P66*Q$7</f>
        <v>204849.85552689081</v>
      </c>
      <c r="R66" s="143"/>
      <c r="S66" s="143" t="s">
        <v>91</v>
      </c>
      <c r="T66" s="143"/>
      <c r="U66" s="157"/>
      <c r="V66" s="124">
        <f>AH80</f>
        <v>36.208547154554275</v>
      </c>
      <c r="W66" s="75">
        <f>V66*W$7</f>
        <v>264322.39422824618</v>
      </c>
      <c r="X66"/>
      <c r="Y66" s="143" t="s">
        <v>91</v>
      </c>
      <c r="Z66" s="143"/>
      <c r="AA66" s="157"/>
      <c r="AB66" s="124">
        <f>AH80</f>
        <v>36.208547154554275</v>
      </c>
      <c r="AC66" s="157">
        <f>AB66*AC52</f>
        <v>330402.99278530775</v>
      </c>
      <c r="AD66" s="721"/>
      <c r="AE66" s="77"/>
      <c r="AF66" s="134" t="s">
        <v>273</v>
      </c>
      <c r="AG66" s="659"/>
      <c r="AH66" s="667">
        <v>0</v>
      </c>
      <c r="AI66" s="667">
        <v>0</v>
      </c>
      <c r="AJ66" s="667">
        <v>0</v>
      </c>
      <c r="AK66" s="667">
        <v>0</v>
      </c>
      <c r="AL66" s="667">
        <v>0</v>
      </c>
      <c r="AM66" s="669">
        <v>0</v>
      </c>
    </row>
    <row r="67" spans="1:39" s="72" customFormat="1" x14ac:dyDescent="0.2">
      <c r="C67" s="75"/>
      <c r="D67" s="124"/>
      <c r="E67" s="157"/>
      <c r="F67"/>
      <c r="H67" s="143"/>
      <c r="I67" s="157"/>
      <c r="J67" s="124"/>
      <c r="K67" s="157"/>
      <c r="L67" s="721"/>
      <c r="M67" s="143"/>
      <c r="N67" s="143"/>
      <c r="O67" s="157"/>
      <c r="P67" s="124"/>
      <c r="Q67" s="157"/>
      <c r="R67" s="143"/>
      <c r="S67" s="143"/>
      <c r="T67" s="143"/>
      <c r="U67" s="157"/>
      <c r="V67" s="124"/>
      <c r="W67" s="157"/>
      <c r="X67"/>
      <c r="Y67" s="143"/>
      <c r="Z67" s="143"/>
      <c r="AA67" s="157"/>
      <c r="AB67" s="124"/>
      <c r="AC67" s="157"/>
      <c r="AD67" s="721"/>
      <c r="AE67" s="77"/>
      <c r="AF67" s="663"/>
      <c r="AG67" s="659"/>
      <c r="AH67" s="667"/>
      <c r="AI67" s="651"/>
      <c r="AJ67" s="651"/>
      <c r="AK67" s="651"/>
      <c r="AL67" s="651"/>
      <c r="AM67" s="670"/>
    </row>
    <row r="68" spans="1:39" s="72" customFormat="1" x14ac:dyDescent="0.2">
      <c r="A68" s="72" t="s">
        <v>283</v>
      </c>
      <c r="C68" s="75"/>
      <c r="D68" s="124">
        <f>$AH84</f>
        <v>18.364580498704061</v>
      </c>
      <c r="E68" s="75">
        <f>D68*E$7</f>
        <v>53624.575056215857</v>
      </c>
      <c r="F68"/>
      <c r="G68" s="72" t="s">
        <v>283</v>
      </c>
      <c r="H68" s="143"/>
      <c r="I68" s="157"/>
      <c r="J68" s="124">
        <f>$AH84</f>
        <v>18.364580498704061</v>
      </c>
      <c r="K68" s="157">
        <f>J68*K$7</f>
        <v>80436.862584323782</v>
      </c>
      <c r="L68" s="721"/>
      <c r="M68" s="143" t="s">
        <v>283</v>
      </c>
      <c r="N68" s="143"/>
      <c r="O68" s="157"/>
      <c r="P68" s="124">
        <f>$AH84</f>
        <v>18.364580498704061</v>
      </c>
      <c r="Q68" s="157">
        <f>P68*Q$7</f>
        <v>103897.61417141823</v>
      </c>
      <c r="R68" s="143"/>
      <c r="S68" s="143" t="s">
        <v>283</v>
      </c>
      <c r="T68" s="143"/>
      <c r="U68" s="157"/>
      <c r="V68" s="124">
        <f>$AH84</f>
        <v>18.364580498704061</v>
      </c>
      <c r="W68" s="75">
        <f>V68*W$7</f>
        <v>134061.43764053966</v>
      </c>
      <c r="X68"/>
      <c r="Y68" s="143" t="s">
        <v>283</v>
      </c>
      <c r="Z68" s="143"/>
      <c r="AA68" s="157"/>
      <c r="AB68" s="124">
        <f>$AH84</f>
        <v>18.364580498704061</v>
      </c>
      <c r="AC68" s="157">
        <f>AB68*AC52</f>
        <v>167576.79705067456</v>
      </c>
      <c r="AD68" s="721"/>
      <c r="AE68" s="158"/>
      <c r="AF68" s="134" t="s">
        <v>370</v>
      </c>
      <c r="AG68" s="659"/>
      <c r="AH68" s="667"/>
      <c r="AI68" s="651"/>
      <c r="AJ68" s="651"/>
      <c r="AK68" s="651"/>
      <c r="AL68" s="651"/>
      <c r="AM68" s="670"/>
    </row>
    <row r="69" spans="1:39" s="72" customFormat="1" x14ac:dyDescent="0.2">
      <c r="C69" s="75"/>
      <c r="D69" s="159">
        <f>SUM(D66:D68)</f>
        <v>54.573127653258339</v>
      </c>
      <c r="E69" s="75"/>
      <c r="F69"/>
      <c r="H69" s="143"/>
      <c r="I69" s="157"/>
      <c r="J69" s="159">
        <f>SUM(J66:J68)</f>
        <v>54.573127653258339</v>
      </c>
      <c r="K69" s="157"/>
      <c r="L69" s="721"/>
      <c r="M69" s="143"/>
      <c r="N69" s="143"/>
      <c r="O69" s="157"/>
      <c r="P69" s="159">
        <f>SUM(P66:P68)</f>
        <v>54.573127653258339</v>
      </c>
      <c r="Q69" s="157"/>
      <c r="R69" s="143"/>
      <c r="S69" s="143"/>
      <c r="T69" s="143"/>
      <c r="U69" s="157"/>
      <c r="V69" s="159">
        <f>SUM(V66:V68)</f>
        <v>54.573127653258339</v>
      </c>
      <c r="W69" s="75"/>
      <c r="X69"/>
      <c r="Y69" s="143"/>
      <c r="Z69" s="143"/>
      <c r="AA69" s="157"/>
      <c r="AB69" s="159">
        <f>SUM(AB66:AB68)</f>
        <v>54.573127653258339</v>
      </c>
      <c r="AC69" s="157"/>
      <c r="AD69" s="721"/>
      <c r="AE69" s="77"/>
      <c r="AF69" s="663" t="s">
        <v>284</v>
      </c>
      <c r="AG69" s="659"/>
      <c r="AH69" s="671">
        <f>(0.75*7)/12</f>
        <v>0.4375</v>
      </c>
      <c r="AI69" s="671">
        <f>(0.75*8)/12</f>
        <v>0.5</v>
      </c>
      <c r="AJ69" s="671">
        <v>0.75</v>
      </c>
      <c r="AK69" s="671">
        <f>(0.75*20)/12</f>
        <v>1.25</v>
      </c>
      <c r="AL69" s="671">
        <f>(0.75*25)/12</f>
        <v>1.5625</v>
      </c>
      <c r="AM69" s="672">
        <f>(0.75*30)/12</f>
        <v>1.875</v>
      </c>
    </row>
    <row r="70" spans="1:39" s="72" customFormat="1" x14ac:dyDescent="0.2">
      <c r="A70" s="138" t="s">
        <v>371</v>
      </c>
      <c r="B70" s="138"/>
      <c r="C70" s="139"/>
      <c r="D70" s="140"/>
      <c r="E70" s="139">
        <f>SUM(E64:E68)</f>
        <v>236896.1824363069</v>
      </c>
      <c r="F70"/>
      <c r="G70" s="138" t="s">
        <v>371</v>
      </c>
      <c r="H70" s="138"/>
      <c r="I70" s="139"/>
      <c r="J70" s="140"/>
      <c r="K70" s="139">
        <f>SUM(K64:K68)</f>
        <v>345609.07305955287</v>
      </c>
      <c r="L70"/>
      <c r="M70" s="138" t="s">
        <v>371</v>
      </c>
      <c r="N70" s="138"/>
      <c r="O70" s="139"/>
      <c r="P70" s="140"/>
      <c r="Q70" s="139">
        <f>SUM(Q64:Q68)</f>
        <v>440250.74155761342</v>
      </c>
      <c r="S70" s="138" t="s">
        <v>371</v>
      </c>
      <c r="T70" s="138"/>
      <c r="U70" s="139"/>
      <c r="V70" s="140"/>
      <c r="W70" s="139">
        <f>SUM(W64:W68)</f>
        <v>562333.6022372744</v>
      </c>
      <c r="X70"/>
      <c r="Y70" s="387" t="s">
        <v>371</v>
      </c>
      <c r="Z70" s="387"/>
      <c r="AA70" s="388"/>
      <c r="AB70" s="389"/>
      <c r="AC70" s="388">
        <f>SUM(AC64:AC68)</f>
        <v>697786.43297335028</v>
      </c>
      <c r="AD70" s="721"/>
      <c r="AE70" s="77"/>
      <c r="AF70" s="663" t="s">
        <v>285</v>
      </c>
      <c r="AG70" s="659"/>
      <c r="AH70" s="671">
        <f>(0.075*7)/9</f>
        <v>5.8333333333333334E-2</v>
      </c>
      <c r="AI70" s="671">
        <f>(0.075*12)/9</f>
        <v>9.9999999999999992E-2</v>
      </c>
      <c r="AJ70" s="671">
        <f>(0.075*15)/9</f>
        <v>0.125</v>
      </c>
      <c r="AK70" s="671">
        <f>(0.075*20)/9</f>
        <v>0.16666666666666666</v>
      </c>
      <c r="AL70" s="671">
        <f>(0.075*25)/9</f>
        <v>0.20833333333333334</v>
      </c>
      <c r="AM70" s="672">
        <f>(0.075*30)/9</f>
        <v>0.25</v>
      </c>
    </row>
    <row r="71" spans="1:39" s="72" customFormat="1" x14ac:dyDescent="0.2">
      <c r="A71" s="72" t="s">
        <v>286</v>
      </c>
      <c r="C71" s="160">
        <f>$AH$42</f>
        <v>0.121061</v>
      </c>
      <c r="D71" s="132"/>
      <c r="E71" s="75">
        <f>C71*E70</f>
        <v>28678.88874192175</v>
      </c>
      <c r="F71"/>
      <c r="G71" s="72" t="s">
        <v>286</v>
      </c>
      <c r="I71" s="160">
        <f>$AH$42</f>
        <v>0.121061</v>
      </c>
      <c r="J71" s="132"/>
      <c r="K71" s="75">
        <f>I71*K70</f>
        <v>41839.779993662531</v>
      </c>
      <c r="L71"/>
      <c r="M71" s="72" t="s">
        <v>286</v>
      </c>
      <c r="O71" s="160">
        <f>$AH$42</f>
        <v>0.121061</v>
      </c>
      <c r="P71" s="132"/>
      <c r="Q71" s="75">
        <f>O71*Q70</f>
        <v>53297.195023706241</v>
      </c>
      <c r="S71" s="72" t="s">
        <v>286</v>
      </c>
      <c r="U71" s="160">
        <f>$AH$42</f>
        <v>0.121061</v>
      </c>
      <c r="V71" s="132"/>
      <c r="W71" s="75">
        <f>U71*W70</f>
        <v>68076.668220446678</v>
      </c>
      <c r="X71"/>
      <c r="Y71" s="143" t="s">
        <v>286</v>
      </c>
      <c r="Z71" s="143"/>
      <c r="AA71" s="160">
        <f>$AH$42</f>
        <v>0.121061</v>
      </c>
      <c r="AB71" s="124"/>
      <c r="AC71" s="157">
        <f>AA71*AC70</f>
        <v>84474.723362186764</v>
      </c>
      <c r="AD71" s="721"/>
      <c r="AE71" s="93"/>
      <c r="AF71" s="663"/>
      <c r="AG71" s="659"/>
      <c r="AH71" s="667"/>
      <c r="AI71" s="198"/>
      <c r="AJ71" s="198"/>
      <c r="AK71" s="198"/>
      <c r="AL71" s="651"/>
      <c r="AM71" s="670"/>
    </row>
    <row r="72" spans="1:39" s="72" customFormat="1" x14ac:dyDescent="0.2">
      <c r="A72" s="979" t="s">
        <v>539</v>
      </c>
      <c r="B72" s="979"/>
      <c r="C72" s="975">
        <f>AH41</f>
        <v>7.4999999999999997E-3</v>
      </c>
      <c r="D72" s="993"/>
      <c r="E72" s="984">
        <f>E60*C72</f>
        <v>463.11161645863945</v>
      </c>
      <c r="F72" s="994"/>
      <c r="G72" s="979" t="s">
        <v>539</v>
      </c>
      <c r="H72" s="979"/>
      <c r="I72" s="975">
        <f>AH41</f>
        <v>7.4999999999999997E-3</v>
      </c>
      <c r="J72" s="993"/>
      <c r="K72" s="984">
        <f>K60*I72</f>
        <v>636.52542796549824</v>
      </c>
      <c r="L72" s="994"/>
      <c r="M72" s="979" t="s">
        <v>539</v>
      </c>
      <c r="N72" s="979"/>
      <c r="O72" s="975">
        <f>AH41</f>
        <v>7.4999999999999997E-3</v>
      </c>
      <c r="P72" s="993"/>
      <c r="Q72" s="984">
        <f>Q60*O72</f>
        <v>785.38318002775839</v>
      </c>
      <c r="R72" s="979"/>
      <c r="S72" s="979" t="s">
        <v>539</v>
      </c>
      <c r="T72" s="979"/>
      <c r="U72" s="975">
        <f>AH41</f>
        <v>7.4999999999999997E-3</v>
      </c>
      <c r="V72" s="993"/>
      <c r="W72" s="984">
        <f>W60*U72</f>
        <v>979.16493024286513</v>
      </c>
      <c r="X72" s="994"/>
      <c r="Y72" s="974" t="s">
        <v>539</v>
      </c>
      <c r="Z72" s="974"/>
      <c r="AA72" s="975">
        <v>6.3E-3</v>
      </c>
      <c r="AB72" s="976"/>
      <c r="AC72" s="973">
        <f>AC60*AA72</f>
        <v>1002.384280099624</v>
      </c>
      <c r="AD72" s="995"/>
      <c r="AE72" s="93"/>
      <c r="AF72" s="663"/>
      <c r="AG72" s="659"/>
      <c r="AH72" s="667"/>
      <c r="AI72" s="198"/>
      <c r="AJ72" s="198"/>
      <c r="AK72" s="198"/>
      <c r="AL72" s="651"/>
      <c r="AM72" s="670"/>
    </row>
    <row r="73" spans="1:39" s="72" customFormat="1" ht="15" thickBot="1" x14ac:dyDescent="0.25">
      <c r="A73" s="161" t="s">
        <v>288</v>
      </c>
      <c r="B73" s="161"/>
      <c r="C73" s="162"/>
      <c r="D73" s="163"/>
      <c r="E73" s="164">
        <f>SUM(E70:E72)</f>
        <v>266038.18279468728</v>
      </c>
      <c r="F73"/>
      <c r="G73" s="161" t="s">
        <v>288</v>
      </c>
      <c r="H73" s="161"/>
      <c r="I73" s="162"/>
      <c r="J73" s="163"/>
      <c r="K73" s="164">
        <f>SUM(K70:K72)</f>
        <v>388085.37848118093</v>
      </c>
      <c r="L73"/>
      <c r="M73" s="161" t="s">
        <v>288</v>
      </c>
      <c r="N73" s="161"/>
      <c r="O73" s="162"/>
      <c r="P73" s="163"/>
      <c r="Q73" s="164">
        <f>SUM(Q70:Q72)</f>
        <v>494333.31976134743</v>
      </c>
      <c r="R73" s="101"/>
      <c r="S73" s="161" t="s">
        <v>288</v>
      </c>
      <c r="T73" s="161"/>
      <c r="U73" s="162"/>
      <c r="V73" s="163"/>
      <c r="W73" s="164">
        <f>SUM(W70:W72)</f>
        <v>631389.43538796389</v>
      </c>
      <c r="X73"/>
      <c r="Y73" s="401" t="s">
        <v>288</v>
      </c>
      <c r="Z73" s="401"/>
      <c r="AA73" s="402"/>
      <c r="AB73" s="403"/>
      <c r="AC73" s="404">
        <f>SUM(AC70:AC72)</f>
        <v>783263.54061563674</v>
      </c>
      <c r="AD73" s="721"/>
      <c r="AE73" s="77"/>
      <c r="AF73" s="663"/>
      <c r="AG73" s="659"/>
      <c r="AH73" s="673" t="s">
        <v>287</v>
      </c>
      <c r="AI73" s="673"/>
      <c r="AJ73" s="673"/>
      <c r="AK73" s="673"/>
      <c r="AL73" s="673"/>
      <c r="AM73" s="674"/>
    </row>
    <row r="74" spans="1:39" s="72" customFormat="1" ht="15" thickTop="1" x14ac:dyDescent="0.2">
      <c r="A74" s="111"/>
      <c r="B74" s="111"/>
      <c r="C74" s="112"/>
      <c r="D74" s="165"/>
      <c r="E74" s="112"/>
      <c r="F74"/>
      <c r="G74" s="111"/>
      <c r="H74" s="111"/>
      <c r="I74" s="112"/>
      <c r="J74" s="165"/>
      <c r="K74" s="112"/>
      <c r="L74"/>
      <c r="M74" s="111"/>
      <c r="N74" s="111"/>
      <c r="O74" s="112"/>
      <c r="P74" s="165"/>
      <c r="Q74" s="112"/>
      <c r="R74" s="101"/>
      <c r="S74" s="111"/>
      <c r="T74" s="111"/>
      <c r="U74" s="112"/>
      <c r="V74" s="165"/>
      <c r="W74" s="112"/>
      <c r="X74"/>
      <c r="Y74" s="391"/>
      <c r="Z74" s="391"/>
      <c r="AA74" s="392"/>
      <c r="AB74" s="405"/>
      <c r="AC74" s="392"/>
      <c r="AD74" s="721"/>
      <c r="AE74" s="93"/>
      <c r="AF74" s="663"/>
      <c r="AG74" s="666" t="s">
        <v>281</v>
      </c>
      <c r="AH74" s="351">
        <v>8</v>
      </c>
      <c r="AI74" s="351">
        <v>12</v>
      </c>
      <c r="AJ74" s="351">
        <v>15.5</v>
      </c>
      <c r="AK74" s="351">
        <v>20</v>
      </c>
      <c r="AL74" s="352">
        <v>25</v>
      </c>
      <c r="AM74" s="353">
        <v>30</v>
      </c>
    </row>
    <row r="75" spans="1:39" s="101" customFormat="1" ht="15" customHeight="1" x14ac:dyDescent="0.2">
      <c r="A75" s="167" t="s">
        <v>289</v>
      </c>
      <c r="B75" s="167"/>
      <c r="C75" s="168"/>
      <c r="D75" s="168"/>
      <c r="E75" s="169">
        <f>E73/E52</f>
        <v>91.108966710509335</v>
      </c>
      <c r="F75"/>
      <c r="G75" s="167" t="s">
        <v>289</v>
      </c>
      <c r="H75" s="167"/>
      <c r="I75" s="168"/>
      <c r="J75" s="168"/>
      <c r="K75" s="169">
        <f>K73/K52</f>
        <v>88.60396768976733</v>
      </c>
      <c r="L75"/>
      <c r="M75" s="167" t="s">
        <v>289</v>
      </c>
      <c r="N75" s="167"/>
      <c r="O75" s="168"/>
      <c r="P75" s="168"/>
      <c r="Q75" s="169">
        <f>Q73/Q52</f>
        <v>87.376636281281037</v>
      </c>
      <c r="R75" s="170"/>
      <c r="S75" s="167" t="s">
        <v>289</v>
      </c>
      <c r="T75" s="167"/>
      <c r="U75" s="168"/>
      <c r="V75" s="168"/>
      <c r="W75" s="169">
        <f>W73/W52</f>
        <v>86.49170347780327</v>
      </c>
      <c r="X75"/>
      <c r="Y75" s="167" t="s">
        <v>289</v>
      </c>
      <c r="Z75" s="167"/>
      <c r="AA75" s="168"/>
      <c r="AB75" s="168"/>
      <c r="AC75" s="169">
        <f>AC73/AC52</f>
        <v>85.837100341439637</v>
      </c>
      <c r="AD75"/>
      <c r="AE75" s="114"/>
      <c r="AF75" s="675" t="s">
        <v>275</v>
      </c>
      <c r="AG75" s="659"/>
      <c r="AH75" s="671">
        <v>7.5</v>
      </c>
      <c r="AI75" s="671">
        <v>7.5</v>
      </c>
      <c r="AJ75" s="671">
        <v>7.5</v>
      </c>
      <c r="AK75" s="671">
        <v>7.5</v>
      </c>
      <c r="AL75" s="671">
        <v>7.5</v>
      </c>
      <c r="AM75" s="672">
        <v>7.5</v>
      </c>
    </row>
    <row r="76" spans="1:39" s="101" customFormat="1" ht="15" thickBot="1" x14ac:dyDescent="0.25">
      <c r="A76" s="167" t="s">
        <v>290</v>
      </c>
      <c r="B76" s="167"/>
      <c r="C76" s="172">
        <f>AH44</f>
        <v>1.8120393120392975E-2</v>
      </c>
      <c r="D76" s="168"/>
      <c r="E76" s="169"/>
      <c r="F76"/>
      <c r="G76" s="167" t="s">
        <v>290</v>
      </c>
      <c r="H76" s="167"/>
      <c r="I76" s="172">
        <f>AH44</f>
        <v>1.8120393120392975E-2</v>
      </c>
      <c r="J76" s="168"/>
      <c r="K76" s="169"/>
      <c r="L76"/>
      <c r="M76" s="167" t="s">
        <v>290</v>
      </c>
      <c r="N76" s="167"/>
      <c r="O76" s="172">
        <f>AH44</f>
        <v>1.8120393120392975E-2</v>
      </c>
      <c r="P76" s="168"/>
      <c r="Q76" s="169"/>
      <c r="R76" s="170"/>
      <c r="S76" s="167" t="s">
        <v>290</v>
      </c>
      <c r="T76" s="167"/>
      <c r="U76" s="968">
        <f>AH44</f>
        <v>1.8120393120392975E-2</v>
      </c>
      <c r="V76" s="168"/>
      <c r="W76" s="169"/>
      <c r="X76"/>
      <c r="Y76" s="167" t="s">
        <v>290</v>
      </c>
      <c r="Z76" s="167"/>
      <c r="AA76" s="172" t="e">
        <f>AI89</f>
        <v>#REF!</v>
      </c>
      <c r="AB76" s="168"/>
      <c r="AC76" s="169"/>
      <c r="AD76"/>
      <c r="AE76" s="171"/>
      <c r="AF76" s="675"/>
      <c r="AG76" s="659"/>
      <c r="AH76" s="676"/>
      <c r="AI76" s="242"/>
      <c r="AJ76" s="242"/>
      <c r="AK76" s="242"/>
      <c r="AL76" s="106"/>
      <c r="AM76" s="107"/>
    </row>
    <row r="77" spans="1:39" s="170" customFormat="1" ht="15" thickBot="1" x14ac:dyDescent="0.25">
      <c r="A77" s="175" t="s">
        <v>292</v>
      </c>
      <c r="B77" s="130"/>
      <c r="C77" s="176">
        <v>0.9</v>
      </c>
      <c r="D77" s="82"/>
      <c r="E77" s="178">
        <f>E$73*(C$76+1)/(E$52*C77)</f>
        <v>103.06655222677398</v>
      </c>
      <c r="F77"/>
      <c r="G77" s="175" t="s">
        <v>292</v>
      </c>
      <c r="H77" s="130"/>
      <c r="I77" s="176">
        <v>0.9</v>
      </c>
      <c r="J77" s="82"/>
      <c r="K77" s="178">
        <f>K$73*(I$76+1)/(K$52*I77)</f>
        <v>100.23278490703613</v>
      </c>
      <c r="L77"/>
      <c r="M77" s="175" t="s">
        <v>292</v>
      </c>
      <c r="N77" s="130"/>
      <c r="O77" s="176">
        <v>0.9</v>
      </c>
      <c r="P77" s="82"/>
      <c r="Q77" s="178">
        <f>Q$73*(O$76+1)/(Q$52*O77)</f>
        <v>98.844372533594935</v>
      </c>
      <c r="R77" s="72"/>
      <c r="S77" s="175" t="s">
        <v>292</v>
      </c>
      <c r="T77" s="130"/>
      <c r="U77" s="176">
        <v>0.9</v>
      </c>
      <c r="V77" s="82"/>
      <c r="W77" s="178">
        <f>W$73*(U$76+1)/(W$52*U77)</f>
        <v>97.843296829415038</v>
      </c>
      <c r="X77"/>
      <c r="Y77" s="175" t="s">
        <v>292</v>
      </c>
      <c r="Z77" s="130"/>
      <c r="AA77" s="176">
        <v>0.9</v>
      </c>
      <c r="AB77" s="82"/>
      <c r="AC77" s="178">
        <f t="shared" ref="AC77:AC85" si="5">AC$73/(AC$52*AA77)</f>
        <v>95.374555934932943</v>
      </c>
      <c r="AD77"/>
      <c r="AE77" s="171"/>
      <c r="AF77" s="147" t="s">
        <v>278</v>
      </c>
      <c r="AG77" s="106"/>
      <c r="AH77" s="677"/>
      <c r="AI77" s="242"/>
      <c r="AJ77" s="242"/>
      <c r="AK77" s="242"/>
      <c r="AL77" s="213"/>
      <c r="AM77" s="277"/>
    </row>
    <row r="78" spans="1:39" s="170" customFormat="1" ht="15" thickBot="1" x14ac:dyDescent="0.25">
      <c r="A78" s="181"/>
      <c r="B78" s="73"/>
      <c r="C78" s="182">
        <v>0.85</v>
      </c>
      <c r="D78" s="77"/>
      <c r="E78" s="178">
        <f t="shared" ref="E78:E85" si="6">E$73*(C$76+1)/(E$52*C78)</f>
        <v>109.1292905930548</v>
      </c>
      <c r="F78"/>
      <c r="G78" s="181"/>
      <c r="H78" s="73"/>
      <c r="I78" s="182">
        <v>0.85</v>
      </c>
      <c r="J78" s="77"/>
      <c r="K78" s="178">
        <f t="shared" ref="K78:K85" si="7">K$73*(I$76+1)/(K$52*I78)</f>
        <v>106.12883107803826</v>
      </c>
      <c r="L78"/>
      <c r="M78" s="181"/>
      <c r="N78" s="73"/>
      <c r="O78" s="182">
        <v>0.85</v>
      </c>
      <c r="P78" s="77"/>
      <c r="Q78" s="178">
        <f t="shared" ref="Q78:Q85" si="8">Q$73*(O$76+1)/(Q$52*O78)</f>
        <v>104.65874738851228</v>
      </c>
      <c r="R78" s="72"/>
      <c r="S78" s="181"/>
      <c r="T78" s="73"/>
      <c r="U78" s="182">
        <v>0.85</v>
      </c>
      <c r="V78" s="77"/>
      <c r="W78" s="178">
        <f t="shared" ref="W78:W85" si="9">W$73*(U$76+1)/(W$52*U78)</f>
        <v>103.59878487820416</v>
      </c>
      <c r="X78"/>
      <c r="Y78" s="181"/>
      <c r="Z78" s="73"/>
      <c r="AA78" s="182">
        <v>0.85</v>
      </c>
      <c r="AB78" s="77"/>
      <c r="AC78" s="183">
        <f t="shared" si="5"/>
        <v>100.98482393110547</v>
      </c>
      <c r="AD78"/>
      <c r="AE78" s="73"/>
      <c r="AF78" s="678" t="s">
        <v>280</v>
      </c>
      <c r="AG78" s="242"/>
      <c r="AH78" s="679">
        <f>'Rate Options'!$AJ$30</f>
        <v>0.25578770213785851</v>
      </c>
      <c r="AI78" s="242"/>
      <c r="AJ78" s="242"/>
      <c r="AK78" s="242"/>
      <c r="AL78" s="213"/>
      <c r="AM78" s="277"/>
    </row>
    <row r="79" spans="1:39" s="72" customFormat="1" ht="15" thickBot="1" x14ac:dyDescent="0.25">
      <c r="A79" s="181"/>
      <c r="B79" s="73"/>
      <c r="C79" s="182">
        <v>0.8</v>
      </c>
      <c r="D79" s="77"/>
      <c r="E79" s="178">
        <f t="shared" si="6"/>
        <v>115.94987125512073</v>
      </c>
      <c r="F79"/>
      <c r="G79" s="181"/>
      <c r="H79" s="73"/>
      <c r="I79" s="182">
        <v>0.8</v>
      </c>
      <c r="J79" s="77"/>
      <c r="K79" s="178">
        <f t="shared" si="7"/>
        <v>112.76188302041565</v>
      </c>
      <c r="L79"/>
      <c r="M79" s="181"/>
      <c r="N79" s="73"/>
      <c r="O79" s="182">
        <v>0.8</v>
      </c>
      <c r="P79" s="77"/>
      <c r="Q79" s="178">
        <f t="shared" si="8"/>
        <v>111.1999191002943</v>
      </c>
      <c r="S79" s="181"/>
      <c r="T79" s="73"/>
      <c r="U79" s="182">
        <v>0.8</v>
      </c>
      <c r="V79" s="77"/>
      <c r="W79" s="178">
        <f t="shared" si="9"/>
        <v>110.07370893309191</v>
      </c>
      <c r="X79"/>
      <c r="Y79" s="181"/>
      <c r="Z79" s="73"/>
      <c r="AA79" s="182">
        <v>0.8</v>
      </c>
      <c r="AB79" s="77"/>
      <c r="AC79" s="183">
        <f t="shared" si="5"/>
        <v>107.29637542679956</v>
      </c>
      <c r="AD79"/>
      <c r="AE79" s="73"/>
      <c r="AF79" s="639"/>
      <c r="AG79" s="242"/>
      <c r="AH79" s="677"/>
      <c r="AI79" s="242"/>
      <c r="AJ79" s="242"/>
      <c r="AK79" s="242"/>
      <c r="AL79" s="242"/>
      <c r="AM79" s="680"/>
    </row>
    <row r="80" spans="1:39" s="72" customFormat="1" ht="15" thickBot="1" x14ac:dyDescent="0.25">
      <c r="A80" s="181"/>
      <c r="B80" s="73"/>
      <c r="C80" s="182">
        <v>0.75</v>
      </c>
      <c r="D80" s="77"/>
      <c r="E80" s="178">
        <f t="shared" si="6"/>
        <v>123.67986267212878</v>
      </c>
      <c r="F80"/>
      <c r="G80" s="181"/>
      <c r="H80" s="73"/>
      <c r="I80" s="182">
        <v>0.75</v>
      </c>
      <c r="J80" s="77"/>
      <c r="K80" s="178">
        <f t="shared" si="7"/>
        <v>120.27934188844337</v>
      </c>
      <c r="L80"/>
      <c r="M80" s="181"/>
      <c r="N80" s="73"/>
      <c r="O80" s="182">
        <v>0.75</v>
      </c>
      <c r="P80" s="77"/>
      <c r="Q80" s="178">
        <f t="shared" si="8"/>
        <v>118.61324704031392</v>
      </c>
      <c r="S80" s="181"/>
      <c r="T80" s="73"/>
      <c r="U80" s="182">
        <v>0.75</v>
      </c>
      <c r="V80" s="77"/>
      <c r="W80" s="178">
        <f t="shared" si="9"/>
        <v>117.41195619529805</v>
      </c>
      <c r="X80"/>
      <c r="Y80" s="181"/>
      <c r="Z80" s="73"/>
      <c r="AA80" s="182">
        <v>0.75</v>
      </c>
      <c r="AB80" s="77"/>
      <c r="AC80" s="183">
        <f t="shared" si="5"/>
        <v>114.44946712191953</v>
      </c>
      <c r="AD80"/>
      <c r="AE80" s="73"/>
      <c r="AF80" s="639" t="s">
        <v>293</v>
      </c>
      <c r="AG80" s="242"/>
      <c r="AH80" s="735">
        <f>AH35</f>
        <v>36.208547154554275</v>
      </c>
      <c r="AI80" s="242"/>
      <c r="AJ80" s="242"/>
      <c r="AK80" s="242"/>
      <c r="AL80" s="242"/>
      <c r="AM80" s="680"/>
    </row>
    <row r="81" spans="1:39" s="72" customFormat="1" ht="15" thickBot="1" x14ac:dyDescent="0.25">
      <c r="A81" s="181"/>
      <c r="B81" s="73"/>
      <c r="C81" s="182">
        <v>0.7</v>
      </c>
      <c r="D81" s="77"/>
      <c r="E81" s="178">
        <f t="shared" si="6"/>
        <v>132.51413857728085</v>
      </c>
      <c r="F81"/>
      <c r="G81" s="181"/>
      <c r="H81" s="73"/>
      <c r="I81" s="182">
        <v>0.7</v>
      </c>
      <c r="J81" s="77"/>
      <c r="K81" s="178">
        <f t="shared" si="7"/>
        <v>128.87072345190361</v>
      </c>
      <c r="L81"/>
      <c r="M81" s="181"/>
      <c r="N81" s="73"/>
      <c r="O81" s="182">
        <v>0.7</v>
      </c>
      <c r="P81" s="77"/>
      <c r="Q81" s="178">
        <f t="shared" si="8"/>
        <v>127.08562182890779</v>
      </c>
      <c r="S81" s="181"/>
      <c r="T81" s="73"/>
      <c r="U81" s="182">
        <v>0.7</v>
      </c>
      <c r="V81" s="77"/>
      <c r="W81" s="178">
        <f t="shared" si="9"/>
        <v>125.79852449496219</v>
      </c>
      <c r="X81"/>
      <c r="Y81" s="181"/>
      <c r="Z81" s="73"/>
      <c r="AA81" s="182">
        <v>0.7</v>
      </c>
      <c r="AB81" s="77"/>
      <c r="AC81" s="183">
        <f t="shared" si="5"/>
        <v>122.62442905919949</v>
      </c>
      <c r="AD81"/>
      <c r="AE81" s="73"/>
      <c r="AF81" s="639" t="s">
        <v>294</v>
      </c>
      <c r="AG81" s="242"/>
      <c r="AH81" s="250">
        <f>AH36</f>
        <v>19.209698401603287</v>
      </c>
      <c r="AI81" s="242"/>
      <c r="AJ81" s="242"/>
      <c r="AK81" s="242"/>
      <c r="AL81" s="242"/>
      <c r="AM81" s="680"/>
    </row>
    <row r="82" spans="1:39" s="72" customFormat="1" ht="15" thickBot="1" x14ac:dyDescent="0.25">
      <c r="A82" s="181"/>
      <c r="B82" s="73"/>
      <c r="C82" s="182">
        <v>0.65</v>
      </c>
      <c r="D82" s="77"/>
      <c r="E82" s="178">
        <f t="shared" si="6"/>
        <v>142.70753385245629</v>
      </c>
      <c r="F82"/>
      <c r="G82" s="181"/>
      <c r="H82" s="73"/>
      <c r="I82" s="182">
        <v>0.65</v>
      </c>
      <c r="J82" s="77"/>
      <c r="K82" s="178">
        <f t="shared" si="7"/>
        <v>138.78385602512697</v>
      </c>
      <c r="L82"/>
      <c r="M82" s="181"/>
      <c r="N82" s="73"/>
      <c r="O82" s="182">
        <v>0.65</v>
      </c>
      <c r="P82" s="77"/>
      <c r="Q82" s="178">
        <f t="shared" si="8"/>
        <v>136.8614388926699</v>
      </c>
      <c r="S82" s="181"/>
      <c r="T82" s="73"/>
      <c r="U82" s="182">
        <v>0.65</v>
      </c>
      <c r="V82" s="77"/>
      <c r="W82" s="178">
        <f t="shared" si="9"/>
        <v>135.47533407149774</v>
      </c>
      <c r="X82"/>
      <c r="Y82" s="181"/>
      <c r="Z82" s="73"/>
      <c r="AA82" s="182">
        <v>0.65</v>
      </c>
      <c r="AB82" s="77"/>
      <c r="AC82" s="183">
        <f t="shared" si="5"/>
        <v>132.05707744836869</v>
      </c>
      <c r="AD82"/>
      <c r="AE82" s="73"/>
      <c r="AF82" s="639" t="s">
        <v>295</v>
      </c>
      <c r="AG82" s="242"/>
      <c r="AH82" s="250">
        <f>AH37</f>
        <v>5.2851727610295196</v>
      </c>
      <c r="AI82" s="242"/>
      <c r="AJ82" s="242"/>
      <c r="AK82" s="242"/>
      <c r="AL82" s="242"/>
      <c r="AM82" s="680"/>
    </row>
    <row r="83" spans="1:39" s="72" customFormat="1" ht="15" thickBot="1" x14ac:dyDescent="0.25">
      <c r="A83" s="181"/>
      <c r="B83" s="73"/>
      <c r="C83" s="182">
        <v>0.6</v>
      </c>
      <c r="D83" s="77"/>
      <c r="E83" s="178">
        <f t="shared" si="6"/>
        <v>154.59982834016097</v>
      </c>
      <c r="F83"/>
      <c r="G83" s="181"/>
      <c r="H83" s="73"/>
      <c r="I83" s="182">
        <v>0.6</v>
      </c>
      <c r="J83" s="77"/>
      <c r="K83" s="178">
        <f t="shared" si="7"/>
        <v>150.34917736055419</v>
      </c>
      <c r="L83"/>
      <c r="M83" s="181"/>
      <c r="N83" s="73"/>
      <c r="O83" s="182">
        <v>0.6</v>
      </c>
      <c r="P83" s="77"/>
      <c r="Q83" s="178">
        <f t="shared" si="8"/>
        <v>148.2665588003924</v>
      </c>
      <c r="S83" s="181"/>
      <c r="T83" s="73"/>
      <c r="U83" s="182">
        <v>0.6</v>
      </c>
      <c r="V83" s="77"/>
      <c r="W83" s="178">
        <f t="shared" si="9"/>
        <v>146.76494524412254</v>
      </c>
      <c r="X83"/>
      <c r="Y83" s="181"/>
      <c r="Z83" s="73"/>
      <c r="AA83" s="182">
        <v>0.6</v>
      </c>
      <c r="AB83" s="77"/>
      <c r="AC83" s="183">
        <f t="shared" si="5"/>
        <v>143.0618339023994</v>
      </c>
      <c r="AD83"/>
      <c r="AE83" s="73"/>
      <c r="AF83" s="639"/>
      <c r="AG83" s="242"/>
      <c r="AH83" s="250"/>
      <c r="AI83" s="242"/>
      <c r="AJ83" s="242"/>
      <c r="AK83" s="242"/>
      <c r="AL83" s="242"/>
      <c r="AM83" s="680"/>
    </row>
    <row r="84" spans="1:39" s="72" customFormat="1" ht="15" thickBot="1" x14ac:dyDescent="0.25">
      <c r="A84" s="181"/>
      <c r="B84" s="73"/>
      <c r="C84" s="182">
        <v>0.55000000000000004</v>
      </c>
      <c r="D84" s="77"/>
      <c r="E84" s="178">
        <f t="shared" si="6"/>
        <v>168.6543581892665</v>
      </c>
      <c r="F84"/>
      <c r="G84" s="181"/>
      <c r="H84" s="73"/>
      <c r="I84" s="182">
        <v>0.55000000000000004</v>
      </c>
      <c r="J84" s="77"/>
      <c r="K84" s="178">
        <f t="shared" si="7"/>
        <v>164.01728439333186</v>
      </c>
      <c r="L84"/>
      <c r="M84" s="181"/>
      <c r="N84" s="73"/>
      <c r="O84" s="182">
        <v>0.55000000000000004</v>
      </c>
      <c r="P84" s="77"/>
      <c r="Q84" s="178">
        <f t="shared" si="8"/>
        <v>161.74533687315531</v>
      </c>
      <c r="S84" s="181"/>
      <c r="T84" s="73"/>
      <c r="U84" s="182">
        <v>0.55000000000000004</v>
      </c>
      <c r="V84" s="77"/>
      <c r="W84" s="178">
        <f t="shared" si="9"/>
        <v>160.10721299358823</v>
      </c>
      <c r="X84"/>
      <c r="Y84" s="181"/>
      <c r="Z84" s="73"/>
      <c r="AA84" s="182">
        <v>0.55000000000000004</v>
      </c>
      <c r="AB84" s="77"/>
      <c r="AC84" s="183">
        <f t="shared" si="5"/>
        <v>156.06745516625389</v>
      </c>
      <c r="AD84"/>
      <c r="AE84" s="73"/>
      <c r="AF84" s="639" t="s">
        <v>283</v>
      </c>
      <c r="AG84" s="242"/>
      <c r="AH84" s="250">
        <f>AH39</f>
        <v>18.364580498704061</v>
      </c>
      <c r="AI84" s="242"/>
      <c r="AJ84" s="242"/>
      <c r="AK84" s="242"/>
      <c r="AL84" s="242"/>
      <c r="AM84" s="680"/>
    </row>
    <row r="85" spans="1:39" s="72" customFormat="1" ht="15" thickBot="1" x14ac:dyDescent="0.25">
      <c r="A85" s="189"/>
      <c r="B85" s="190"/>
      <c r="C85" s="191">
        <v>0.5</v>
      </c>
      <c r="D85" s="192"/>
      <c r="E85" s="1081">
        <f t="shared" si="6"/>
        <v>185.51979400819317</v>
      </c>
      <c r="F85"/>
      <c r="G85" s="189"/>
      <c r="H85" s="190"/>
      <c r="I85" s="191">
        <v>0.5</v>
      </c>
      <c r="J85" s="192"/>
      <c r="K85" s="1081">
        <f t="shared" si="7"/>
        <v>180.41901283266503</v>
      </c>
      <c r="L85"/>
      <c r="M85" s="189"/>
      <c r="N85" s="190"/>
      <c r="O85" s="191">
        <v>0.5</v>
      </c>
      <c r="P85" s="192"/>
      <c r="Q85" s="1081">
        <f t="shared" si="8"/>
        <v>177.91987056047088</v>
      </c>
      <c r="S85" s="189"/>
      <c r="T85" s="190"/>
      <c r="U85" s="191">
        <v>0.5</v>
      </c>
      <c r="V85" s="192"/>
      <c r="W85" s="1081">
        <f t="shared" si="9"/>
        <v>176.11793429294707</v>
      </c>
      <c r="X85"/>
      <c r="Y85" s="189"/>
      <c r="Z85" s="190"/>
      <c r="AA85" s="191">
        <v>0.5</v>
      </c>
      <c r="AB85" s="192"/>
      <c r="AC85" s="194">
        <f t="shared" si="5"/>
        <v>171.67420068287927</v>
      </c>
      <c r="AD85"/>
      <c r="AE85" s="73"/>
      <c r="AF85" s="681"/>
      <c r="AG85" s="682"/>
      <c r="AH85" s="683"/>
      <c r="AI85" s="684"/>
      <c r="AJ85" s="684"/>
      <c r="AK85" s="684"/>
      <c r="AL85" s="242"/>
      <c r="AM85" s="680"/>
    </row>
    <row r="86" spans="1:39" s="72" customForma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 s="73"/>
      <c r="AF86" s="663"/>
      <c r="AG86" s="106"/>
      <c r="AH86" s="205"/>
      <c r="AI86" s="684"/>
      <c r="AJ86" s="684"/>
      <c r="AK86" s="684"/>
      <c r="AL86" s="242"/>
      <c r="AM86" s="680"/>
    </row>
    <row r="87" spans="1:39" s="72" customForma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 s="639" t="s">
        <v>286</v>
      </c>
      <c r="AG87" s="242"/>
      <c r="AH87" s="679" t="e">
        <f>'Rate Options'!$AJ$42</f>
        <v>#REF!</v>
      </c>
      <c r="AI87" s="684"/>
      <c r="AJ87" s="684"/>
      <c r="AK87" s="684"/>
      <c r="AL87" s="242"/>
      <c r="AM87" s="680"/>
    </row>
    <row r="88" spans="1:39" x14ac:dyDescent="0.2">
      <c r="AF88" s="147"/>
      <c r="AG88" s="106"/>
      <c r="AH88" s="205" t="s">
        <v>335</v>
      </c>
      <c r="AI88" s="684"/>
      <c r="AJ88" s="684"/>
      <c r="AK88" s="684"/>
      <c r="AL88" s="684"/>
      <c r="AM88" s="685"/>
    </row>
    <row r="89" spans="1:39" ht="15" thickBot="1" x14ac:dyDescent="0.25">
      <c r="AF89" s="686" t="s">
        <v>296</v>
      </c>
      <c r="AG89" s="687"/>
      <c r="AH89" s="687"/>
      <c r="AI89" s="688" t="e">
        <f>#REF!</f>
        <v>#REF!</v>
      </c>
      <c r="AJ89" s="689"/>
      <c r="AK89" s="689"/>
      <c r="AL89" s="689"/>
      <c r="AM89" s="690"/>
    </row>
    <row r="90" spans="1:39" x14ac:dyDescent="0.2">
      <c r="AF90" s="436"/>
      <c r="AG90" s="436"/>
      <c r="AH90" s="636"/>
      <c r="AI90" s="436"/>
      <c r="AJ90" s="436"/>
      <c r="AK90" s="436"/>
      <c r="AL90" s="684"/>
      <c r="AM90" s="436"/>
    </row>
    <row r="91" spans="1:39" x14ac:dyDescent="0.2">
      <c r="AH91" s="275"/>
      <c r="AL91" s="271"/>
    </row>
    <row r="92" spans="1:39" x14ac:dyDescent="0.2">
      <c r="AH92" s="275"/>
      <c r="AL92" s="271"/>
    </row>
    <row r="93" spans="1:39" x14ac:dyDescent="0.2">
      <c r="AH93" s="275"/>
    </row>
    <row r="94" spans="1:39" x14ac:dyDescent="0.2">
      <c r="AH94" s="275"/>
    </row>
    <row r="95" spans="1:39" x14ac:dyDescent="0.2">
      <c r="AH95" s="275"/>
    </row>
    <row r="96" spans="1:39" x14ac:dyDescent="0.2">
      <c r="AH96" s="275"/>
    </row>
    <row r="97" spans="34:34" x14ac:dyDescent="0.2">
      <c r="AH97" s="275"/>
    </row>
    <row r="98" spans="34:34" x14ac:dyDescent="0.2">
      <c r="AH98" s="275"/>
    </row>
    <row r="99" spans="34:34" x14ac:dyDescent="0.2">
      <c r="AH99" s="275"/>
    </row>
    <row r="100" spans="34:34" x14ac:dyDescent="0.2">
      <c r="AH100" s="275"/>
    </row>
    <row r="101" spans="34:34" x14ac:dyDescent="0.2">
      <c r="AH101" s="275"/>
    </row>
    <row r="102" spans="34:34" x14ac:dyDescent="0.2">
      <c r="AH102" s="275"/>
    </row>
    <row r="103" spans="34:34" x14ac:dyDescent="0.2">
      <c r="AH103" s="275"/>
    </row>
    <row r="104" spans="34:34" x14ac:dyDescent="0.2">
      <c r="AH104" s="275"/>
    </row>
    <row r="105" spans="34:34" x14ac:dyDescent="0.2">
      <c r="AH105" s="275"/>
    </row>
    <row r="106" spans="34:34" x14ac:dyDescent="0.2">
      <c r="AH106" s="275"/>
    </row>
    <row r="107" spans="34:34" x14ac:dyDescent="0.2">
      <c r="AH107" s="275"/>
    </row>
    <row r="108" spans="34:34" x14ac:dyDescent="0.2">
      <c r="AH108" s="275"/>
    </row>
    <row r="109" spans="34:34" x14ac:dyDescent="0.2">
      <c r="AH109" s="275"/>
    </row>
  </sheetData>
  <mergeCells count="5">
    <mergeCell ref="AF1:AH1"/>
    <mergeCell ref="AH19:AM19"/>
    <mergeCell ref="AH21:AM21"/>
    <mergeCell ref="AH23:AM23"/>
    <mergeCell ref="AH27:AM27"/>
  </mergeCells>
  <pageMargins left="0.75" right="0.75" top="0.42" bottom="0.41" header="0.17" footer="0.18"/>
  <pageSetup paperSize="5" scale="55" fitToHeight="0" orientation="landscape" r:id="rId1"/>
  <headerFooter alignWithMargins="0">
    <oddHeader>&amp;C&amp;A</oddHeader>
    <oddFooter>&amp;C&amp;F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D107"/>
  <sheetViews>
    <sheetView topLeftCell="AH1" zoomScale="80" zoomScaleNormal="80" workbookViewId="0">
      <selection activeCell="G87" sqref="G87"/>
    </sheetView>
  </sheetViews>
  <sheetFormatPr defaultColWidth="8.25" defaultRowHeight="14.25" x14ac:dyDescent="0.2"/>
  <cols>
    <col min="1" max="1" width="27.75" customWidth="1"/>
    <col min="2" max="2" width="9.25" bestFit="1" customWidth="1"/>
    <col min="3" max="3" width="9" customWidth="1"/>
    <col min="4" max="4" width="8.25" customWidth="1"/>
    <col min="5" max="5" width="10.25" bestFit="1" customWidth="1"/>
    <col min="6" max="7" width="11.375" customWidth="1"/>
    <col min="8" max="8" width="1.75" customWidth="1"/>
    <col min="9" max="9" width="27.75" customWidth="1"/>
    <col min="10" max="10" width="9.25" bestFit="1" customWidth="1"/>
    <col min="11" max="11" width="9" customWidth="1"/>
    <col min="12" max="12" width="8.25" customWidth="1"/>
    <col min="13" max="13" width="9.25" bestFit="1" customWidth="1"/>
    <col min="14" max="15" width="11.375" customWidth="1"/>
    <col min="16" max="16" width="2.75" customWidth="1"/>
    <col min="17" max="17" width="26.625" customWidth="1"/>
    <col min="18" max="18" width="9.25" bestFit="1" customWidth="1"/>
    <col min="19" max="19" width="9" customWidth="1"/>
    <col min="20" max="20" width="8.25" customWidth="1"/>
    <col min="21" max="21" width="9.25" bestFit="1" customWidth="1"/>
    <col min="22" max="23" width="11.375" customWidth="1"/>
    <col min="24" max="24" width="2.75" customWidth="1"/>
    <col min="25" max="25" width="26.625" customWidth="1"/>
    <col min="26" max="26" width="9.25" bestFit="1" customWidth="1"/>
    <col min="27" max="27" width="9" customWidth="1"/>
    <col min="28" max="28" width="8.25" customWidth="1"/>
    <col min="29" max="29" width="9.25" bestFit="1" customWidth="1"/>
    <col min="30" max="31" width="11.375" customWidth="1"/>
    <col min="32" max="32" width="2.75" customWidth="1"/>
    <col min="33" max="33" width="26.625" customWidth="1"/>
    <col min="34" max="34" width="9.25" bestFit="1" customWidth="1"/>
    <col min="35" max="35" width="9" customWidth="1"/>
    <col min="36" max="36" width="8.25" customWidth="1"/>
    <col min="37" max="37" width="9.25" bestFit="1" customWidth="1"/>
    <col min="38" max="39" width="11.375" customWidth="1"/>
    <col min="40" max="40" width="2.5" customWidth="1"/>
    <col min="41" max="41" width="26.625" style="765" customWidth="1"/>
    <col min="42" max="42" width="9.25" style="765" bestFit="1" customWidth="1"/>
    <col min="43" max="43" width="9" style="765" customWidth="1"/>
    <col min="44" max="44" width="8.25" style="765" customWidth="1"/>
    <col min="45" max="45" width="9.25" style="765" bestFit="1" customWidth="1"/>
    <col min="46" max="47" width="11.375" style="765" customWidth="1"/>
    <col min="48" max="48" width="6" bestFit="1" customWidth="1"/>
    <col min="49" max="49" width="21.125" customWidth="1"/>
    <col min="50" max="50" width="11" customWidth="1"/>
    <col min="51" max="51" width="9.125" style="227" customWidth="1"/>
    <col min="52" max="52" width="6.625" customWidth="1"/>
    <col min="53" max="54" width="7.375" customWidth="1"/>
    <col min="55" max="55" width="7.25" customWidth="1"/>
  </cols>
  <sheetData>
    <row r="1" spans="1:56" s="72" customFormat="1" ht="15" thickBot="1" x14ac:dyDescent="0.25">
      <c r="A1" s="71"/>
      <c r="H1"/>
      <c r="I1" s="71"/>
      <c r="P1"/>
      <c r="Q1" s="71"/>
      <c r="Y1" s="71"/>
      <c r="AF1"/>
      <c r="AG1" s="71"/>
      <c r="AN1"/>
      <c r="AO1" s="763"/>
      <c r="AP1" s="764"/>
      <c r="AQ1" s="764"/>
      <c r="AR1" s="764"/>
      <c r="AS1" s="764"/>
      <c r="AT1" s="764"/>
      <c r="AU1" s="764"/>
      <c r="AV1" s="73"/>
      <c r="AW1" s="1122" t="s">
        <v>249</v>
      </c>
      <c r="AX1" s="1122"/>
      <c r="AY1" s="1122"/>
    </row>
    <row r="2" spans="1:56" s="72" customFormat="1" ht="15.75" thickTop="1" thickBot="1" x14ac:dyDescent="0.25">
      <c r="A2" s="71"/>
      <c r="H2"/>
      <c r="I2" s="71"/>
      <c r="P2"/>
      <c r="Q2" s="71"/>
      <c r="Y2" s="71"/>
      <c r="AF2"/>
      <c r="AG2" s="71"/>
      <c r="AN2"/>
      <c r="AO2" s="763"/>
      <c r="AP2" s="764"/>
      <c r="AQ2" s="764"/>
      <c r="AR2" s="764"/>
      <c r="AS2" s="764"/>
      <c r="AT2" s="764"/>
      <c r="AU2" s="764"/>
      <c r="AV2" s="73"/>
      <c r="AW2" s="205"/>
      <c r="AX2" s="205"/>
      <c r="AY2" s="205"/>
    </row>
    <row r="3" spans="1:56" s="72" customFormat="1" ht="15" thickBot="1" x14ac:dyDescent="0.25">
      <c r="A3" s="84" t="s">
        <v>300</v>
      </c>
      <c r="B3" s="221"/>
      <c r="H3"/>
      <c r="I3" s="198"/>
      <c r="J3" s="125"/>
      <c r="P3"/>
      <c r="Q3" s="71"/>
      <c r="Y3" s="71"/>
      <c r="AF3"/>
      <c r="AG3" s="71"/>
      <c r="AN3"/>
      <c r="AO3" s="763"/>
      <c r="AP3" s="764"/>
      <c r="AQ3" s="764"/>
      <c r="AR3" s="764"/>
      <c r="AS3" s="764"/>
      <c r="AT3" s="764"/>
      <c r="AU3" s="764"/>
      <c r="AV3" s="73"/>
      <c r="AW3" s="101"/>
      <c r="AX3" s="92"/>
      <c r="AY3" s="222"/>
    </row>
    <row r="4" spans="1:56" x14ac:dyDescent="0.2">
      <c r="AW4" s="79" t="s">
        <v>250</v>
      </c>
      <c r="AX4" s="337" t="s">
        <v>251</v>
      </c>
      <c r="AY4" s="223" t="s">
        <v>252</v>
      </c>
      <c r="AZ4" s="72"/>
      <c r="BA4" s="72"/>
      <c r="BB4" s="72"/>
    </row>
    <row r="5" spans="1:56" s="72" customFormat="1" x14ac:dyDescent="0.2">
      <c r="A5" s="101"/>
      <c r="B5" s="101"/>
      <c r="H5"/>
      <c r="I5" s="101"/>
      <c r="J5" s="101"/>
      <c r="P5"/>
      <c r="Q5" s="198"/>
      <c r="R5" s="125"/>
      <c r="Y5" s="198"/>
      <c r="Z5" s="125"/>
      <c r="AF5"/>
      <c r="AG5" s="198"/>
      <c r="AH5" s="125"/>
      <c r="AN5"/>
      <c r="AO5" s="766"/>
      <c r="AP5" s="767"/>
      <c r="AQ5" s="764"/>
      <c r="AR5" s="764"/>
      <c r="AS5" s="764"/>
      <c r="AT5" s="764"/>
      <c r="AU5" s="764"/>
      <c r="AV5" s="73"/>
      <c r="AW5" s="85" t="s">
        <v>254</v>
      </c>
      <c r="AX5" s="86">
        <v>15</v>
      </c>
      <c r="AY5" s="224">
        <f>AX5*8</f>
        <v>120</v>
      </c>
      <c r="AZ5" s="101"/>
      <c r="BA5" s="101"/>
      <c r="BB5" s="101"/>
    </row>
    <row r="6" spans="1:56" s="72" customFormat="1" x14ac:dyDescent="0.2">
      <c r="A6" s="78"/>
      <c r="B6" s="74"/>
      <c r="C6" s="90" t="s">
        <v>255</v>
      </c>
      <c r="D6" s="91"/>
      <c r="E6" s="92"/>
      <c r="F6" s="92"/>
      <c r="G6" s="92"/>
      <c r="H6"/>
      <c r="I6" s="78"/>
      <c r="J6" s="74"/>
      <c r="K6" s="90" t="s">
        <v>256</v>
      </c>
      <c r="L6" s="91"/>
      <c r="M6" s="92"/>
      <c r="N6" s="92"/>
      <c r="O6" s="92"/>
      <c r="P6" s="93"/>
      <c r="Q6" s="78"/>
      <c r="R6" s="74"/>
      <c r="S6" s="90" t="s">
        <v>257</v>
      </c>
      <c r="T6" s="91"/>
      <c r="U6" s="92"/>
      <c r="V6" s="92"/>
      <c r="W6" s="92"/>
      <c r="X6" s="92"/>
      <c r="Y6" s="78"/>
      <c r="Z6" s="74"/>
      <c r="AA6" s="90" t="s">
        <v>258</v>
      </c>
      <c r="AB6" s="91"/>
      <c r="AC6" s="92"/>
      <c r="AD6" s="93"/>
      <c r="AE6" s="93"/>
      <c r="AF6" s="93"/>
      <c r="AH6" s="78"/>
      <c r="AI6" s="90" t="s">
        <v>259</v>
      </c>
      <c r="AK6" s="91"/>
      <c r="AL6" s="92"/>
      <c r="AM6" s="92"/>
      <c r="AN6" s="93"/>
      <c r="AO6" s="768"/>
      <c r="AP6" s="769"/>
      <c r="AQ6" s="770" t="s">
        <v>334</v>
      </c>
      <c r="AR6" s="771"/>
      <c r="AS6" s="772"/>
      <c r="AT6" s="764"/>
      <c r="AU6" s="764"/>
      <c r="AW6" s="85" t="s">
        <v>260</v>
      </c>
      <c r="AX6" s="86">
        <v>15</v>
      </c>
      <c r="AY6" s="224">
        <f>AX6*8</f>
        <v>120</v>
      </c>
      <c r="AZ6" s="101"/>
      <c r="BA6" s="101"/>
      <c r="BB6" s="101"/>
    </row>
    <row r="7" spans="1:56" s="72" customFormat="1" x14ac:dyDescent="0.2">
      <c r="A7" s="94" t="s">
        <v>261</v>
      </c>
      <c r="B7" s="263" t="s">
        <v>343</v>
      </c>
      <c r="C7" s="96" t="s">
        <v>262</v>
      </c>
      <c r="D7" s="97">
        <v>365</v>
      </c>
      <c r="E7" s="98">
        <f>D7*B8</f>
        <v>2920</v>
      </c>
      <c r="F7" s="98"/>
      <c r="G7" s="98"/>
      <c r="H7"/>
      <c r="I7" s="94" t="s">
        <v>261</v>
      </c>
      <c r="J7" s="263" t="s">
        <v>339</v>
      </c>
      <c r="K7" s="96" t="s">
        <v>262</v>
      </c>
      <c r="L7" s="97">
        <v>365</v>
      </c>
      <c r="M7" s="98">
        <f>L7*J8</f>
        <v>4380</v>
      </c>
      <c r="N7" s="98"/>
      <c r="O7" s="98"/>
      <c r="P7" s="99"/>
      <c r="Q7" s="94" t="s">
        <v>261</v>
      </c>
      <c r="R7" s="100" t="s">
        <v>340</v>
      </c>
      <c r="S7" s="96" t="s">
        <v>262</v>
      </c>
      <c r="T7" s="97">
        <v>365</v>
      </c>
      <c r="U7" s="98">
        <f>R8*T7</f>
        <v>5657.5</v>
      </c>
      <c r="V7" s="98"/>
      <c r="W7" s="98"/>
      <c r="X7" s="98"/>
      <c r="Y7" s="94" t="s">
        <v>261</v>
      </c>
      <c r="Z7" s="102" t="s">
        <v>263</v>
      </c>
      <c r="AA7" s="96" t="s">
        <v>262</v>
      </c>
      <c r="AB7" s="97">
        <v>365</v>
      </c>
      <c r="AC7" s="98">
        <f>Z8*AB7</f>
        <v>7300</v>
      </c>
      <c r="AD7" s="99"/>
      <c r="AE7" s="99"/>
      <c r="AF7" s="99"/>
      <c r="AG7" s="94" t="s">
        <v>261</v>
      </c>
      <c r="AH7" s="102" t="s">
        <v>264</v>
      </c>
      <c r="AI7" s="96" t="s">
        <v>262</v>
      </c>
      <c r="AJ7" s="97">
        <v>365</v>
      </c>
      <c r="AK7" s="98">
        <f>AH8*AJ7</f>
        <v>9125</v>
      </c>
      <c r="AN7" s="99"/>
      <c r="AO7" s="773" t="s">
        <v>261</v>
      </c>
      <c r="AP7" s="774" t="s">
        <v>265</v>
      </c>
      <c r="AQ7" s="775" t="s">
        <v>262</v>
      </c>
      <c r="AR7" s="776">
        <v>365</v>
      </c>
      <c r="AS7" s="777">
        <f>AP8*AR7</f>
        <v>10950</v>
      </c>
      <c r="AT7" s="764"/>
      <c r="AU7" s="764"/>
      <c r="AW7" s="85" t="s">
        <v>266</v>
      </c>
      <c r="AX7" s="86">
        <v>13</v>
      </c>
      <c r="AY7" s="224">
        <f>AX7*8</f>
        <v>104</v>
      </c>
      <c r="AZ7" s="101"/>
      <c r="BA7" s="101"/>
      <c r="BB7" s="101"/>
    </row>
    <row r="8" spans="1:56" s="101" customFormat="1" x14ac:dyDescent="0.2">
      <c r="A8" s="94"/>
      <c r="B8" s="102">
        <v>8</v>
      </c>
      <c r="C8" s="96"/>
      <c r="D8" s="97"/>
      <c r="E8" s="98"/>
      <c r="F8" s="98"/>
      <c r="G8" s="98"/>
      <c r="H8"/>
      <c r="I8" s="94"/>
      <c r="J8" s="102">
        <v>12</v>
      </c>
      <c r="K8" s="96"/>
      <c r="L8" s="97"/>
      <c r="M8" s="98"/>
      <c r="N8" s="98"/>
      <c r="O8" s="98"/>
      <c r="P8" s="99"/>
      <c r="Q8" s="94"/>
      <c r="R8" s="102">
        <v>15.5</v>
      </c>
      <c r="S8" s="96"/>
      <c r="T8" s="97"/>
      <c r="U8" s="98"/>
      <c r="V8" s="98"/>
      <c r="W8" s="98"/>
      <c r="X8" s="98"/>
      <c r="Y8" s="94"/>
      <c r="Z8" s="102">
        <v>20</v>
      </c>
      <c r="AA8" s="96"/>
      <c r="AB8" s="97"/>
      <c r="AC8" s="98"/>
      <c r="AD8" s="99"/>
      <c r="AE8" s="99"/>
      <c r="AF8" s="99"/>
      <c r="AG8" s="94"/>
      <c r="AH8" s="102">
        <v>25</v>
      </c>
      <c r="AI8" s="96"/>
      <c r="AJ8" s="97"/>
      <c r="AK8" s="98"/>
      <c r="AN8" s="99"/>
      <c r="AO8" s="773"/>
      <c r="AP8" s="774">
        <v>30</v>
      </c>
      <c r="AQ8" s="775"/>
      <c r="AR8" s="776"/>
      <c r="AS8" s="777"/>
      <c r="AT8" s="763"/>
      <c r="AU8" s="763"/>
      <c r="AW8" s="104" t="s">
        <v>267</v>
      </c>
      <c r="AX8" s="105">
        <v>8</v>
      </c>
      <c r="AY8" s="225">
        <f>AX8*8</f>
        <v>64</v>
      </c>
    </row>
    <row r="9" spans="1:56" s="101" customFormat="1" x14ac:dyDescent="0.2">
      <c r="A9" s="94"/>
      <c r="B9" s="102"/>
      <c r="C9" s="108"/>
      <c r="D9" s="97"/>
      <c r="E9" s="98"/>
      <c r="F9" s="98"/>
      <c r="G9" s="98"/>
      <c r="H9"/>
      <c r="I9" s="94"/>
      <c r="J9" s="102"/>
      <c r="K9" s="108"/>
      <c r="L9" s="97"/>
      <c r="M9" s="98"/>
      <c r="N9" s="98"/>
      <c r="O9" s="98"/>
      <c r="P9"/>
      <c r="Q9" s="94"/>
      <c r="R9" s="102"/>
      <c r="S9" s="108"/>
      <c r="T9" s="97"/>
      <c r="U9" s="98"/>
      <c r="V9" s="98"/>
      <c r="W9" s="98"/>
      <c r="Y9" s="94"/>
      <c r="Z9" s="102"/>
      <c r="AA9" s="108"/>
      <c r="AB9" s="97"/>
      <c r="AC9" s="98"/>
      <c r="AD9" s="98"/>
      <c r="AE9" s="98"/>
      <c r="AF9"/>
      <c r="AG9" s="94"/>
      <c r="AH9" s="102"/>
      <c r="AI9" s="108"/>
      <c r="AJ9" s="97"/>
      <c r="AK9" s="98"/>
      <c r="AL9" s="98"/>
      <c r="AM9" s="98"/>
      <c r="AN9"/>
      <c r="AO9" s="773"/>
      <c r="AP9" s="774"/>
      <c r="AQ9" s="778"/>
      <c r="AR9" s="776"/>
      <c r="AS9" s="777"/>
      <c r="AT9" s="777"/>
      <c r="AU9" s="777"/>
      <c r="AV9" s="99"/>
      <c r="AW9" s="85"/>
      <c r="AX9" s="109" t="s">
        <v>268</v>
      </c>
      <c r="AY9" s="224">
        <f>SUM(AY5:AY8)</f>
        <v>408</v>
      </c>
      <c r="AZ9" s="75"/>
      <c r="BA9" s="75"/>
      <c r="BB9" s="75"/>
    </row>
    <row r="10" spans="1:56" s="357" customFormat="1" ht="26.25" thickBot="1" x14ac:dyDescent="0.25">
      <c r="A10" s="356"/>
      <c r="B10" s="292" t="s">
        <v>269</v>
      </c>
      <c r="C10" s="293" t="s">
        <v>341</v>
      </c>
      <c r="D10" s="294" t="s">
        <v>270</v>
      </c>
      <c r="E10" s="293" t="s">
        <v>342</v>
      </c>
      <c r="F10" s="293"/>
      <c r="G10" s="293"/>
      <c r="H10" s="227"/>
      <c r="I10" s="356"/>
      <c r="J10" s="292" t="s">
        <v>269</v>
      </c>
      <c r="K10" s="293" t="s">
        <v>341</v>
      </c>
      <c r="L10" s="294" t="s">
        <v>270</v>
      </c>
      <c r="M10" s="293" t="s">
        <v>342</v>
      </c>
      <c r="N10" s="293"/>
      <c r="O10" s="293"/>
      <c r="P10" s="227"/>
      <c r="Q10" s="356"/>
      <c r="R10" s="292" t="s">
        <v>269</v>
      </c>
      <c r="S10" s="293" t="s">
        <v>341</v>
      </c>
      <c r="T10" s="294" t="s">
        <v>270</v>
      </c>
      <c r="U10" s="293" t="s">
        <v>342</v>
      </c>
      <c r="V10" s="293"/>
      <c r="W10" s="293"/>
      <c r="Y10" s="356"/>
      <c r="Z10" s="292" t="s">
        <v>269</v>
      </c>
      <c r="AA10" s="377" t="s">
        <v>341</v>
      </c>
      <c r="AB10" s="378" t="s">
        <v>270</v>
      </c>
      <c r="AC10" s="293" t="s">
        <v>342</v>
      </c>
      <c r="AD10" s="293"/>
      <c r="AE10" s="293"/>
      <c r="AF10" s="227"/>
      <c r="AG10" s="356"/>
      <c r="AH10" s="292" t="s">
        <v>269</v>
      </c>
      <c r="AI10" s="293" t="s">
        <v>341</v>
      </c>
      <c r="AJ10" s="294" t="s">
        <v>270</v>
      </c>
      <c r="AK10" s="293" t="s">
        <v>342</v>
      </c>
      <c r="AL10" s="293"/>
      <c r="AM10" s="293"/>
      <c r="AN10" s="227"/>
      <c r="AO10" s="779"/>
      <c r="AP10" s="780" t="s">
        <v>269</v>
      </c>
      <c r="AQ10" s="781" t="s">
        <v>341</v>
      </c>
      <c r="AR10" s="782" t="s">
        <v>270</v>
      </c>
      <c r="AS10" s="781" t="s">
        <v>342</v>
      </c>
      <c r="AT10" s="781"/>
      <c r="AU10" s="781"/>
      <c r="AV10" s="207"/>
      <c r="AW10" s="360"/>
      <c r="AX10" s="361" t="s">
        <v>271</v>
      </c>
      <c r="AY10" s="226">
        <f>AY9/(52*40)</f>
        <v>0.19615384615384615</v>
      </c>
      <c r="AZ10" s="362"/>
      <c r="BA10" s="362"/>
      <c r="BB10" s="362"/>
    </row>
    <row r="11" spans="1:56" s="101" customFormat="1" ht="15" thickBot="1" x14ac:dyDescent="0.25">
      <c r="A11" s="380" t="s">
        <v>272</v>
      </c>
      <c r="B11" s="381"/>
      <c r="C11" s="382">
        <f>$AY$13</f>
        <v>59700.570397111915</v>
      </c>
      <c r="D11" s="124">
        <f>AY20</f>
        <v>2.15</v>
      </c>
      <c r="E11" s="157">
        <f>C11*D11</f>
        <v>128356.22635379061</v>
      </c>
      <c r="F11" s="157"/>
      <c r="G11" s="157"/>
      <c r="H11" s="721"/>
      <c r="I11" s="380" t="s">
        <v>272</v>
      </c>
      <c r="J11" s="381"/>
      <c r="K11" s="382">
        <f>$AY$13</f>
        <v>59700.570397111915</v>
      </c>
      <c r="L11" s="124">
        <f>AZ20</f>
        <v>2.15</v>
      </c>
      <c r="M11" s="157">
        <f>K11*L11</f>
        <v>128356.22635379061</v>
      </c>
      <c r="N11" s="157"/>
      <c r="O11" s="157"/>
      <c r="P11" s="721"/>
      <c r="Q11" s="380" t="s">
        <v>272</v>
      </c>
      <c r="R11" s="381"/>
      <c r="S11" s="382">
        <f>$AY$13</f>
        <v>59700.570397111915</v>
      </c>
      <c r="T11" s="124">
        <f>BA20</f>
        <v>2.15</v>
      </c>
      <c r="U11" s="75">
        <f>S11*T11</f>
        <v>128356.22635379061</v>
      </c>
      <c r="V11" s="75"/>
      <c r="W11" s="75"/>
      <c r="X11" s="75"/>
      <c r="Y11" s="121" t="s">
        <v>272</v>
      </c>
      <c r="Z11" s="122"/>
      <c r="AA11" s="382">
        <f>$AY$13</f>
        <v>59700.570397111915</v>
      </c>
      <c r="AB11" s="124">
        <f>BB20</f>
        <v>2.15</v>
      </c>
      <c r="AC11" s="75">
        <f>AA11*AB11</f>
        <v>128356.22635379061</v>
      </c>
      <c r="AD11" s="75"/>
      <c r="AE11" s="75"/>
      <c r="AF11"/>
      <c r="AG11" s="121" t="s">
        <v>272</v>
      </c>
      <c r="AH11" s="122"/>
      <c r="AI11" s="382">
        <f>$AY$13</f>
        <v>59700.570397111915</v>
      </c>
      <c r="AJ11" s="124">
        <f>BC20</f>
        <v>2.15</v>
      </c>
      <c r="AK11" s="75">
        <f>AI11*AJ11</f>
        <v>128356.22635379061</v>
      </c>
      <c r="AL11" s="75"/>
      <c r="AM11" s="75"/>
      <c r="AN11"/>
      <c r="AO11" s="783" t="s">
        <v>272</v>
      </c>
      <c r="AP11" s="784"/>
      <c r="AQ11" s="785">
        <f>$AY$13</f>
        <v>59700.570397111915</v>
      </c>
      <c r="AR11" s="786">
        <f>BD20</f>
        <v>2.15</v>
      </c>
      <c r="AS11" s="787">
        <f>AQ11*AR11</f>
        <v>128356.22635379061</v>
      </c>
      <c r="AT11" s="787"/>
      <c r="AU11" s="787"/>
      <c r="AV11" s="77"/>
      <c r="AW11" s="73"/>
      <c r="AX11" s="125"/>
      <c r="AY11" s="19"/>
      <c r="AZ11" s="133"/>
      <c r="BA11" s="133"/>
      <c r="BB11" s="133"/>
    </row>
    <row r="12" spans="1:56" s="75" customFormat="1" x14ac:dyDescent="0.2">
      <c r="A12" s="380" t="s">
        <v>273</v>
      </c>
      <c r="B12" s="124">
        <f>AY22</f>
        <v>7.5</v>
      </c>
      <c r="C12" s="382">
        <f>$AY$14</f>
        <v>51947.798987144524</v>
      </c>
      <c r="D12" s="124">
        <f>B8/B12</f>
        <v>1.0666666666666667</v>
      </c>
      <c r="E12" s="157">
        <f>C12*D12</f>
        <v>55410.98558628749</v>
      </c>
      <c r="F12" s="157"/>
      <c r="G12" s="157"/>
      <c r="H12" s="721"/>
      <c r="I12" s="380" t="s">
        <v>273</v>
      </c>
      <c r="J12" s="124">
        <f>AZ22</f>
        <v>7.5</v>
      </c>
      <c r="K12" s="382">
        <f>$AY$14</f>
        <v>51947.798987144524</v>
      </c>
      <c r="L12" s="124">
        <f>J8/J12</f>
        <v>1.6</v>
      </c>
      <c r="M12" s="157">
        <f>K12*L12</f>
        <v>83116.478379431239</v>
      </c>
      <c r="N12" s="157"/>
      <c r="O12" s="157"/>
      <c r="P12" s="721"/>
      <c r="Q12" s="380" t="s">
        <v>273</v>
      </c>
      <c r="R12" s="124">
        <f>BA22</f>
        <v>7.5</v>
      </c>
      <c r="S12" s="382">
        <f>$AY$14</f>
        <v>51947.798987144524</v>
      </c>
      <c r="T12" s="132">
        <f>R8/R12</f>
        <v>2.0666666666666669</v>
      </c>
      <c r="U12" s="75">
        <f>S12*T12</f>
        <v>107358.78457343203</v>
      </c>
      <c r="Y12" s="121" t="s">
        <v>273</v>
      </c>
      <c r="Z12" s="132">
        <f>BB22</f>
        <v>7.5</v>
      </c>
      <c r="AA12" s="382">
        <f>$AY$14</f>
        <v>51947.798987144524</v>
      </c>
      <c r="AB12" s="124">
        <f>Z8/Z12</f>
        <v>2.6666666666666665</v>
      </c>
      <c r="AC12" s="75">
        <f>AA12*AB12</f>
        <v>138527.46396571872</v>
      </c>
      <c r="AF12"/>
      <c r="AG12" s="121" t="s">
        <v>273</v>
      </c>
      <c r="AH12" s="132">
        <f>BC22</f>
        <v>7.5</v>
      </c>
      <c r="AI12" s="382">
        <f>$AY$14</f>
        <v>51947.798987144524</v>
      </c>
      <c r="AJ12" s="132">
        <f>AH8/AH12</f>
        <v>3.3333333333333335</v>
      </c>
      <c r="AK12" s="75">
        <f>AI12*AJ12</f>
        <v>173159.32995714841</v>
      </c>
      <c r="AN12"/>
      <c r="AO12" s="783" t="s">
        <v>273</v>
      </c>
      <c r="AP12" s="786">
        <f>BD22</f>
        <v>7.5</v>
      </c>
      <c r="AQ12" s="785">
        <f>$AY$14</f>
        <v>51947.798987144524</v>
      </c>
      <c r="AR12" s="786">
        <f>AP8/AP12</f>
        <v>4</v>
      </c>
      <c r="AS12" s="787">
        <f>AQ12*AR12</f>
        <v>207791.1959485781</v>
      </c>
      <c r="AT12" s="787"/>
      <c r="AU12" s="787"/>
      <c r="AV12" s="77"/>
      <c r="AW12" s="127"/>
      <c r="AX12" s="128"/>
      <c r="AY12" s="266" t="s">
        <v>274</v>
      </c>
      <c r="AZ12" s="267"/>
      <c r="BA12" s="267"/>
      <c r="BB12" s="267"/>
      <c r="BC12" s="82"/>
      <c r="BD12" s="83"/>
    </row>
    <row r="13" spans="1:56" s="75" customFormat="1" x14ac:dyDescent="0.2">
      <c r="A13" s="383" t="s">
        <v>275</v>
      </c>
      <c r="B13" s="124">
        <f>AY29</f>
        <v>1.1000000000000001</v>
      </c>
      <c r="C13" s="382">
        <f>$AY$15</f>
        <v>31102.5</v>
      </c>
      <c r="D13" s="124">
        <f>B8/B13</f>
        <v>7.2727272727272725</v>
      </c>
      <c r="E13" s="157">
        <f>C13*D13</f>
        <v>226200</v>
      </c>
      <c r="F13" s="157"/>
      <c r="G13" s="157"/>
      <c r="H13" s="721"/>
      <c r="I13" s="383" t="s">
        <v>275</v>
      </c>
      <c r="J13" s="124">
        <f>AZ29</f>
        <v>1.1000000000000001</v>
      </c>
      <c r="K13" s="382">
        <f>$AY$15</f>
        <v>31102.5</v>
      </c>
      <c r="L13" s="124">
        <f>J8/J13</f>
        <v>10.909090909090908</v>
      </c>
      <c r="M13" s="157">
        <f>K13*L13</f>
        <v>339300</v>
      </c>
      <c r="N13" s="157"/>
      <c r="O13" s="157"/>
      <c r="P13" s="721"/>
      <c r="Q13" s="383" t="s">
        <v>275</v>
      </c>
      <c r="R13" s="124">
        <f>BA29</f>
        <v>1.1000000000000001</v>
      </c>
      <c r="S13" s="382">
        <f>$AY$15</f>
        <v>31102.5</v>
      </c>
      <c r="T13" s="132">
        <f>R8/R13</f>
        <v>14.09090909090909</v>
      </c>
      <c r="U13" s="75">
        <f>S13*T13</f>
        <v>438262.49999999994</v>
      </c>
      <c r="X13" s="133"/>
      <c r="Y13" s="131" t="s">
        <v>275</v>
      </c>
      <c r="Z13" s="132">
        <f>BB29</f>
        <v>1.1000000000000001</v>
      </c>
      <c r="AA13" s="382">
        <f>$AY$15</f>
        <v>31102.5</v>
      </c>
      <c r="AB13" s="124">
        <f>Z8/Z13</f>
        <v>18.18181818181818</v>
      </c>
      <c r="AC13" s="75">
        <f>AA13*AB13</f>
        <v>565499.99999999988</v>
      </c>
      <c r="AF13"/>
      <c r="AG13" s="131" t="s">
        <v>275</v>
      </c>
      <c r="AH13" s="132">
        <f>BC29</f>
        <v>1.1000000000000001</v>
      </c>
      <c r="AI13" s="382">
        <f>$AY$15</f>
        <v>31102.5</v>
      </c>
      <c r="AJ13" s="132">
        <f>AH8/AH13</f>
        <v>22.727272727272727</v>
      </c>
      <c r="AK13" s="75">
        <f>AI13*AJ13</f>
        <v>706875</v>
      </c>
      <c r="AN13"/>
      <c r="AO13" s="788" t="s">
        <v>275</v>
      </c>
      <c r="AP13" s="786">
        <f>BD29</f>
        <v>1.1000000000000001</v>
      </c>
      <c r="AQ13" s="785">
        <f>$AY$15</f>
        <v>31102.5</v>
      </c>
      <c r="AR13" s="786">
        <f>AP8/AP13</f>
        <v>27.27272727272727</v>
      </c>
      <c r="AS13" s="787">
        <f>AQ13*AR13</f>
        <v>848249.99999999988</v>
      </c>
      <c r="AT13" s="787"/>
      <c r="AU13" s="787"/>
      <c r="AV13" s="77"/>
      <c r="AW13" s="134" t="s">
        <v>272</v>
      </c>
      <c r="AX13" s="77"/>
      <c r="AY13" s="710">
        <f>'Rate Options'!AK11</f>
        <v>59700.570397111915</v>
      </c>
      <c r="AZ13" s="77"/>
      <c r="BA13" s="77"/>
      <c r="BB13" s="77"/>
      <c r="BC13" s="77"/>
      <c r="BD13" s="103"/>
    </row>
    <row r="14" spans="1:56" s="133" customFormat="1" x14ac:dyDescent="0.2">
      <c r="A14" s="383" t="s">
        <v>276</v>
      </c>
      <c r="B14" s="124"/>
      <c r="C14" s="382">
        <f>$AY$15</f>
        <v>31102.5</v>
      </c>
      <c r="D14" s="124">
        <f>D13*AY10</f>
        <v>1.4265734265734265</v>
      </c>
      <c r="E14" s="157">
        <f>C14*D14</f>
        <v>44369.999999999993</v>
      </c>
      <c r="F14" s="157"/>
      <c r="G14" s="157"/>
      <c r="H14" s="721"/>
      <c r="I14" s="383" t="s">
        <v>276</v>
      </c>
      <c r="J14" s="124"/>
      <c r="K14" s="382">
        <f>$AY$15</f>
        <v>31102.5</v>
      </c>
      <c r="L14" s="124">
        <f>L13*AY10</f>
        <v>2.1398601398601396</v>
      </c>
      <c r="M14" s="157">
        <f>K14*L14</f>
        <v>66554.999999999985</v>
      </c>
      <c r="N14" s="157"/>
      <c r="O14" s="157"/>
      <c r="P14" s="721"/>
      <c r="Q14" s="383" t="s">
        <v>276</v>
      </c>
      <c r="R14" s="124"/>
      <c r="S14" s="382">
        <f>$AY$15</f>
        <v>31102.5</v>
      </c>
      <c r="T14" s="132">
        <f>T13*AY10</f>
        <v>2.7639860139860137</v>
      </c>
      <c r="U14" s="75">
        <f>S14*T14</f>
        <v>85966.874999999985</v>
      </c>
      <c r="V14" s="75"/>
      <c r="W14" s="75"/>
      <c r="Y14" s="131" t="s">
        <v>276</v>
      </c>
      <c r="Z14" s="132"/>
      <c r="AA14" s="382">
        <f>$AY$15</f>
        <v>31102.5</v>
      </c>
      <c r="AB14" s="124">
        <f>AB13*AY10</f>
        <v>3.5664335664335658</v>
      </c>
      <c r="AC14" s="75">
        <f>AA14*AB14</f>
        <v>110924.99999999999</v>
      </c>
      <c r="AD14" s="75"/>
      <c r="AE14" s="75"/>
      <c r="AF14"/>
      <c r="AG14" s="131" t="s">
        <v>276</v>
      </c>
      <c r="AH14" s="132"/>
      <c r="AI14" s="382">
        <f>$AY$15</f>
        <v>31102.5</v>
      </c>
      <c r="AJ14" s="132">
        <f>AJ13*AY10</f>
        <v>4.4580419580419575</v>
      </c>
      <c r="AK14" s="75">
        <f>AI14*AJ14</f>
        <v>138656.24999999997</v>
      </c>
      <c r="AL14" s="75"/>
      <c r="AM14" s="75"/>
      <c r="AN14"/>
      <c r="AO14" s="788" t="s">
        <v>276</v>
      </c>
      <c r="AP14" s="786"/>
      <c r="AQ14" s="785">
        <f>$AY$15</f>
        <v>31102.5</v>
      </c>
      <c r="AR14" s="786">
        <f>AR13*AY10</f>
        <v>5.3496503496503491</v>
      </c>
      <c r="AS14" s="787">
        <f>AQ14*AR14</f>
        <v>166387.49999999997</v>
      </c>
      <c r="AT14" s="787"/>
      <c r="AU14" s="787"/>
      <c r="AV14" s="77"/>
      <c r="AW14" s="134" t="s">
        <v>273</v>
      </c>
      <c r="AX14" s="77"/>
      <c r="AY14" s="710">
        <f>'Rate Options'!AK12</f>
        <v>51947.798987144524</v>
      </c>
      <c r="AZ14" s="106"/>
      <c r="BA14" s="106"/>
      <c r="BB14" s="106"/>
      <c r="BC14" s="88"/>
      <c r="BD14" s="89"/>
    </row>
    <row r="15" spans="1:56" s="133" customFormat="1" x14ac:dyDescent="0.2">
      <c r="A15" s="380" t="s">
        <v>370</v>
      </c>
      <c r="B15" s="124"/>
      <c r="C15" s="382">
        <f>$AY$16</f>
        <v>30600.305857957486</v>
      </c>
      <c r="D15" s="124">
        <f>AY29</f>
        <v>1.1000000000000001</v>
      </c>
      <c r="E15" s="157">
        <f>C15*D15</f>
        <v>33660.336443753236</v>
      </c>
      <c r="F15" s="157"/>
      <c r="G15" s="157"/>
      <c r="H15" s="721"/>
      <c r="I15" s="380" t="s">
        <v>370</v>
      </c>
      <c r="J15" s="124"/>
      <c r="K15" s="382">
        <f>$AY$16</f>
        <v>30600.305857957486</v>
      </c>
      <c r="L15" s="124">
        <f>AZ25</f>
        <v>1</v>
      </c>
      <c r="M15" s="157">
        <f>K15*L15</f>
        <v>30600.305857957486</v>
      </c>
      <c r="N15" s="157"/>
      <c r="O15" s="157"/>
      <c r="P15" s="721"/>
      <c r="Q15" s="380" t="s">
        <v>370</v>
      </c>
      <c r="R15" s="124"/>
      <c r="S15" s="382">
        <f>$AY$16</f>
        <v>30600.305857957486</v>
      </c>
      <c r="T15" s="132">
        <f>BA25</f>
        <v>1.25</v>
      </c>
      <c r="U15" s="75">
        <f>S15*T15</f>
        <v>38250.382322446858</v>
      </c>
      <c r="V15" s="75"/>
      <c r="W15" s="75"/>
      <c r="X15" s="75"/>
      <c r="Y15" s="121" t="s">
        <v>370</v>
      </c>
      <c r="Z15" s="132"/>
      <c r="AA15" s="382">
        <f>$AY$16</f>
        <v>30600.305857957486</v>
      </c>
      <c r="AB15" s="124">
        <f>BB25</f>
        <v>1.6666666666666667</v>
      </c>
      <c r="AC15" s="75">
        <f>AA15*AB15</f>
        <v>51000.509763262482</v>
      </c>
      <c r="AD15" s="75"/>
      <c r="AE15" s="75"/>
      <c r="AF15"/>
      <c r="AG15" s="121" t="s">
        <v>370</v>
      </c>
      <c r="AH15" s="132"/>
      <c r="AI15" s="382">
        <f>$AY$16</f>
        <v>30600.305857957486</v>
      </c>
      <c r="AJ15" s="132">
        <f>BC25</f>
        <v>2.0833333333333335</v>
      </c>
      <c r="AK15" s="75">
        <f>AI15*AJ15</f>
        <v>63750.637204078099</v>
      </c>
      <c r="AL15" s="75"/>
      <c r="AM15" s="75"/>
      <c r="AN15"/>
      <c r="AO15" s="783" t="s">
        <v>370</v>
      </c>
      <c r="AP15" s="786"/>
      <c r="AQ15" s="785">
        <f>$AY$16</f>
        <v>30600.305857957486</v>
      </c>
      <c r="AR15" s="786">
        <f>BD25</f>
        <v>2.5</v>
      </c>
      <c r="AS15" s="787">
        <f>AQ15*AR15</f>
        <v>76500.764644893716</v>
      </c>
      <c r="AT15" s="787"/>
      <c r="AU15" s="787"/>
      <c r="AV15" s="77"/>
      <c r="AW15" s="137" t="s">
        <v>275</v>
      </c>
      <c r="AX15" s="88"/>
      <c r="AY15" s="710">
        <f>'Rate Options'!AK13</f>
        <v>31102.5</v>
      </c>
      <c r="AZ15" s="106"/>
      <c r="BA15" s="106"/>
      <c r="BB15" s="106"/>
      <c r="BC15" s="88"/>
      <c r="BD15" s="89"/>
    </row>
    <row r="16" spans="1:56" s="75" customFormat="1" x14ac:dyDescent="0.2">
      <c r="A16" s="387" t="s">
        <v>277</v>
      </c>
      <c r="B16" s="387"/>
      <c r="C16" s="388"/>
      <c r="D16" s="389">
        <f>SUM(D11:D15)</f>
        <v>13.015967365967365</v>
      </c>
      <c r="E16" s="388">
        <f>SUM(E11:E15)</f>
        <v>487997.54838383128</v>
      </c>
      <c r="F16" s="369"/>
      <c r="G16" s="369"/>
      <c r="H16" s="721"/>
      <c r="I16" s="387" t="s">
        <v>277</v>
      </c>
      <c r="J16" s="387"/>
      <c r="K16" s="388"/>
      <c r="L16" s="389">
        <f>SUM(L11:L15)</f>
        <v>17.798951048951047</v>
      </c>
      <c r="M16" s="388">
        <f>SUM(M11:M15)</f>
        <v>647928.01059117925</v>
      </c>
      <c r="N16" s="369"/>
      <c r="O16" s="369"/>
      <c r="P16" s="721"/>
      <c r="Q16" s="387" t="s">
        <v>277</v>
      </c>
      <c r="R16" s="387"/>
      <c r="S16" s="388"/>
      <c r="T16" s="140">
        <f>SUM(T11:T15)</f>
        <v>22.321561771561768</v>
      </c>
      <c r="U16" s="139">
        <f>SUM(U11:U15)</f>
        <v>798194.76824966946</v>
      </c>
      <c r="V16" s="93"/>
      <c r="W16" s="93"/>
      <c r="X16" s="101"/>
      <c r="Y16" s="138" t="s">
        <v>277</v>
      </c>
      <c r="Z16" s="138"/>
      <c r="AA16" s="388"/>
      <c r="AB16" s="389">
        <f>SUM(AB11:AB15)</f>
        <v>28.231585081585081</v>
      </c>
      <c r="AC16" s="139">
        <f>SUM(AC11:AC15)</f>
        <v>994309.20008277171</v>
      </c>
      <c r="AD16" s="93"/>
      <c r="AE16" s="93"/>
      <c r="AF16"/>
      <c r="AG16" s="138" t="s">
        <v>277</v>
      </c>
      <c r="AH16" s="138"/>
      <c r="AI16" s="388"/>
      <c r="AJ16" s="140">
        <f>SUM(AJ11:AJ15)</f>
        <v>34.751981351981357</v>
      </c>
      <c r="AK16" s="139">
        <f>SUM(AK11:AK15)</f>
        <v>1210797.4435150169</v>
      </c>
      <c r="AL16" s="93"/>
      <c r="AM16" s="93"/>
      <c r="AN16"/>
      <c r="AO16" s="789" t="s">
        <v>277</v>
      </c>
      <c r="AP16" s="789"/>
      <c r="AQ16" s="790"/>
      <c r="AR16" s="791">
        <f>SUM(AR11:AR15)</f>
        <v>41.272377622377618</v>
      </c>
      <c r="AS16" s="790">
        <f>SUM(AS11:AS15)</f>
        <v>1427285.6869472624</v>
      </c>
      <c r="AT16" s="792"/>
      <c r="AU16" s="792"/>
      <c r="AV16" s="93"/>
      <c r="AW16" s="134" t="s">
        <v>370</v>
      </c>
      <c r="AX16" s="77"/>
      <c r="AY16" s="710">
        <f>'Rate Options'!AK14</f>
        <v>30600.305857957486</v>
      </c>
      <c r="AZ16" s="106"/>
      <c r="BA16" s="106"/>
      <c r="BB16" s="106"/>
      <c r="BC16" s="77"/>
      <c r="BD16" s="103"/>
    </row>
    <row r="17" spans="1:56" s="101" customFormat="1" x14ac:dyDescent="0.2">
      <c r="A17" s="198"/>
      <c r="B17" s="198"/>
      <c r="C17" s="369"/>
      <c r="D17" s="390"/>
      <c r="E17" s="369"/>
      <c r="F17" s="369"/>
      <c r="G17" s="369"/>
      <c r="H17" s="721"/>
      <c r="I17" s="198"/>
      <c r="J17" s="198"/>
      <c r="K17" s="369"/>
      <c r="L17" s="390"/>
      <c r="M17" s="369"/>
      <c r="N17" s="369"/>
      <c r="O17" s="369"/>
      <c r="P17" s="721"/>
      <c r="Q17" s="198"/>
      <c r="R17" s="198"/>
      <c r="S17" s="369"/>
      <c r="T17" s="141"/>
      <c r="U17" s="93"/>
      <c r="V17" s="93"/>
      <c r="W17" s="93"/>
      <c r="Y17" s="106"/>
      <c r="Z17" s="106"/>
      <c r="AA17" s="369"/>
      <c r="AB17" s="390"/>
      <c r="AC17" s="93"/>
      <c r="AD17" s="93"/>
      <c r="AE17" s="93"/>
      <c r="AF17"/>
      <c r="AG17" s="106"/>
      <c r="AH17" s="106"/>
      <c r="AI17" s="369"/>
      <c r="AJ17" s="141"/>
      <c r="AK17" s="93"/>
      <c r="AL17" s="93"/>
      <c r="AM17" s="93"/>
      <c r="AN17"/>
      <c r="AO17" s="766"/>
      <c r="AP17" s="766"/>
      <c r="AQ17" s="792"/>
      <c r="AR17" s="793"/>
      <c r="AS17" s="792"/>
      <c r="AT17" s="792"/>
      <c r="AU17" s="792"/>
      <c r="AV17" s="93"/>
      <c r="AW17" s="142"/>
      <c r="AX17" s="77"/>
      <c r="AY17" s="206"/>
      <c r="AZ17" s="206"/>
      <c r="BA17" s="206"/>
      <c r="BB17" s="285"/>
      <c r="BC17" s="106"/>
      <c r="BD17" s="107"/>
    </row>
    <row r="18" spans="1:56" s="101" customFormat="1" x14ac:dyDescent="0.2">
      <c r="A18" s="391" t="s">
        <v>278</v>
      </c>
      <c r="B18" s="391"/>
      <c r="C18" s="392"/>
      <c r="D18" s="393" t="s">
        <v>279</v>
      </c>
      <c r="E18" s="392"/>
      <c r="F18" s="392"/>
      <c r="G18" s="392"/>
      <c r="H18" s="721"/>
      <c r="I18" s="391" t="s">
        <v>278</v>
      </c>
      <c r="J18" s="391"/>
      <c r="K18" s="392"/>
      <c r="L18" s="393" t="s">
        <v>279</v>
      </c>
      <c r="M18" s="392"/>
      <c r="N18" s="392"/>
      <c r="O18" s="392"/>
      <c r="P18" s="721"/>
      <c r="Q18" s="391" t="s">
        <v>278</v>
      </c>
      <c r="R18" s="391"/>
      <c r="S18" s="392"/>
      <c r="T18" s="113" t="s">
        <v>279</v>
      </c>
      <c r="U18" s="112"/>
      <c r="V18" s="112"/>
      <c r="W18" s="112"/>
      <c r="Y18" s="111" t="s">
        <v>278</v>
      </c>
      <c r="Z18" s="111"/>
      <c r="AA18" s="392"/>
      <c r="AB18" s="393" t="s">
        <v>279</v>
      </c>
      <c r="AC18" s="112"/>
      <c r="AD18" s="112"/>
      <c r="AE18" s="112"/>
      <c r="AF18"/>
      <c r="AG18" s="111" t="s">
        <v>278</v>
      </c>
      <c r="AH18" s="111"/>
      <c r="AI18" s="392"/>
      <c r="AJ18" s="113" t="s">
        <v>279</v>
      </c>
      <c r="AK18" s="112"/>
      <c r="AL18" s="112"/>
      <c r="AM18" s="112"/>
      <c r="AN18"/>
      <c r="AO18" s="794" t="s">
        <v>278</v>
      </c>
      <c r="AP18" s="794"/>
      <c r="AQ18" s="795"/>
      <c r="AR18" s="796" t="s">
        <v>279</v>
      </c>
      <c r="AS18" s="795"/>
      <c r="AT18" s="795"/>
      <c r="AU18" s="795"/>
      <c r="AV18" s="114"/>
      <c r="AW18" s="142"/>
      <c r="AX18" s="77"/>
      <c r="AY18" s="268">
        <v>8</v>
      </c>
      <c r="AZ18" s="268">
        <v>12</v>
      </c>
      <c r="BA18" s="268">
        <v>15.5</v>
      </c>
      <c r="BB18" s="268">
        <v>20</v>
      </c>
      <c r="BC18" s="264">
        <v>25</v>
      </c>
      <c r="BD18" s="265">
        <v>30</v>
      </c>
    </row>
    <row r="19" spans="1:56" s="101" customFormat="1" x14ac:dyDescent="0.2">
      <c r="A19" s="143" t="s">
        <v>280</v>
      </c>
      <c r="B19" s="144"/>
      <c r="C19" s="160">
        <f>$AY$32</f>
        <v>0.25578770213785851</v>
      </c>
      <c r="D19" s="395"/>
      <c r="E19" s="157">
        <f>C19*E16</f>
        <v>124823.77155000863</v>
      </c>
      <c r="F19" s="382"/>
      <c r="G19" s="382"/>
      <c r="H19" s="721"/>
      <c r="I19" s="143" t="s">
        <v>280</v>
      </c>
      <c r="J19" s="144"/>
      <c r="K19" s="160">
        <f>$AY$32</f>
        <v>0.25578770213785851</v>
      </c>
      <c r="L19" s="395"/>
      <c r="M19" s="157">
        <f>K19*M16</f>
        <v>165732.01697987178</v>
      </c>
      <c r="N19" s="382"/>
      <c r="O19" s="382"/>
      <c r="P19" s="721"/>
      <c r="Q19" s="143" t="s">
        <v>280</v>
      </c>
      <c r="R19" s="144"/>
      <c r="S19" s="160">
        <f>$AY$32</f>
        <v>0.25578770213785851</v>
      </c>
      <c r="T19" s="145"/>
      <c r="U19" s="75">
        <f>S19*U16</f>
        <v>204168.40562904347</v>
      </c>
      <c r="V19" s="123"/>
      <c r="W19" s="123"/>
      <c r="X19" s="78"/>
      <c r="Y19" s="143" t="s">
        <v>280</v>
      </c>
      <c r="Z19" s="144"/>
      <c r="AA19" s="160">
        <f>$AY$32</f>
        <v>0.25578770213785851</v>
      </c>
      <c r="AB19" s="395"/>
      <c r="AC19" s="75">
        <f>AA19*AC16</f>
        <v>254332.06550370436</v>
      </c>
      <c r="AD19" s="123"/>
      <c r="AE19" s="123"/>
      <c r="AF19"/>
      <c r="AG19" s="143" t="s">
        <v>280</v>
      </c>
      <c r="AH19" s="144"/>
      <c r="AI19" s="160">
        <f>$AY$32</f>
        <v>0.25578770213785851</v>
      </c>
      <c r="AJ19" s="145"/>
      <c r="AK19" s="75">
        <f>AI19*AK16</f>
        <v>309707.09583109972</v>
      </c>
      <c r="AL19" s="123"/>
      <c r="AM19" s="123"/>
      <c r="AN19"/>
      <c r="AO19" s="764" t="s">
        <v>280</v>
      </c>
      <c r="AP19" s="768"/>
      <c r="AQ19" s="797">
        <f>$AY$32</f>
        <v>0.25578770213785851</v>
      </c>
      <c r="AR19" s="798"/>
      <c r="AS19" s="787">
        <f>AQ19*AS16</f>
        <v>365082.12615849514</v>
      </c>
      <c r="AT19" s="785"/>
      <c r="AU19" s="785"/>
      <c r="AV19" s="146"/>
      <c r="AW19" s="147"/>
      <c r="AX19" s="148" t="s">
        <v>281</v>
      </c>
      <c r="AY19" s="1129" t="s">
        <v>270</v>
      </c>
      <c r="AZ19" s="1129"/>
      <c r="BA19" s="1129"/>
      <c r="BB19" s="1129"/>
      <c r="BC19" s="1129"/>
      <c r="BD19" s="1130"/>
    </row>
    <row r="20" spans="1:56" s="78" customFormat="1" x14ac:dyDescent="0.2">
      <c r="A20" s="397" t="s">
        <v>282</v>
      </c>
      <c r="B20" s="397"/>
      <c r="C20" s="398"/>
      <c r="D20" s="151">
        <f>E20/E7</f>
        <v>209.87031504583561</v>
      </c>
      <c r="E20" s="399">
        <f>E19+E16</f>
        <v>612821.31993383996</v>
      </c>
      <c r="F20" s="158"/>
      <c r="G20" s="158"/>
      <c r="H20" s="721"/>
      <c r="I20" s="397" t="s">
        <v>282</v>
      </c>
      <c r="J20" s="397"/>
      <c r="K20" s="398"/>
      <c r="L20" s="151">
        <f>M20/M7</f>
        <v>185.76712958243175</v>
      </c>
      <c r="M20" s="399">
        <f>M19+M16</f>
        <v>813660.02757105103</v>
      </c>
      <c r="N20" s="158"/>
      <c r="O20" s="158"/>
      <c r="P20" s="721"/>
      <c r="Q20" s="397" t="s">
        <v>282</v>
      </c>
      <c r="R20" s="397"/>
      <c r="S20" s="398"/>
      <c r="T20" s="151">
        <f>U20/U7</f>
        <v>177.17422428258294</v>
      </c>
      <c r="U20" s="152">
        <f>U19+U16</f>
        <v>1002363.1738787129</v>
      </c>
      <c r="V20" s="77"/>
      <c r="W20" s="77"/>
      <c r="X20" s="72"/>
      <c r="Y20" s="149" t="s">
        <v>282</v>
      </c>
      <c r="Z20" s="149"/>
      <c r="AA20" s="398"/>
      <c r="AB20" s="151">
        <f>AC20/AC7</f>
        <v>171.04674871047618</v>
      </c>
      <c r="AC20" s="152">
        <f>AC19+AC16</f>
        <v>1248641.2655864761</v>
      </c>
      <c r="AD20" s="77"/>
      <c r="AE20" s="77"/>
      <c r="AF20"/>
      <c r="AG20" s="149" t="s">
        <v>282</v>
      </c>
      <c r="AH20" s="149"/>
      <c r="AI20" s="150"/>
      <c r="AJ20" s="151">
        <f>AK20/AK7</f>
        <v>166.63063444888948</v>
      </c>
      <c r="AK20" s="152">
        <f>AK19+AK16</f>
        <v>1520504.5393461166</v>
      </c>
      <c r="AL20" s="77"/>
      <c r="AM20" s="77"/>
      <c r="AN20"/>
      <c r="AO20" s="799" t="s">
        <v>282</v>
      </c>
      <c r="AP20" s="799"/>
      <c r="AQ20" s="800"/>
      <c r="AR20" s="801">
        <f>AS20/AS7</f>
        <v>163.6865582744984</v>
      </c>
      <c r="AS20" s="802">
        <f>AS19+AS16</f>
        <v>1792367.8131057576</v>
      </c>
      <c r="AT20" s="803"/>
      <c r="AU20" s="803"/>
      <c r="AV20" s="77"/>
      <c r="AW20" s="134" t="s">
        <v>272</v>
      </c>
      <c r="AX20" s="77"/>
      <c r="AY20" s="153">
        <v>2.15</v>
      </c>
      <c r="AZ20" s="153">
        <v>2.15</v>
      </c>
      <c r="BA20" s="153">
        <v>2.15</v>
      </c>
      <c r="BB20" s="153">
        <v>2.15</v>
      </c>
      <c r="BC20" s="153">
        <v>2.15</v>
      </c>
      <c r="BD20" s="155">
        <v>2.15</v>
      </c>
    </row>
    <row r="21" spans="1:56" s="72" customFormat="1" x14ac:dyDescent="0.2">
      <c r="A21" s="143"/>
      <c r="B21" s="143"/>
      <c r="C21" s="157"/>
      <c r="D21" s="365"/>
      <c r="E21" s="157"/>
      <c r="F21" s="157"/>
      <c r="G21" s="157"/>
      <c r="H21" s="721"/>
      <c r="I21" s="143"/>
      <c r="J21" s="143"/>
      <c r="K21" s="157"/>
      <c r="L21" s="365"/>
      <c r="M21" s="157"/>
      <c r="N21" s="157"/>
      <c r="O21" s="157"/>
      <c r="P21" s="721"/>
      <c r="Q21" s="143"/>
      <c r="R21" s="143"/>
      <c r="S21" s="157"/>
      <c r="T21" s="76"/>
      <c r="U21" s="75"/>
      <c r="V21" s="75"/>
      <c r="W21" s="75"/>
      <c r="AA21" s="75"/>
      <c r="AB21" s="76"/>
      <c r="AC21" s="75"/>
      <c r="AD21" s="75"/>
      <c r="AE21" s="75"/>
      <c r="AF21"/>
      <c r="AI21" s="75"/>
      <c r="AJ21" s="76"/>
      <c r="AK21" s="75"/>
      <c r="AL21" s="75"/>
      <c r="AM21" s="75"/>
      <c r="AN21"/>
      <c r="AO21" s="764"/>
      <c r="AP21" s="764"/>
      <c r="AQ21" s="787"/>
      <c r="AR21" s="804"/>
      <c r="AS21" s="787"/>
      <c r="AT21" s="787"/>
      <c r="AU21" s="787"/>
      <c r="AV21" s="77"/>
      <c r="AW21" s="85"/>
      <c r="AX21" s="73"/>
      <c r="AY21" s="1131" t="s">
        <v>287</v>
      </c>
      <c r="AZ21" s="1131"/>
      <c r="BA21" s="1131"/>
      <c r="BB21" s="1131"/>
      <c r="BC21" s="1131"/>
      <c r="BD21" s="1132"/>
    </row>
    <row r="22" spans="1:56" s="72" customFormat="1" x14ac:dyDescent="0.2">
      <c r="A22" s="143" t="s">
        <v>91</v>
      </c>
      <c r="B22" s="143"/>
      <c r="C22" s="157"/>
      <c r="D22" s="124">
        <f>$AY$34</f>
        <v>33.069173881278537</v>
      </c>
      <c r="E22" s="157">
        <f>D22*E$7</f>
        <v>96561.987733333328</v>
      </c>
      <c r="F22" s="400"/>
      <c r="G22" s="400"/>
      <c r="H22" s="721"/>
      <c r="I22" s="143" t="s">
        <v>91</v>
      </c>
      <c r="J22" s="143"/>
      <c r="K22" s="157"/>
      <c r="L22" s="124">
        <f>$AY$34</f>
        <v>33.069173881278537</v>
      </c>
      <c r="M22" s="157">
        <f>L22*M$7</f>
        <v>144842.9816</v>
      </c>
      <c r="N22" s="400"/>
      <c r="O22" s="400"/>
      <c r="P22" s="721"/>
      <c r="Q22" s="143" t="s">
        <v>91</v>
      </c>
      <c r="R22" s="143"/>
      <c r="S22" s="157"/>
      <c r="T22" s="124">
        <f>$AY$34</f>
        <v>33.069173881278537</v>
      </c>
      <c r="U22" s="75">
        <f>T22*U$7</f>
        <v>187088.85123333332</v>
      </c>
      <c r="V22" s="156"/>
      <c r="W22" s="156"/>
      <c r="Y22" s="72" t="s">
        <v>91</v>
      </c>
      <c r="AA22" s="75"/>
      <c r="AB22" s="124">
        <f>$AY$34</f>
        <v>33.069173881278537</v>
      </c>
      <c r="AC22" s="75">
        <f>AB22*AC$7</f>
        <v>241404.96933333331</v>
      </c>
      <c r="AD22" s="156"/>
      <c r="AE22" s="156"/>
      <c r="AF22"/>
      <c r="AG22" s="72" t="s">
        <v>91</v>
      </c>
      <c r="AI22" s="75"/>
      <c r="AJ22" s="124">
        <f>$AY$34</f>
        <v>33.069173881278537</v>
      </c>
      <c r="AK22" s="75">
        <f>AJ22*AK$7</f>
        <v>301756.21166666667</v>
      </c>
      <c r="AL22" s="156"/>
      <c r="AM22" s="156"/>
      <c r="AN22"/>
      <c r="AO22" s="764" t="s">
        <v>91</v>
      </c>
      <c r="AP22" s="764"/>
      <c r="AQ22" s="787"/>
      <c r="AR22" s="786">
        <f>$AY$34</f>
        <v>33.069173881278537</v>
      </c>
      <c r="AS22" s="787">
        <f>AR22*AS$7</f>
        <v>362107.45399999997</v>
      </c>
      <c r="AT22" s="805"/>
      <c r="AU22" s="805"/>
      <c r="AV22" s="77"/>
      <c r="AW22" s="134" t="s">
        <v>273</v>
      </c>
      <c r="AX22" s="77"/>
      <c r="AY22" s="347">
        <v>7.5</v>
      </c>
      <c r="AZ22" s="347">
        <v>7.5</v>
      </c>
      <c r="BA22" s="347">
        <v>7.5</v>
      </c>
      <c r="BB22" s="347">
        <v>7.5</v>
      </c>
      <c r="BC22" s="347">
        <v>7.5</v>
      </c>
      <c r="BD22" s="348">
        <v>7.5</v>
      </c>
    </row>
    <row r="23" spans="1:56" s="72" customFormat="1" x14ac:dyDescent="0.2">
      <c r="C23" s="75"/>
      <c r="D23" s="124"/>
      <c r="E23" s="157"/>
      <c r="F23" s="157"/>
      <c r="G23" s="157"/>
      <c r="H23"/>
      <c r="K23" s="75"/>
      <c r="L23" s="124"/>
      <c r="M23" s="157"/>
      <c r="N23" s="157"/>
      <c r="O23" s="157"/>
      <c r="P23"/>
      <c r="S23" s="75"/>
      <c r="T23" s="124"/>
      <c r="U23" s="157"/>
      <c r="V23" s="157"/>
      <c r="W23" s="157"/>
      <c r="AA23" s="75"/>
      <c r="AB23" s="124"/>
      <c r="AC23" s="157"/>
      <c r="AD23" s="157"/>
      <c r="AE23" s="157"/>
      <c r="AF23"/>
      <c r="AI23" s="75"/>
      <c r="AJ23" s="124"/>
      <c r="AK23" s="157"/>
      <c r="AL23" s="157"/>
      <c r="AM23" s="157"/>
      <c r="AN23"/>
      <c r="AO23" s="764"/>
      <c r="AP23" s="764"/>
      <c r="AQ23" s="787"/>
      <c r="AR23" s="786"/>
      <c r="AS23" s="787"/>
      <c r="AT23" s="787"/>
      <c r="AU23" s="787"/>
      <c r="AV23" s="284"/>
      <c r="AW23" s="134" t="s">
        <v>370</v>
      </c>
      <c r="AX23" s="77"/>
      <c r="AY23" s="1133" t="s">
        <v>270</v>
      </c>
      <c r="AZ23" s="1133"/>
      <c r="BA23" s="1133"/>
      <c r="BB23" s="1133"/>
      <c r="BC23" s="1133"/>
      <c r="BD23" s="1134"/>
    </row>
    <row r="24" spans="1:56" s="72" customFormat="1" x14ac:dyDescent="0.2">
      <c r="A24" s="72" t="s">
        <v>283</v>
      </c>
      <c r="C24" s="75"/>
      <c r="D24" s="124">
        <f>$AY38</f>
        <v>16.772324588891873</v>
      </c>
      <c r="E24" s="75">
        <f>D24*E$7</f>
        <v>48975.187799564272</v>
      </c>
      <c r="F24" s="75"/>
      <c r="G24" s="75"/>
      <c r="H24"/>
      <c r="I24" s="72" t="s">
        <v>283</v>
      </c>
      <c r="K24" s="75"/>
      <c r="L24" s="124">
        <f>$AY38</f>
        <v>16.772324588891873</v>
      </c>
      <c r="M24" s="75">
        <f>L24*M$7</f>
        <v>73462.781699346408</v>
      </c>
      <c r="N24" s="75"/>
      <c r="O24" s="75"/>
      <c r="P24"/>
      <c r="Q24" s="72" t="s">
        <v>283</v>
      </c>
      <c r="S24" s="75"/>
      <c r="T24" s="124">
        <f>$AY38</f>
        <v>16.772324588891873</v>
      </c>
      <c r="U24" s="75">
        <f>T24*U$7</f>
        <v>94889.426361655773</v>
      </c>
      <c r="V24" s="75"/>
      <c r="W24" s="75"/>
      <c r="Y24" s="72" t="s">
        <v>283</v>
      </c>
      <c r="AA24" s="75"/>
      <c r="AB24" s="124">
        <f>$AY38</f>
        <v>16.772324588891873</v>
      </c>
      <c r="AC24" s="75">
        <f>AB24*AC$7</f>
        <v>122437.96949891068</v>
      </c>
      <c r="AD24" s="75"/>
      <c r="AE24" s="75"/>
      <c r="AF24"/>
      <c r="AG24" s="72" t="s">
        <v>283</v>
      </c>
      <c r="AI24" s="75"/>
      <c r="AJ24" s="124">
        <f>$AY38</f>
        <v>16.772324588891873</v>
      </c>
      <c r="AK24" s="75">
        <f>AJ24*AK$7</f>
        <v>153047.46187363836</v>
      </c>
      <c r="AL24" s="75"/>
      <c r="AM24" s="75"/>
      <c r="AN24"/>
      <c r="AO24" s="764" t="s">
        <v>283</v>
      </c>
      <c r="AP24" s="764"/>
      <c r="AQ24" s="787"/>
      <c r="AR24" s="786">
        <f>$AY38</f>
        <v>16.772324588891873</v>
      </c>
      <c r="AS24" s="787">
        <f>AR24*AS$7</f>
        <v>183656.954248366</v>
      </c>
      <c r="AT24" s="787"/>
      <c r="AU24" s="787"/>
      <c r="AV24" s="77"/>
      <c r="AW24" s="142" t="s">
        <v>284</v>
      </c>
      <c r="AX24" s="77"/>
      <c r="AY24" s="269">
        <f>(0.75*7)/12</f>
        <v>0.4375</v>
      </c>
      <c r="AZ24" s="269">
        <f>(0.75*12)/12</f>
        <v>0.75</v>
      </c>
      <c r="BA24" s="269">
        <f>(0.75*15)/12</f>
        <v>0.9375</v>
      </c>
      <c r="BB24" s="269">
        <f>(0.75*20)/12</f>
        <v>1.25</v>
      </c>
      <c r="BC24" s="269">
        <f>(0.75*25)/12</f>
        <v>1.5625</v>
      </c>
      <c r="BD24" s="350">
        <f>(0.75*30)/12</f>
        <v>1.875</v>
      </c>
    </row>
    <row r="25" spans="1:56" s="72" customFormat="1" x14ac:dyDescent="0.2">
      <c r="C25" s="75"/>
      <c r="D25" s="159">
        <f>SUM(D22:D24)</f>
        <v>49.841498470170407</v>
      </c>
      <c r="E25" s="75"/>
      <c r="F25" s="75"/>
      <c r="G25" s="75"/>
      <c r="H25"/>
      <c r="K25" s="75"/>
      <c r="L25" s="159">
        <f>SUM(L22:L24)</f>
        <v>49.841498470170407</v>
      </c>
      <c r="M25" s="75"/>
      <c r="N25" s="75"/>
      <c r="O25" s="75"/>
      <c r="P25"/>
      <c r="S25" s="75"/>
      <c r="T25" s="159">
        <f>SUM(T22:T24)</f>
        <v>49.841498470170407</v>
      </c>
      <c r="U25" s="75"/>
      <c r="V25" s="75"/>
      <c r="W25" s="75"/>
      <c r="AA25" s="75"/>
      <c r="AB25" s="159">
        <f>SUM(AB22:AB24)</f>
        <v>49.841498470170407</v>
      </c>
      <c r="AC25" s="75"/>
      <c r="AD25" s="75"/>
      <c r="AE25" s="75"/>
      <c r="AF25"/>
      <c r="AI25" s="75"/>
      <c r="AJ25" s="159">
        <f>SUM(AJ22:AJ24)</f>
        <v>49.841498470170407</v>
      </c>
      <c r="AK25" s="75"/>
      <c r="AL25" s="75"/>
      <c r="AM25" s="75"/>
      <c r="AN25"/>
      <c r="AO25" s="764"/>
      <c r="AP25" s="764"/>
      <c r="AQ25" s="787"/>
      <c r="AR25" s="806">
        <f>SUM(AR22:AR24)</f>
        <v>49.841498470170407</v>
      </c>
      <c r="AS25" s="787"/>
      <c r="AT25" s="787"/>
      <c r="AU25" s="787"/>
      <c r="AV25" s="77"/>
      <c r="AW25" s="142" t="s">
        <v>285</v>
      </c>
      <c r="AX25" s="77"/>
      <c r="AY25" s="269">
        <f>(1*7)/12</f>
        <v>0.58333333333333337</v>
      </c>
      <c r="AZ25" s="269">
        <f>(1*12)/12</f>
        <v>1</v>
      </c>
      <c r="BA25" s="269">
        <f>(1*15)/12</f>
        <v>1.25</v>
      </c>
      <c r="BB25" s="269">
        <f>(1*20)/12</f>
        <v>1.6666666666666667</v>
      </c>
      <c r="BC25" s="269">
        <f>(1*25)/12</f>
        <v>2.0833333333333335</v>
      </c>
      <c r="BD25" s="350">
        <f>(1*30)/12</f>
        <v>2.5</v>
      </c>
    </row>
    <row r="26" spans="1:56" s="72" customFormat="1" x14ac:dyDescent="0.2">
      <c r="A26" s="138" t="s">
        <v>371</v>
      </c>
      <c r="B26" s="138"/>
      <c r="C26" s="139"/>
      <c r="D26" s="140"/>
      <c r="E26" s="139">
        <f>SUM(E20:E24)</f>
        <v>758358.49546673754</v>
      </c>
      <c r="F26" s="93"/>
      <c r="G26" s="93"/>
      <c r="H26"/>
      <c r="I26" s="138" t="s">
        <v>371</v>
      </c>
      <c r="J26" s="138"/>
      <c r="K26" s="139"/>
      <c r="L26" s="140"/>
      <c r="M26" s="139">
        <f>SUM(M20:M24)</f>
        <v>1031965.7908703974</v>
      </c>
      <c r="N26" s="93"/>
      <c r="O26" s="93"/>
      <c r="P26"/>
      <c r="Q26" s="138" t="s">
        <v>371</v>
      </c>
      <c r="R26" s="138"/>
      <c r="S26" s="139"/>
      <c r="T26" s="140"/>
      <c r="U26" s="139">
        <f>SUM(U20:U24)</f>
        <v>1284341.451473702</v>
      </c>
      <c r="V26" s="93"/>
      <c r="W26" s="93"/>
      <c r="Y26" s="138" t="s">
        <v>371</v>
      </c>
      <c r="Z26" s="138"/>
      <c r="AA26" s="139"/>
      <c r="AB26" s="140"/>
      <c r="AC26" s="139">
        <f>SUM(AC20:AC24)</f>
        <v>1612484.20441872</v>
      </c>
      <c r="AD26" s="93"/>
      <c r="AE26" s="93"/>
      <c r="AF26"/>
      <c r="AG26" s="138" t="s">
        <v>371</v>
      </c>
      <c r="AH26" s="138"/>
      <c r="AI26" s="139"/>
      <c r="AJ26" s="140"/>
      <c r="AK26" s="139">
        <f>SUM(AK20:AK24)</f>
        <v>1975308.2128864217</v>
      </c>
      <c r="AL26" s="93"/>
      <c r="AM26" s="93"/>
      <c r="AN26"/>
      <c r="AO26" s="789" t="s">
        <v>371</v>
      </c>
      <c r="AP26" s="789"/>
      <c r="AQ26" s="790"/>
      <c r="AR26" s="791"/>
      <c r="AS26" s="790">
        <f>SUM(AS20:AS24)</f>
        <v>2338132.2213541237</v>
      </c>
      <c r="AT26" s="792"/>
      <c r="AU26" s="792"/>
      <c r="AV26" s="93"/>
      <c r="AW26" s="142"/>
      <c r="AX26" s="77"/>
      <c r="AY26" s="347"/>
      <c r="AZ26" s="198"/>
      <c r="BA26" s="198"/>
      <c r="BB26" s="198"/>
      <c r="BC26" s="125"/>
      <c r="BD26" s="349"/>
    </row>
    <row r="27" spans="1:56" s="72" customFormat="1" x14ac:dyDescent="0.2">
      <c r="A27" s="72" t="s">
        <v>286</v>
      </c>
      <c r="C27" s="160" t="e">
        <f>$AY$41</f>
        <v>#REF!</v>
      </c>
      <c r="D27" s="132"/>
      <c r="E27" s="75" t="e">
        <f>C27*E26</f>
        <v>#REF!</v>
      </c>
      <c r="F27" s="158"/>
      <c r="G27" s="158"/>
      <c r="H27"/>
      <c r="I27" s="72" t="s">
        <v>286</v>
      </c>
      <c r="K27" s="160" t="e">
        <f>$AY$41</f>
        <v>#REF!</v>
      </c>
      <c r="L27" s="132"/>
      <c r="M27" s="75" t="e">
        <f>K27*M26</f>
        <v>#REF!</v>
      </c>
      <c r="N27" s="158"/>
      <c r="O27" s="158"/>
      <c r="P27"/>
      <c r="Q27" s="72" t="s">
        <v>286</v>
      </c>
      <c r="S27" s="160" t="e">
        <f>$AY$41</f>
        <v>#REF!</v>
      </c>
      <c r="T27" s="132"/>
      <c r="U27" s="75" t="e">
        <f>S27*U26</f>
        <v>#REF!</v>
      </c>
      <c r="V27" s="158"/>
      <c r="W27" s="158"/>
      <c r="Y27" s="72" t="s">
        <v>286</v>
      </c>
      <c r="AA27" s="160" t="e">
        <f>$AY$41</f>
        <v>#REF!</v>
      </c>
      <c r="AB27" s="132"/>
      <c r="AC27" s="75" t="e">
        <f>AA27*AC26</f>
        <v>#REF!</v>
      </c>
      <c r="AD27" s="158"/>
      <c r="AE27" s="158"/>
      <c r="AF27"/>
      <c r="AG27" s="72" t="s">
        <v>286</v>
      </c>
      <c r="AI27" s="160" t="e">
        <f>$AY$41</f>
        <v>#REF!</v>
      </c>
      <c r="AJ27" s="132"/>
      <c r="AK27" s="75" t="e">
        <f>AI27*AK26</f>
        <v>#REF!</v>
      </c>
      <c r="AL27" s="158"/>
      <c r="AM27" s="158"/>
      <c r="AN27"/>
      <c r="AO27" s="764" t="s">
        <v>286</v>
      </c>
      <c r="AP27" s="764"/>
      <c r="AQ27" s="797" t="e">
        <f>$AY$41</f>
        <v>#REF!</v>
      </c>
      <c r="AR27" s="786"/>
      <c r="AS27" s="787" t="e">
        <f>AQ27*AS26</f>
        <v>#REF!</v>
      </c>
      <c r="AT27" s="803"/>
      <c r="AU27" s="803"/>
      <c r="AV27" s="77"/>
      <c r="AW27" s="142"/>
      <c r="AX27" s="77"/>
      <c r="AY27" s="1135" t="s">
        <v>287</v>
      </c>
      <c r="AZ27" s="1135"/>
      <c r="BA27" s="1135"/>
      <c r="BB27" s="1135"/>
      <c r="BC27" s="1135"/>
      <c r="BD27" s="1136"/>
    </row>
    <row r="28" spans="1:56" s="72" customFormat="1" ht="15" thickBot="1" x14ac:dyDescent="0.25">
      <c r="A28" s="161" t="s">
        <v>288</v>
      </c>
      <c r="B28" s="161"/>
      <c r="C28" s="162"/>
      <c r="D28" s="163"/>
      <c r="E28" s="164" t="e">
        <f>SUM(E26:E27)</f>
        <v>#REF!</v>
      </c>
      <c r="F28" s="93"/>
      <c r="G28" s="93"/>
      <c r="H28"/>
      <c r="I28" s="161" t="s">
        <v>288</v>
      </c>
      <c r="J28" s="161"/>
      <c r="K28" s="162"/>
      <c r="L28" s="163"/>
      <c r="M28" s="164" t="e">
        <f>SUM(M26:M27)</f>
        <v>#REF!</v>
      </c>
      <c r="N28" s="93" t="e">
        <f>M28*(1+K31)</f>
        <v>#REF!</v>
      </c>
      <c r="O28" s="93"/>
      <c r="P28"/>
      <c r="Q28" s="161" t="s">
        <v>288</v>
      </c>
      <c r="R28" s="161"/>
      <c r="S28" s="162"/>
      <c r="T28" s="163"/>
      <c r="U28" s="164" t="e">
        <f>SUM(U26:U27)</f>
        <v>#REF!</v>
      </c>
      <c r="V28" s="93"/>
      <c r="W28" s="93"/>
      <c r="X28" s="101"/>
      <c r="Y28" s="161" t="s">
        <v>288</v>
      </c>
      <c r="Z28" s="161"/>
      <c r="AA28" s="162"/>
      <c r="AB28" s="163"/>
      <c r="AC28" s="164" t="e">
        <f>SUM(AC26:AC27)</f>
        <v>#REF!</v>
      </c>
      <c r="AD28" s="93" t="e">
        <f>AC28*(1+AA31)</f>
        <v>#REF!</v>
      </c>
      <c r="AE28" s="93"/>
      <c r="AF28"/>
      <c r="AG28" s="161" t="s">
        <v>288</v>
      </c>
      <c r="AH28" s="161"/>
      <c r="AI28" s="162"/>
      <c r="AJ28" s="163"/>
      <c r="AK28" s="164" t="e">
        <f>SUM(AK26:AK27)</f>
        <v>#REF!</v>
      </c>
      <c r="AL28" s="93"/>
      <c r="AM28" s="93"/>
      <c r="AN28"/>
      <c r="AO28" s="807" t="s">
        <v>288</v>
      </c>
      <c r="AP28" s="807"/>
      <c r="AQ28" s="808"/>
      <c r="AR28" s="809"/>
      <c r="AS28" s="810" t="e">
        <f>SUM(AS26:AS27)</f>
        <v>#REF!</v>
      </c>
      <c r="AT28" s="792"/>
      <c r="AU28" s="792"/>
      <c r="AV28" s="93"/>
      <c r="AW28" s="142"/>
      <c r="AX28" s="148" t="s">
        <v>281</v>
      </c>
      <c r="AY28" s="351">
        <v>8</v>
      </c>
      <c r="AZ28" s="351">
        <v>12</v>
      </c>
      <c r="BA28" s="351">
        <v>15.5</v>
      </c>
      <c r="BB28" s="351">
        <v>20</v>
      </c>
      <c r="BC28" s="352">
        <v>25</v>
      </c>
      <c r="BD28" s="353">
        <v>30</v>
      </c>
    </row>
    <row r="29" spans="1:56" s="101" customFormat="1" ht="15" customHeight="1" thickTop="1" x14ac:dyDescent="0.2">
      <c r="A29" s="111"/>
      <c r="B29" s="111"/>
      <c r="C29" s="112"/>
      <c r="D29" s="165"/>
      <c r="E29" s="112"/>
      <c r="F29" s="112"/>
      <c r="G29" s="112"/>
      <c r="H29"/>
      <c r="I29" s="111"/>
      <c r="J29" s="111"/>
      <c r="K29" s="112"/>
      <c r="L29" s="165"/>
      <c r="M29" s="112"/>
      <c r="N29" s="112"/>
      <c r="O29" s="112"/>
      <c r="P29"/>
      <c r="Q29" s="111"/>
      <c r="R29" s="111"/>
      <c r="S29" s="112"/>
      <c r="T29" s="165"/>
      <c r="U29" s="112"/>
      <c r="V29" s="112"/>
      <c r="W29" s="112"/>
      <c r="Y29" s="111"/>
      <c r="Z29" s="111"/>
      <c r="AA29" s="112"/>
      <c r="AB29" s="165"/>
      <c r="AC29" s="112"/>
      <c r="AD29" s="112"/>
      <c r="AE29" s="112"/>
      <c r="AF29"/>
      <c r="AG29" s="111"/>
      <c r="AH29" s="111"/>
      <c r="AI29" s="112"/>
      <c r="AJ29" s="165"/>
      <c r="AK29" s="112"/>
      <c r="AL29" s="112"/>
      <c r="AM29" s="112"/>
      <c r="AN29"/>
      <c r="AO29" s="794"/>
      <c r="AP29" s="794"/>
      <c r="AQ29" s="795"/>
      <c r="AR29" s="811"/>
      <c r="AS29" s="795"/>
      <c r="AT29" s="795"/>
      <c r="AU29" s="795"/>
      <c r="AV29" s="114"/>
      <c r="AW29" s="166" t="s">
        <v>275</v>
      </c>
      <c r="AX29" s="77"/>
      <c r="AY29" s="347">
        <v>1.1000000000000001</v>
      </c>
      <c r="AZ29" s="347">
        <v>1.1000000000000001</v>
      </c>
      <c r="BA29" s="347">
        <v>1.1000000000000001</v>
      </c>
      <c r="BB29" s="347">
        <v>1.1000000000000001</v>
      </c>
      <c r="BC29" s="347">
        <v>1.1000000000000001</v>
      </c>
      <c r="BD29" s="348">
        <v>1.1000000000000001</v>
      </c>
    </row>
    <row r="30" spans="1:56" s="101" customFormat="1" ht="13.9" customHeight="1" x14ac:dyDescent="0.2">
      <c r="A30" s="167" t="s">
        <v>289</v>
      </c>
      <c r="B30" s="167"/>
      <c r="C30" s="168"/>
      <c r="D30" s="168"/>
      <c r="E30" s="169" t="e">
        <f>E28/E7</f>
        <v>#REF!</v>
      </c>
      <c r="F30" s="170" t="s">
        <v>395</v>
      </c>
      <c r="G30" s="1128" t="s">
        <v>396</v>
      </c>
      <c r="H30"/>
      <c r="I30" s="167" t="s">
        <v>289</v>
      </c>
      <c r="J30" s="167"/>
      <c r="K30" s="168"/>
      <c r="L30" s="168"/>
      <c r="M30" s="169" t="e">
        <f>M28/M7</f>
        <v>#REF!</v>
      </c>
      <c r="N30" s="170" t="e">
        <f>M30*1.0254</f>
        <v>#REF!</v>
      </c>
      <c r="O30" s="1128" t="s">
        <v>396</v>
      </c>
      <c r="P30"/>
      <c r="Q30" s="167" t="s">
        <v>289</v>
      </c>
      <c r="R30" s="167"/>
      <c r="S30" s="168"/>
      <c r="T30" s="168"/>
      <c r="U30" s="169" t="e">
        <f>U28/U7</f>
        <v>#REF!</v>
      </c>
      <c r="V30" s="170" t="s">
        <v>395</v>
      </c>
      <c r="W30" s="1128" t="s">
        <v>396</v>
      </c>
      <c r="X30" s="170"/>
      <c r="Y30" s="167" t="s">
        <v>289</v>
      </c>
      <c r="Z30" s="167"/>
      <c r="AA30" s="168"/>
      <c r="AB30" s="168"/>
      <c r="AC30" s="169" t="e">
        <f>AC28/AC7</f>
        <v>#REF!</v>
      </c>
      <c r="AD30" s="170" t="e">
        <f>AC30*1.0254</f>
        <v>#REF!</v>
      </c>
      <c r="AE30" s="1128" t="s">
        <v>396</v>
      </c>
      <c r="AF30"/>
      <c r="AG30" s="167" t="s">
        <v>289</v>
      </c>
      <c r="AH30" s="167"/>
      <c r="AI30" s="168"/>
      <c r="AJ30" s="168"/>
      <c r="AK30" s="169" t="e">
        <f>AK28/AK7</f>
        <v>#REF!</v>
      </c>
      <c r="AL30" s="170" t="s">
        <v>395</v>
      </c>
      <c r="AM30" s="1128" t="s">
        <v>396</v>
      </c>
      <c r="AN30"/>
      <c r="AO30" s="812" t="s">
        <v>289</v>
      </c>
      <c r="AP30" s="812"/>
      <c r="AQ30" s="813"/>
      <c r="AR30" s="813"/>
      <c r="AS30" s="814" t="e">
        <f>AS28/AS7</f>
        <v>#REF!</v>
      </c>
      <c r="AT30" s="815"/>
      <c r="AU30" s="1138" t="s">
        <v>395</v>
      </c>
      <c r="AV30" s="171"/>
      <c r="AW30" s="166"/>
      <c r="AX30" s="77"/>
      <c r="AY30" s="153"/>
      <c r="AZ30" s="73"/>
      <c r="BA30" s="73"/>
      <c r="BB30" s="73"/>
      <c r="BC30" s="106"/>
      <c r="BD30" s="107"/>
    </row>
    <row r="31" spans="1:56" s="170" customFormat="1" ht="15" thickBot="1" x14ac:dyDescent="0.25">
      <c r="A31" s="167" t="s">
        <v>290</v>
      </c>
      <c r="B31" s="167"/>
      <c r="C31" s="172">
        <f>$AZ$43</f>
        <v>4.4640068153077195E-2</v>
      </c>
      <c r="D31" s="168"/>
      <c r="E31" s="169"/>
      <c r="F31" s="73"/>
      <c r="G31" s="1137"/>
      <c r="H31"/>
      <c r="I31" s="167" t="s">
        <v>290</v>
      </c>
      <c r="J31" s="167"/>
      <c r="K31" s="172">
        <f>$AZ$43</f>
        <v>4.4640068153077195E-2</v>
      </c>
      <c r="L31" s="168"/>
      <c r="M31" s="169"/>
      <c r="N31" s="73" t="s">
        <v>291</v>
      </c>
      <c r="O31" s="1137"/>
      <c r="P31"/>
      <c r="Q31" s="167" t="s">
        <v>290</v>
      </c>
      <c r="R31" s="167"/>
      <c r="S31" s="172">
        <f>$AZ$43</f>
        <v>4.4640068153077195E-2</v>
      </c>
      <c r="T31" s="168"/>
      <c r="U31" s="169"/>
      <c r="V31" s="73"/>
      <c r="W31" s="1137"/>
      <c r="Y31" s="167" t="s">
        <v>290</v>
      </c>
      <c r="Z31" s="167"/>
      <c r="AA31" s="172">
        <f>$AZ$43</f>
        <v>4.4640068153077195E-2</v>
      </c>
      <c r="AB31" s="168"/>
      <c r="AC31" s="169"/>
      <c r="AD31" s="73" t="s">
        <v>291</v>
      </c>
      <c r="AE31" s="1137"/>
      <c r="AF31"/>
      <c r="AG31" s="167" t="s">
        <v>290</v>
      </c>
      <c r="AH31" s="167"/>
      <c r="AI31" s="172">
        <f>$AZ$43</f>
        <v>4.4640068153077195E-2</v>
      </c>
      <c r="AJ31" s="168"/>
      <c r="AK31" s="169"/>
      <c r="AL31" s="73"/>
      <c r="AM31" s="1137"/>
      <c r="AN31"/>
      <c r="AO31" s="812" t="s">
        <v>290</v>
      </c>
      <c r="AP31" s="812"/>
      <c r="AQ31" s="816">
        <f>$AZ$43</f>
        <v>4.4640068153077195E-2</v>
      </c>
      <c r="AR31" s="813"/>
      <c r="AS31" s="814"/>
      <c r="AT31" s="767" t="s">
        <v>291</v>
      </c>
      <c r="AU31" s="1139"/>
      <c r="AV31" s="171"/>
      <c r="AW31" s="173" t="s">
        <v>278</v>
      </c>
      <c r="AX31" s="174"/>
      <c r="AY31" s="270"/>
      <c r="AZ31" s="73"/>
      <c r="BA31" s="73"/>
      <c r="BB31" s="73"/>
      <c r="BC31" s="213"/>
      <c r="BD31" s="277"/>
    </row>
    <row r="32" spans="1:56" s="170" customFormat="1" x14ac:dyDescent="0.2">
      <c r="A32" s="175" t="s">
        <v>292</v>
      </c>
      <c r="B32" s="130"/>
      <c r="C32" s="176">
        <v>0.9</v>
      </c>
      <c r="D32" s="82"/>
      <c r="E32" s="177" t="e">
        <f t="shared" ref="E32:E40" si="0">E$28/(E$7*C32)</f>
        <v>#REF!</v>
      </c>
      <c r="F32" s="177">
        <v>344.82</v>
      </c>
      <c r="G32" s="742" t="e">
        <f>F32*(#REF!+1)</f>
        <v>#REF!</v>
      </c>
      <c r="H32"/>
      <c r="I32" s="175" t="s">
        <v>292</v>
      </c>
      <c r="J32" s="130"/>
      <c r="K32" s="176">
        <v>0.9</v>
      </c>
      <c r="L32" s="82"/>
      <c r="M32" s="177" t="e">
        <f t="shared" ref="M32:M40" si="1">M$28/(M$7*K32)</f>
        <v>#REF!</v>
      </c>
      <c r="N32" s="178">
        <v>312.82</v>
      </c>
      <c r="O32" s="742" t="e">
        <f>N32*(#REF!+1)</f>
        <v>#REF!</v>
      </c>
      <c r="P32"/>
      <c r="Q32" s="175" t="s">
        <v>292</v>
      </c>
      <c r="R32" s="130"/>
      <c r="S32" s="176">
        <v>0.9</v>
      </c>
      <c r="T32" s="82"/>
      <c r="U32" s="177" t="e">
        <f t="shared" ref="U32:U40" si="2">U$28/(U$7*S32)</f>
        <v>#REF!</v>
      </c>
      <c r="V32" s="178">
        <v>301.41000000000003</v>
      </c>
      <c r="W32" s="742" t="e">
        <f>V32*(#REF!+1)</f>
        <v>#REF!</v>
      </c>
      <c r="X32" s="72"/>
      <c r="Y32" s="175" t="s">
        <v>292</v>
      </c>
      <c r="Z32" s="130"/>
      <c r="AA32" s="176">
        <v>0.9</v>
      </c>
      <c r="AB32" s="82"/>
      <c r="AC32" s="177" t="e">
        <f>AC$28/(AC$7*AA32)</f>
        <v>#REF!</v>
      </c>
      <c r="AD32" s="178">
        <v>293.27999999999997</v>
      </c>
      <c r="AE32" s="742" t="e">
        <f>AD32*(#REF!+1)</f>
        <v>#REF!</v>
      </c>
      <c r="AF32"/>
      <c r="AG32" s="175" t="s">
        <v>292</v>
      </c>
      <c r="AH32" s="130"/>
      <c r="AI32" s="176">
        <v>0.9</v>
      </c>
      <c r="AJ32" s="82"/>
      <c r="AK32" s="177" t="e">
        <f>AK$28/(AK$7*AI32)</f>
        <v>#REF!</v>
      </c>
      <c r="AL32" s="178">
        <v>287.41000000000003</v>
      </c>
      <c r="AM32" s="742" t="e">
        <f>AL32*(#REF!+1)</f>
        <v>#REF!</v>
      </c>
      <c r="AN32"/>
      <c r="AO32" s="817" t="s">
        <v>292</v>
      </c>
      <c r="AP32" s="818"/>
      <c r="AQ32" s="819">
        <v>0.9</v>
      </c>
      <c r="AR32" s="820"/>
      <c r="AS32" s="821" t="e">
        <f>AS$28/(AS$7*AQ32)</f>
        <v>#REF!</v>
      </c>
      <c r="AT32" s="822" t="e">
        <f>ROUND(AS32*(1+AQ$31),2)</f>
        <v>#REF!</v>
      </c>
      <c r="AU32" s="823" t="e">
        <f>ROUND(AT32*(1+#REF!),2)</f>
        <v>#REF!</v>
      </c>
      <c r="AV32" s="73"/>
      <c r="AW32" s="179" t="s">
        <v>280</v>
      </c>
      <c r="AX32" s="73"/>
      <c r="AY32" s="717">
        <f>'Rate Options'!$AJ$30</f>
        <v>0.25578770213785851</v>
      </c>
      <c r="AZ32" s="73"/>
      <c r="BA32" s="73"/>
      <c r="BB32" s="73"/>
      <c r="BC32" s="213"/>
      <c r="BD32" s="277"/>
    </row>
    <row r="33" spans="1:56" s="72" customFormat="1" x14ac:dyDescent="0.2">
      <c r="A33" s="181"/>
      <c r="B33" s="73"/>
      <c r="C33" s="182">
        <v>0.85</v>
      </c>
      <c r="D33" s="77"/>
      <c r="E33" s="169" t="e">
        <f t="shared" si="0"/>
        <v>#REF!</v>
      </c>
      <c r="F33" s="169">
        <v>365.1</v>
      </c>
      <c r="G33" s="742" t="e">
        <f>F33*(#REF!+1)</f>
        <v>#REF!</v>
      </c>
      <c r="H33"/>
      <c r="I33" s="181"/>
      <c r="J33" s="73"/>
      <c r="K33" s="182">
        <v>0.85</v>
      </c>
      <c r="L33" s="77"/>
      <c r="M33" s="169" t="e">
        <f t="shared" si="1"/>
        <v>#REF!</v>
      </c>
      <c r="N33" s="183">
        <v>331.22</v>
      </c>
      <c r="O33" s="742" t="e">
        <f>N33*(#REF!+1)</f>
        <v>#REF!</v>
      </c>
      <c r="P33"/>
      <c r="Q33" s="181"/>
      <c r="R33" s="73"/>
      <c r="S33" s="182">
        <v>0.85</v>
      </c>
      <c r="T33" s="77"/>
      <c r="U33" s="169" t="e">
        <f t="shared" si="2"/>
        <v>#REF!</v>
      </c>
      <c r="V33" s="183">
        <v>319.14999999999998</v>
      </c>
      <c r="W33" s="742" t="e">
        <f>V33*(#REF!+1)</f>
        <v>#REF!</v>
      </c>
      <c r="Y33" s="181"/>
      <c r="Z33" s="73"/>
      <c r="AA33" s="182">
        <v>0.85</v>
      </c>
      <c r="AB33" s="77"/>
      <c r="AC33" s="169" t="e">
        <f t="shared" ref="AC33:AC40" si="3">AC$28/(AC$7*AA33)</f>
        <v>#REF!</v>
      </c>
      <c r="AD33" s="183">
        <v>310.52</v>
      </c>
      <c r="AE33" s="742" t="e">
        <f>AD33*(#REF!+1)</f>
        <v>#REF!</v>
      </c>
      <c r="AF33"/>
      <c r="AG33" s="181"/>
      <c r="AH33" s="73"/>
      <c r="AI33" s="182">
        <v>0.85</v>
      </c>
      <c r="AJ33" s="77"/>
      <c r="AK33" s="169" t="e">
        <f t="shared" ref="AK33:AK40" si="4">AK$28/(AK$7*AI33)</f>
        <v>#REF!</v>
      </c>
      <c r="AL33" s="183">
        <v>304.32</v>
      </c>
      <c r="AM33" s="742" t="e">
        <f>AL33*(#REF!+1)</f>
        <v>#REF!</v>
      </c>
      <c r="AN33"/>
      <c r="AO33" s="824"/>
      <c r="AP33" s="767"/>
      <c r="AQ33" s="825">
        <v>0.85</v>
      </c>
      <c r="AR33" s="803"/>
      <c r="AS33" s="814" t="e">
        <f t="shared" ref="AS33:AS40" si="5">AS$28/(AS$7*AQ33)</f>
        <v>#REF!</v>
      </c>
      <c r="AT33" s="826" t="e">
        <f t="shared" ref="AT33:AT40" si="6">ROUND(AS33*(1+AQ$31),2)</f>
        <v>#REF!</v>
      </c>
      <c r="AU33" s="827" t="e">
        <f>ROUND(AT33*(1+#REF!),2)</f>
        <v>#REF!</v>
      </c>
      <c r="AV33" s="73"/>
      <c r="AW33" s="85"/>
      <c r="AX33" s="73"/>
      <c r="AY33" s="270"/>
      <c r="AZ33" s="73"/>
      <c r="BA33" s="73"/>
      <c r="BB33" s="73"/>
      <c r="BC33" s="73"/>
      <c r="BD33" s="136"/>
    </row>
    <row r="34" spans="1:56" s="72" customFormat="1" x14ac:dyDescent="0.2">
      <c r="A34" s="181"/>
      <c r="B34" s="73"/>
      <c r="C34" s="182">
        <v>0.8</v>
      </c>
      <c r="D34" s="77"/>
      <c r="E34" s="169" t="e">
        <f t="shared" si="0"/>
        <v>#REF!</v>
      </c>
      <c r="F34" s="169">
        <v>387.93</v>
      </c>
      <c r="G34" s="742" t="e">
        <f>F34*(#REF!+1)</f>
        <v>#REF!</v>
      </c>
      <c r="H34"/>
      <c r="I34" s="181"/>
      <c r="J34" s="73"/>
      <c r="K34" s="182">
        <v>0.8</v>
      </c>
      <c r="L34" s="77"/>
      <c r="M34" s="169" t="e">
        <f t="shared" si="1"/>
        <v>#REF!</v>
      </c>
      <c r="N34" s="183">
        <v>351.92</v>
      </c>
      <c r="O34" s="742" t="e">
        <f>N34*(#REF!+1)</f>
        <v>#REF!</v>
      </c>
      <c r="P34"/>
      <c r="Q34" s="181"/>
      <c r="R34" s="73"/>
      <c r="S34" s="182">
        <v>0.8</v>
      </c>
      <c r="T34" s="77"/>
      <c r="U34" s="169" t="e">
        <f t="shared" si="2"/>
        <v>#REF!</v>
      </c>
      <c r="V34" s="183">
        <v>339.08</v>
      </c>
      <c r="W34" s="742" t="e">
        <f>V34*(#REF!+1)</f>
        <v>#REF!</v>
      </c>
      <c r="Y34" s="181"/>
      <c r="Z34" s="73"/>
      <c r="AA34" s="182">
        <v>0.8</v>
      </c>
      <c r="AB34" s="77"/>
      <c r="AC34" s="169" t="e">
        <f t="shared" si="3"/>
        <v>#REF!</v>
      </c>
      <c r="AD34" s="183">
        <v>329.93</v>
      </c>
      <c r="AE34" s="742" t="e">
        <f>AD34*(#REF!+1)</f>
        <v>#REF!</v>
      </c>
      <c r="AF34"/>
      <c r="AG34" s="181"/>
      <c r="AH34" s="73"/>
      <c r="AI34" s="182">
        <v>0.8</v>
      </c>
      <c r="AJ34" s="77"/>
      <c r="AK34" s="169" t="e">
        <f t="shared" si="4"/>
        <v>#REF!</v>
      </c>
      <c r="AL34" s="183">
        <v>323.33999999999997</v>
      </c>
      <c r="AM34" s="742" t="e">
        <f>AL34*(#REF!+1)</f>
        <v>#REF!</v>
      </c>
      <c r="AN34"/>
      <c r="AO34" s="824"/>
      <c r="AP34" s="767"/>
      <c r="AQ34" s="825">
        <v>0.8</v>
      </c>
      <c r="AR34" s="803"/>
      <c r="AS34" s="814" t="e">
        <f t="shared" si="5"/>
        <v>#REF!</v>
      </c>
      <c r="AT34" s="826" t="e">
        <f t="shared" si="6"/>
        <v>#REF!</v>
      </c>
      <c r="AU34" s="827" t="e">
        <f>ROUND(AT34*(1+#REF!),2)</f>
        <v>#REF!</v>
      </c>
      <c r="AV34" s="73"/>
      <c r="AW34" s="85" t="s">
        <v>293</v>
      </c>
      <c r="AX34" s="73"/>
      <c r="AY34" s="716">
        <f>'Rate Options'!AJ32</f>
        <v>33.069173881278537</v>
      </c>
      <c r="AZ34" s="73"/>
      <c r="BA34" s="73"/>
      <c r="BB34" s="73"/>
      <c r="BC34" s="73"/>
      <c r="BD34" s="136"/>
    </row>
    <row r="35" spans="1:56" s="72" customFormat="1" x14ac:dyDescent="0.2">
      <c r="A35" s="181"/>
      <c r="B35" s="73"/>
      <c r="C35" s="182">
        <v>0.75</v>
      </c>
      <c r="D35" s="77"/>
      <c r="E35" s="169" t="e">
        <f t="shared" si="0"/>
        <v>#REF!</v>
      </c>
      <c r="F35" s="169">
        <v>413.78</v>
      </c>
      <c r="G35" s="742" t="e">
        <f>F35*(#REF!+1)</f>
        <v>#REF!</v>
      </c>
      <c r="H35"/>
      <c r="I35" s="181"/>
      <c r="J35" s="73"/>
      <c r="K35" s="182">
        <v>0.75</v>
      </c>
      <c r="L35" s="77"/>
      <c r="M35" s="169" t="e">
        <f t="shared" si="1"/>
        <v>#REF!</v>
      </c>
      <c r="N35" s="183">
        <v>375.39</v>
      </c>
      <c r="O35" s="742" t="e">
        <f>N35*(#REF!+1)</f>
        <v>#REF!</v>
      </c>
      <c r="P35"/>
      <c r="Q35" s="181"/>
      <c r="R35" s="73"/>
      <c r="S35" s="182">
        <v>0.75</v>
      </c>
      <c r="T35" s="77"/>
      <c r="U35" s="169" t="e">
        <f t="shared" si="2"/>
        <v>#REF!</v>
      </c>
      <c r="V35" s="183">
        <v>361.7</v>
      </c>
      <c r="W35" s="742" t="e">
        <f>V35*(#REF!+1)</f>
        <v>#REF!</v>
      </c>
      <c r="Y35" s="181"/>
      <c r="Z35" s="73"/>
      <c r="AA35" s="182">
        <v>0.75</v>
      </c>
      <c r="AB35" s="77"/>
      <c r="AC35" s="169" t="e">
        <f t="shared" si="3"/>
        <v>#REF!</v>
      </c>
      <c r="AD35" s="183">
        <v>351.93</v>
      </c>
      <c r="AE35" s="742" t="e">
        <f>AD35*(#REF!+1)</f>
        <v>#REF!</v>
      </c>
      <c r="AF35"/>
      <c r="AG35" s="181"/>
      <c r="AH35" s="73"/>
      <c r="AI35" s="182">
        <v>0.75</v>
      </c>
      <c r="AJ35" s="77"/>
      <c r="AK35" s="169" t="e">
        <f t="shared" si="4"/>
        <v>#REF!</v>
      </c>
      <c r="AL35" s="183">
        <v>344.9</v>
      </c>
      <c r="AM35" s="742" t="e">
        <f>AL35*(#REF!+1)</f>
        <v>#REF!</v>
      </c>
      <c r="AN35"/>
      <c r="AO35" s="824"/>
      <c r="AP35" s="767"/>
      <c r="AQ35" s="825">
        <v>0.75</v>
      </c>
      <c r="AR35" s="803"/>
      <c r="AS35" s="814" t="e">
        <f t="shared" si="5"/>
        <v>#REF!</v>
      </c>
      <c r="AT35" s="826" t="e">
        <f t="shared" si="6"/>
        <v>#REF!</v>
      </c>
      <c r="AU35" s="827" t="e">
        <f>ROUND(AT35*(1+#REF!),2)</f>
        <v>#REF!</v>
      </c>
      <c r="AV35" s="73"/>
      <c r="AW35" s="85" t="s">
        <v>294</v>
      </c>
      <c r="AX35" s="73"/>
      <c r="AY35" s="338">
        <f>'Rate Options'!AJ33</f>
        <v>17.544168616818876</v>
      </c>
      <c r="AZ35" s="125"/>
      <c r="BA35" s="73"/>
      <c r="BB35" s="73"/>
      <c r="BC35" s="73"/>
      <c r="BD35" s="136"/>
    </row>
    <row r="36" spans="1:56" s="72" customFormat="1" x14ac:dyDescent="0.2">
      <c r="A36" s="181"/>
      <c r="B36" s="73"/>
      <c r="C36" s="182">
        <v>0.7</v>
      </c>
      <c r="D36" s="77"/>
      <c r="E36" s="169" t="e">
        <f t="shared" si="0"/>
        <v>#REF!</v>
      </c>
      <c r="F36" s="169">
        <v>443.34</v>
      </c>
      <c r="G36" s="742" t="e">
        <f>F36*(#REF!+1)</f>
        <v>#REF!</v>
      </c>
      <c r="H36"/>
      <c r="I36" s="181"/>
      <c r="J36" s="73"/>
      <c r="K36" s="182">
        <v>0.7</v>
      </c>
      <c r="L36" s="77"/>
      <c r="M36" s="169" t="e">
        <f t="shared" si="1"/>
        <v>#REF!</v>
      </c>
      <c r="N36" s="183">
        <v>402.19</v>
      </c>
      <c r="O36" s="742" t="e">
        <f>N36*(#REF!+1)</f>
        <v>#REF!</v>
      </c>
      <c r="P36"/>
      <c r="Q36" s="181"/>
      <c r="R36" s="73"/>
      <c r="S36" s="182">
        <v>0.7</v>
      </c>
      <c r="T36" s="77"/>
      <c r="U36" s="169" t="e">
        <f t="shared" si="2"/>
        <v>#REF!</v>
      </c>
      <c r="V36" s="183">
        <v>387.53</v>
      </c>
      <c r="W36" s="742" t="e">
        <f>V36*(#REF!+1)</f>
        <v>#REF!</v>
      </c>
      <c r="Y36" s="181"/>
      <c r="Z36" s="73"/>
      <c r="AA36" s="182">
        <v>0.7</v>
      </c>
      <c r="AB36" s="77"/>
      <c r="AC36" s="169" t="e">
        <f t="shared" si="3"/>
        <v>#REF!</v>
      </c>
      <c r="AD36" s="183">
        <v>377.07</v>
      </c>
      <c r="AE36" s="742" t="e">
        <f>AD36*(#REF!+1)</f>
        <v>#REF!</v>
      </c>
      <c r="AF36"/>
      <c r="AG36" s="181"/>
      <c r="AH36" s="73"/>
      <c r="AI36" s="182">
        <v>0.7</v>
      </c>
      <c r="AJ36" s="77"/>
      <c r="AK36" s="169" t="e">
        <f t="shared" si="4"/>
        <v>#REF!</v>
      </c>
      <c r="AL36" s="183">
        <v>369.53</v>
      </c>
      <c r="AM36" s="742" t="e">
        <f>AL36*(#REF!+1)</f>
        <v>#REF!</v>
      </c>
      <c r="AN36"/>
      <c r="AO36" s="824"/>
      <c r="AP36" s="767"/>
      <c r="AQ36" s="825">
        <v>0.7</v>
      </c>
      <c r="AR36" s="803"/>
      <c r="AS36" s="814" t="e">
        <f t="shared" si="5"/>
        <v>#REF!</v>
      </c>
      <c r="AT36" s="826" t="e">
        <f t="shared" si="6"/>
        <v>#REF!</v>
      </c>
      <c r="AU36" s="827" t="e">
        <f>ROUND(AT36*(1+#REF!),2)</f>
        <v>#REF!</v>
      </c>
      <c r="AV36" s="73"/>
      <c r="AW36" s="85" t="s">
        <v>295</v>
      </c>
      <c r="AX36" s="73"/>
      <c r="AY36" s="338">
        <f>'Rate Options'!AJ34</f>
        <v>4.8269348195899369</v>
      </c>
      <c r="AZ36" s="125"/>
      <c r="BA36" s="73"/>
      <c r="BB36" s="73"/>
      <c r="BC36" s="73"/>
      <c r="BD36" s="136"/>
    </row>
    <row r="37" spans="1:56" s="72" customFormat="1" x14ac:dyDescent="0.2">
      <c r="A37" s="181"/>
      <c r="B37" s="73"/>
      <c r="C37" s="182">
        <v>0.65</v>
      </c>
      <c r="D37" s="77"/>
      <c r="E37" s="169" t="e">
        <f t="shared" si="0"/>
        <v>#REF!</v>
      </c>
      <c r="F37" s="169">
        <v>477.44</v>
      </c>
      <c r="G37" s="742" t="e">
        <f>F37*(#REF!+1)</f>
        <v>#REF!</v>
      </c>
      <c r="H37"/>
      <c r="I37" s="181"/>
      <c r="J37" s="73"/>
      <c r="K37" s="182">
        <v>0.65</v>
      </c>
      <c r="L37" s="77"/>
      <c r="M37" s="169" t="e">
        <f t="shared" si="1"/>
        <v>#REF!</v>
      </c>
      <c r="N37" s="183">
        <v>433.14</v>
      </c>
      <c r="O37" s="742" t="e">
        <f>N37*(#REF!+1)</f>
        <v>#REF!</v>
      </c>
      <c r="P37"/>
      <c r="Q37" s="181"/>
      <c r="R37" s="73"/>
      <c r="S37" s="182">
        <v>0.65</v>
      </c>
      <c r="T37" s="77"/>
      <c r="U37" s="169" t="e">
        <f t="shared" si="2"/>
        <v>#REF!</v>
      </c>
      <c r="V37" s="183">
        <v>417.34</v>
      </c>
      <c r="W37" s="742" t="e">
        <f>V37*(#REF!+1)</f>
        <v>#REF!</v>
      </c>
      <c r="Y37" s="181"/>
      <c r="Z37" s="73"/>
      <c r="AA37" s="182">
        <v>0.65</v>
      </c>
      <c r="AB37" s="77"/>
      <c r="AC37" s="169" t="e">
        <f t="shared" si="3"/>
        <v>#REF!</v>
      </c>
      <c r="AD37" s="183">
        <v>406.07</v>
      </c>
      <c r="AE37" s="742" t="e">
        <f>AD37*(#REF!+1)</f>
        <v>#REF!</v>
      </c>
      <c r="AF37"/>
      <c r="AG37" s="181"/>
      <c r="AH37" s="73"/>
      <c r="AI37" s="182">
        <v>0.65</v>
      </c>
      <c r="AJ37" s="77"/>
      <c r="AK37" s="169" t="e">
        <f t="shared" si="4"/>
        <v>#REF!</v>
      </c>
      <c r="AL37" s="183">
        <v>397.96</v>
      </c>
      <c r="AM37" s="742" t="e">
        <f>AL37*(#REF!+1)</f>
        <v>#REF!</v>
      </c>
      <c r="AN37"/>
      <c r="AO37" s="824"/>
      <c r="AP37" s="767"/>
      <c r="AQ37" s="825">
        <v>0.65</v>
      </c>
      <c r="AR37" s="803"/>
      <c r="AS37" s="814" t="e">
        <f t="shared" si="5"/>
        <v>#REF!</v>
      </c>
      <c r="AT37" s="826" t="e">
        <f t="shared" si="6"/>
        <v>#REF!</v>
      </c>
      <c r="AU37" s="827" t="e">
        <f>ROUND(AT37*(1+#REF!),2)</f>
        <v>#REF!</v>
      </c>
      <c r="AV37" s="73"/>
      <c r="AW37" s="85"/>
      <c r="AX37" s="73"/>
      <c r="AY37" s="338"/>
      <c r="AZ37" s="125"/>
      <c r="BA37" s="73"/>
      <c r="BB37" s="73"/>
      <c r="BC37" s="73"/>
      <c r="BD37" s="136"/>
    </row>
    <row r="38" spans="1:56" s="72" customFormat="1" x14ac:dyDescent="0.2">
      <c r="A38" s="181"/>
      <c r="B38" s="73"/>
      <c r="C38" s="182">
        <v>0.6</v>
      </c>
      <c r="D38" s="77"/>
      <c r="E38" s="169" t="e">
        <f t="shared" si="0"/>
        <v>#REF!</v>
      </c>
      <c r="F38" s="169">
        <v>517.24</v>
      </c>
      <c r="G38" s="742" t="e">
        <f>F38*(#REF!+1)</f>
        <v>#REF!</v>
      </c>
      <c r="H38"/>
      <c r="I38" s="181"/>
      <c r="J38" s="73"/>
      <c r="K38" s="182">
        <v>0.6</v>
      </c>
      <c r="L38" s="77"/>
      <c r="M38" s="169" t="e">
        <f t="shared" si="1"/>
        <v>#REF!</v>
      </c>
      <c r="N38" s="183">
        <v>469.23</v>
      </c>
      <c r="O38" s="742" t="e">
        <f>N38*(#REF!+1)</f>
        <v>#REF!</v>
      </c>
      <c r="P38"/>
      <c r="Q38" s="181"/>
      <c r="R38" s="73"/>
      <c r="S38" s="182">
        <v>0.6</v>
      </c>
      <c r="T38" s="77"/>
      <c r="U38" s="169" t="e">
        <f t="shared" si="2"/>
        <v>#REF!</v>
      </c>
      <c r="V38" s="183">
        <v>452.12</v>
      </c>
      <c r="W38" s="742" t="e">
        <f>V38*(#REF!+1)</f>
        <v>#REF!</v>
      </c>
      <c r="Y38" s="181"/>
      <c r="Z38" s="73"/>
      <c r="AA38" s="182">
        <v>0.6</v>
      </c>
      <c r="AB38" s="77"/>
      <c r="AC38" s="169" t="e">
        <f t="shared" si="3"/>
        <v>#REF!</v>
      </c>
      <c r="AD38" s="183">
        <v>439.92</v>
      </c>
      <c r="AE38" s="742" t="e">
        <f>AD38*(#REF!+1)</f>
        <v>#REF!</v>
      </c>
      <c r="AF38"/>
      <c r="AG38" s="181"/>
      <c r="AH38" s="73"/>
      <c r="AI38" s="182">
        <v>0.6</v>
      </c>
      <c r="AJ38" s="77"/>
      <c r="AK38" s="169" t="e">
        <f t="shared" si="4"/>
        <v>#REF!</v>
      </c>
      <c r="AL38" s="183">
        <v>431.12</v>
      </c>
      <c r="AM38" s="742" t="e">
        <f>AL38*(#REF!+1)</f>
        <v>#REF!</v>
      </c>
      <c r="AN38"/>
      <c r="AO38" s="824"/>
      <c r="AP38" s="767"/>
      <c r="AQ38" s="825">
        <v>0.6</v>
      </c>
      <c r="AR38" s="803"/>
      <c r="AS38" s="814" t="e">
        <f t="shared" si="5"/>
        <v>#REF!</v>
      </c>
      <c r="AT38" s="826" t="e">
        <f t="shared" si="6"/>
        <v>#REF!</v>
      </c>
      <c r="AU38" s="827" t="e">
        <f>ROUND(AT38*(1+#REF!),2)</f>
        <v>#REF!</v>
      </c>
      <c r="AV38" s="73"/>
      <c r="AW38" s="85" t="s">
        <v>283</v>
      </c>
      <c r="AX38" s="73"/>
      <c r="AY38" s="338">
        <f>'Rate Options'!AJ36</f>
        <v>16.772324588891873</v>
      </c>
      <c r="AZ38" s="125"/>
      <c r="BA38" s="73"/>
      <c r="BB38" s="73"/>
      <c r="BC38" s="73"/>
      <c r="BD38" s="136"/>
    </row>
    <row r="39" spans="1:56" s="72" customFormat="1" x14ac:dyDescent="0.2">
      <c r="A39" s="181"/>
      <c r="B39" s="73"/>
      <c r="C39" s="182">
        <v>0.55000000000000004</v>
      </c>
      <c r="D39" s="77"/>
      <c r="E39" s="169" t="e">
        <f t="shared" si="0"/>
        <v>#REF!</v>
      </c>
      <c r="F39" s="169">
        <v>564.26</v>
      </c>
      <c r="G39" s="742" t="e">
        <f>F39*(#REF!+1)</f>
        <v>#REF!</v>
      </c>
      <c r="H39"/>
      <c r="I39" s="181"/>
      <c r="J39" s="73"/>
      <c r="K39" s="182">
        <v>0.55000000000000004</v>
      </c>
      <c r="L39" s="77"/>
      <c r="M39" s="169" t="e">
        <f t="shared" si="1"/>
        <v>#REF!</v>
      </c>
      <c r="N39" s="183">
        <v>511.89</v>
      </c>
      <c r="O39" s="742" t="e">
        <f>N39*(#REF!+1)</f>
        <v>#REF!</v>
      </c>
      <c r="P39"/>
      <c r="Q39" s="181"/>
      <c r="R39" s="73"/>
      <c r="S39" s="182">
        <v>0.55000000000000004</v>
      </c>
      <c r="T39" s="77"/>
      <c r="U39" s="169" t="e">
        <f t="shared" si="2"/>
        <v>#REF!</v>
      </c>
      <c r="V39" s="183">
        <v>493.22</v>
      </c>
      <c r="W39" s="742" t="e">
        <f>V39*(#REF!+1)</f>
        <v>#REF!</v>
      </c>
      <c r="Y39" s="181"/>
      <c r="Z39" s="73"/>
      <c r="AA39" s="182">
        <v>0.55000000000000004</v>
      </c>
      <c r="AB39" s="77"/>
      <c r="AC39" s="169" t="e">
        <f t="shared" si="3"/>
        <v>#REF!</v>
      </c>
      <c r="AD39" s="183">
        <v>479.9</v>
      </c>
      <c r="AE39" s="742" t="e">
        <f>AD39*(#REF!+1)</f>
        <v>#REF!</v>
      </c>
      <c r="AF39"/>
      <c r="AG39" s="181"/>
      <c r="AH39" s="73"/>
      <c r="AI39" s="182">
        <v>0.55000000000000004</v>
      </c>
      <c r="AJ39" s="77"/>
      <c r="AK39" s="169" t="e">
        <f t="shared" si="4"/>
        <v>#REF!</v>
      </c>
      <c r="AL39" s="183">
        <v>470.31</v>
      </c>
      <c r="AM39" s="742" t="e">
        <f>AL39*(#REF!+1)</f>
        <v>#REF!</v>
      </c>
      <c r="AN39"/>
      <c r="AO39" s="824"/>
      <c r="AP39" s="767"/>
      <c r="AQ39" s="825">
        <v>0.55000000000000004</v>
      </c>
      <c r="AR39" s="803"/>
      <c r="AS39" s="814" t="e">
        <f t="shared" si="5"/>
        <v>#REF!</v>
      </c>
      <c r="AT39" s="826" t="e">
        <f t="shared" si="6"/>
        <v>#REF!</v>
      </c>
      <c r="AU39" s="827" t="e">
        <f>ROUND(AT39*(1+#REF!),2)</f>
        <v>#REF!</v>
      </c>
      <c r="AV39" s="73"/>
      <c r="AW39" s="187"/>
      <c r="AX39" s="188"/>
      <c r="AY39" s="718"/>
      <c r="AZ39" s="719"/>
      <c r="BA39" s="271"/>
      <c r="BB39" s="271"/>
      <c r="BC39" s="73"/>
      <c r="BD39" s="136"/>
    </row>
    <row r="40" spans="1:56" s="72" customFormat="1" ht="15" thickBot="1" x14ac:dyDescent="0.25">
      <c r="A40" s="189"/>
      <c r="B40" s="190"/>
      <c r="C40" s="191">
        <v>0.5</v>
      </c>
      <c r="D40" s="192"/>
      <c r="E40" s="193" t="e">
        <f t="shared" si="0"/>
        <v>#REF!</v>
      </c>
      <c r="F40" s="193">
        <v>620.67999999999995</v>
      </c>
      <c r="G40" s="742" t="e">
        <f>F40*(#REF!+1)</f>
        <v>#REF!</v>
      </c>
      <c r="H40"/>
      <c r="I40" s="189"/>
      <c r="J40" s="190"/>
      <c r="K40" s="191">
        <v>0.5</v>
      </c>
      <c r="L40" s="192"/>
      <c r="M40" s="193" t="e">
        <f t="shared" si="1"/>
        <v>#REF!</v>
      </c>
      <c r="N40" s="194">
        <v>563.07000000000005</v>
      </c>
      <c r="O40" s="742" t="e">
        <f>N40*(#REF!+1)</f>
        <v>#REF!</v>
      </c>
      <c r="P40"/>
      <c r="Q40" s="189"/>
      <c r="R40" s="190"/>
      <c r="S40" s="191">
        <v>0.5</v>
      </c>
      <c r="T40" s="192"/>
      <c r="U40" s="193" t="e">
        <f t="shared" si="2"/>
        <v>#REF!</v>
      </c>
      <c r="V40" s="194">
        <v>542.54</v>
      </c>
      <c r="W40" s="742" t="e">
        <f>V40*(#REF!+1)</f>
        <v>#REF!</v>
      </c>
      <c r="Y40" s="189"/>
      <c r="Z40" s="190"/>
      <c r="AA40" s="191">
        <v>0.5</v>
      </c>
      <c r="AB40" s="192"/>
      <c r="AC40" s="193" t="e">
        <f t="shared" si="3"/>
        <v>#REF!</v>
      </c>
      <c r="AD40" s="194">
        <v>527.9</v>
      </c>
      <c r="AE40" s="742" t="e">
        <f>AD40*(#REF!+1)</f>
        <v>#REF!</v>
      </c>
      <c r="AF40"/>
      <c r="AG40" s="189"/>
      <c r="AH40" s="190"/>
      <c r="AI40" s="191">
        <v>0.5</v>
      </c>
      <c r="AJ40" s="192"/>
      <c r="AK40" s="193" t="e">
        <f t="shared" si="4"/>
        <v>#REF!</v>
      </c>
      <c r="AL40" s="194">
        <v>517.34</v>
      </c>
      <c r="AM40" s="742" t="e">
        <f>AL40*(#REF!+1)</f>
        <v>#REF!</v>
      </c>
      <c r="AN40"/>
      <c r="AO40" s="828"/>
      <c r="AP40" s="829"/>
      <c r="AQ40" s="830">
        <v>0.5</v>
      </c>
      <c r="AR40" s="831"/>
      <c r="AS40" s="832" t="e">
        <f t="shared" si="5"/>
        <v>#REF!</v>
      </c>
      <c r="AT40" s="833" t="e">
        <f t="shared" si="6"/>
        <v>#REF!</v>
      </c>
      <c r="AU40" s="834" t="e">
        <f>ROUND(AT40*(1+#REF!),2)</f>
        <v>#REF!</v>
      </c>
      <c r="AV40" s="73"/>
      <c r="AW40" s="142"/>
      <c r="AX40" s="195"/>
      <c r="AY40" s="720"/>
      <c r="AZ40" s="719"/>
      <c r="BA40" s="271"/>
      <c r="BB40" s="271"/>
      <c r="BC40" s="73"/>
      <c r="BD40" s="136"/>
    </row>
    <row r="41" spans="1:56" s="72" customForma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 s="765"/>
      <c r="AP41" s="765"/>
      <c r="AQ41" s="765"/>
      <c r="AR41" s="765"/>
      <c r="AS41" s="765"/>
      <c r="AT41" s="765"/>
      <c r="AU41" s="765"/>
      <c r="AV41"/>
      <c r="AW41" s="85" t="s">
        <v>286</v>
      </c>
      <c r="AX41" s="73"/>
      <c r="AY41" s="717" t="e">
        <f>'Rate Options'!$AJ$42</f>
        <v>#REF!</v>
      </c>
      <c r="AZ41" s="719"/>
      <c r="BA41" s="271"/>
      <c r="BB41" s="271"/>
      <c r="BC41" s="73"/>
      <c r="BD41" s="136"/>
    </row>
    <row r="42" spans="1:56" x14ac:dyDescent="0.2">
      <c r="AW42" s="173"/>
      <c r="AX42" s="174"/>
      <c r="AY42" s="379"/>
      <c r="AZ42" s="719"/>
      <c r="BA42" s="271"/>
      <c r="BB42" s="271"/>
      <c r="BC42" s="271"/>
      <c r="BD42" s="272"/>
    </row>
    <row r="43" spans="1:56" ht="15" thickBot="1" x14ac:dyDescent="0.25">
      <c r="AW43" s="200" t="s">
        <v>296</v>
      </c>
      <c r="AX43" s="201"/>
      <c r="AY43" s="427"/>
      <c r="AZ43" s="715">
        <f>'Rate Options'!$AK$43</f>
        <v>4.4640068153077195E-2</v>
      </c>
      <c r="BA43" s="273"/>
      <c r="BB43" s="273"/>
      <c r="BC43" s="273"/>
      <c r="BD43" s="274"/>
    </row>
    <row r="44" spans="1:56" x14ac:dyDescent="0.2">
      <c r="AW44" s="436"/>
      <c r="AX44" s="436"/>
      <c r="AY44" s="636"/>
      <c r="AZ44" s="436"/>
      <c r="BA44" s="436"/>
      <c r="BB44" s="436"/>
      <c r="BC44" s="436"/>
      <c r="BD44" s="436"/>
    </row>
    <row r="45" spans="1:56" ht="15" thickBot="1" x14ac:dyDescent="0.25">
      <c r="AW45" s="637" t="s">
        <v>249</v>
      </c>
      <c r="AX45" s="637"/>
      <c r="AY45" s="637"/>
      <c r="AZ45" s="461"/>
      <c r="BA45" s="461"/>
      <c r="BB45" s="461"/>
      <c r="BC45" s="436"/>
      <c r="BD45" s="436"/>
    </row>
    <row r="46" spans="1:56" ht="15.75" thickTop="1" thickBot="1" x14ac:dyDescent="0.25">
      <c r="AW46" s="205"/>
      <c r="AX46" s="205"/>
      <c r="AY46" s="205"/>
      <c r="AZ46" s="461"/>
      <c r="BA46" s="461"/>
      <c r="BB46" s="461"/>
      <c r="BC46" s="436"/>
      <c r="BD46" s="436"/>
    </row>
    <row r="47" spans="1:56" ht="15" thickBot="1" x14ac:dyDescent="0.25">
      <c r="A47" s="84" t="s">
        <v>301</v>
      </c>
      <c r="B47" s="72"/>
      <c r="C47" s="72"/>
      <c r="D47" s="72"/>
      <c r="E47" s="72"/>
      <c r="F47" s="72"/>
      <c r="G47" s="72"/>
      <c r="I47" s="72"/>
      <c r="J47" s="72"/>
      <c r="K47" s="72"/>
      <c r="L47" s="72"/>
      <c r="M47" s="72"/>
      <c r="N47" s="72"/>
      <c r="O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G47" s="72"/>
      <c r="AH47" s="72"/>
      <c r="AI47" s="72"/>
      <c r="AJ47" s="72"/>
      <c r="AK47" s="72"/>
      <c r="AL47" s="72"/>
      <c r="AM47" s="72"/>
      <c r="AO47" s="764"/>
      <c r="AP47" s="764"/>
      <c r="AQ47" s="764"/>
      <c r="AR47" s="764"/>
      <c r="AS47" s="764"/>
      <c r="AT47" s="764"/>
      <c r="AU47" s="764"/>
      <c r="AV47" s="73"/>
      <c r="AW47" s="101"/>
      <c r="AX47" s="92"/>
      <c r="AY47" s="638"/>
      <c r="AZ47" s="461"/>
      <c r="BA47" s="461"/>
      <c r="BB47" s="461"/>
      <c r="BC47" s="436"/>
      <c r="BD47" s="436"/>
    </row>
    <row r="48" spans="1:56" s="72" customFormat="1" x14ac:dyDescent="0.2">
      <c r="A48" s="71"/>
      <c r="H48"/>
      <c r="I48" s="71"/>
      <c r="P48"/>
      <c r="Q48" s="71"/>
      <c r="Y48" s="71"/>
      <c r="AF48"/>
      <c r="AG48" s="71"/>
      <c r="AN48"/>
      <c r="AO48" s="763"/>
      <c r="AP48" s="764"/>
      <c r="AQ48" s="764"/>
      <c r="AR48" s="764"/>
      <c r="AS48" s="764"/>
      <c r="AT48" s="764"/>
      <c r="AU48" s="764"/>
      <c r="AV48" s="73"/>
      <c r="AW48" s="79" t="s">
        <v>250</v>
      </c>
      <c r="AX48" s="337" t="s">
        <v>251</v>
      </c>
      <c r="AY48" s="223" t="s">
        <v>252</v>
      </c>
      <c r="AZ48" s="461"/>
      <c r="BA48" s="461"/>
      <c r="BB48" s="461"/>
      <c r="BC48" s="461"/>
      <c r="BD48" s="461"/>
    </row>
    <row r="49" spans="1:56" s="72" customFormat="1" x14ac:dyDescent="0.2">
      <c r="H49"/>
      <c r="P49"/>
      <c r="AF49"/>
      <c r="AN49"/>
      <c r="AO49" s="764"/>
      <c r="AP49" s="764"/>
      <c r="AQ49" s="764"/>
      <c r="AR49" s="764"/>
      <c r="AS49" s="764"/>
      <c r="AT49" s="764"/>
      <c r="AU49" s="764"/>
      <c r="AV49" s="73"/>
      <c r="AW49" s="639" t="s">
        <v>254</v>
      </c>
      <c r="AX49" s="640">
        <v>15</v>
      </c>
      <c r="AY49" s="641">
        <f>AX49*8</f>
        <v>120</v>
      </c>
      <c r="AZ49" s="101"/>
      <c r="BA49" s="101"/>
      <c r="BB49" s="101"/>
      <c r="BC49" s="461"/>
      <c r="BD49" s="461"/>
    </row>
    <row r="50" spans="1:56" s="72" customFormat="1" x14ac:dyDescent="0.2">
      <c r="A50" s="78"/>
      <c r="B50" s="74"/>
      <c r="C50" s="90" t="s">
        <v>255</v>
      </c>
      <c r="D50" s="91"/>
      <c r="E50" s="92"/>
      <c r="F50" s="92"/>
      <c r="G50" s="92"/>
      <c r="H50"/>
      <c r="I50" s="78"/>
      <c r="J50" s="74"/>
      <c r="K50" s="90" t="s">
        <v>256</v>
      </c>
      <c r="L50" s="91"/>
      <c r="M50" s="92"/>
      <c r="N50" s="92"/>
      <c r="O50" s="92"/>
      <c r="P50"/>
      <c r="Q50" s="78"/>
      <c r="R50" s="74"/>
      <c r="S50" s="90" t="s">
        <v>257</v>
      </c>
      <c r="T50" s="91"/>
      <c r="U50" s="92"/>
      <c r="V50" s="92"/>
      <c r="W50" s="92"/>
      <c r="Y50" s="78"/>
      <c r="Z50" s="74"/>
      <c r="AA50" s="90" t="s">
        <v>258</v>
      </c>
      <c r="AB50" s="91"/>
      <c r="AC50" s="92"/>
      <c r="AD50" s="92"/>
      <c r="AE50" s="92"/>
      <c r="AF50"/>
      <c r="AG50" s="78"/>
      <c r="AH50" s="74"/>
      <c r="AI50" s="90" t="s">
        <v>259</v>
      </c>
      <c r="AJ50" s="91"/>
      <c r="AK50" s="92"/>
      <c r="AL50" s="92"/>
      <c r="AM50" s="92"/>
      <c r="AN50"/>
      <c r="AO50" s="768"/>
      <c r="AP50" s="769"/>
      <c r="AQ50" s="770" t="s">
        <v>334</v>
      </c>
      <c r="AR50" s="771"/>
      <c r="AS50" s="772"/>
      <c r="AT50" s="772"/>
      <c r="AU50" s="772"/>
      <c r="AV50" s="93"/>
      <c r="AW50" s="639" t="s">
        <v>260</v>
      </c>
      <c r="AX50" s="640">
        <v>15</v>
      </c>
      <c r="AY50" s="641">
        <f>AX50*8</f>
        <v>120</v>
      </c>
      <c r="AZ50" s="101"/>
      <c r="BA50" s="101"/>
      <c r="BB50" s="101"/>
      <c r="BC50" s="461"/>
      <c r="BD50" s="461"/>
    </row>
    <row r="51" spans="1:56" s="72" customFormat="1" x14ac:dyDescent="0.2">
      <c r="A51" s="94" t="s">
        <v>261</v>
      </c>
      <c r="B51" s="95" t="s">
        <v>343</v>
      </c>
      <c r="C51" s="96" t="s">
        <v>262</v>
      </c>
      <c r="D51" s="97">
        <v>365</v>
      </c>
      <c r="E51" s="98">
        <f>D51*B52</f>
        <v>2920</v>
      </c>
      <c r="F51" s="98"/>
      <c r="G51" s="98"/>
      <c r="H51"/>
      <c r="I51" s="94" t="s">
        <v>261</v>
      </c>
      <c r="J51" s="263" t="s">
        <v>339</v>
      </c>
      <c r="K51" s="96" t="s">
        <v>262</v>
      </c>
      <c r="L51" s="97">
        <v>365</v>
      </c>
      <c r="M51" s="98">
        <f>L51*J52</f>
        <v>4380</v>
      </c>
      <c r="N51" s="98"/>
      <c r="O51" s="98"/>
      <c r="P51" s="99"/>
      <c r="Q51" s="94" t="s">
        <v>261</v>
      </c>
      <c r="R51" s="102" t="s">
        <v>340</v>
      </c>
      <c r="S51" s="96" t="s">
        <v>262</v>
      </c>
      <c r="T51" s="97">
        <v>365</v>
      </c>
      <c r="U51" s="98">
        <f>R52*T51</f>
        <v>5657.5</v>
      </c>
      <c r="V51" s="98"/>
      <c r="W51" s="98"/>
      <c r="X51" s="98"/>
      <c r="Y51" s="94" t="s">
        <v>261</v>
      </c>
      <c r="Z51" s="102" t="s">
        <v>333</v>
      </c>
      <c r="AA51" s="96" t="s">
        <v>262</v>
      </c>
      <c r="AB51" s="97">
        <v>365</v>
      </c>
      <c r="AC51" s="98">
        <f>Z52*AB51</f>
        <v>7300</v>
      </c>
      <c r="AD51" s="99"/>
      <c r="AE51" s="99"/>
      <c r="AF51" s="99"/>
      <c r="AG51" s="94" t="s">
        <v>261</v>
      </c>
      <c r="AH51" s="102" t="s">
        <v>264</v>
      </c>
      <c r="AI51" s="96" t="s">
        <v>262</v>
      </c>
      <c r="AJ51" s="97">
        <v>365</v>
      </c>
      <c r="AK51" s="98">
        <f>AH52*AJ51</f>
        <v>9125</v>
      </c>
      <c r="AN51" s="99"/>
      <c r="AO51" s="773" t="s">
        <v>261</v>
      </c>
      <c r="AP51" s="774" t="s">
        <v>265</v>
      </c>
      <c r="AQ51" s="775" t="s">
        <v>262</v>
      </c>
      <c r="AR51" s="776">
        <v>365</v>
      </c>
      <c r="AS51" s="777">
        <f>AP52*AR51</f>
        <v>10950</v>
      </c>
      <c r="AT51" s="777"/>
      <c r="AU51" s="777"/>
      <c r="AV51" s="99"/>
      <c r="AW51" s="639" t="s">
        <v>266</v>
      </c>
      <c r="AX51" s="640">
        <v>13</v>
      </c>
      <c r="AY51" s="641">
        <f>AX51*8</f>
        <v>104</v>
      </c>
      <c r="AZ51" s="101"/>
      <c r="BA51" s="101"/>
      <c r="BB51" s="101"/>
      <c r="BC51" s="461"/>
      <c r="BD51" s="461"/>
    </row>
    <row r="52" spans="1:56" s="101" customFormat="1" x14ac:dyDescent="0.2">
      <c r="A52" s="94"/>
      <c r="B52" s="102">
        <v>8</v>
      </c>
      <c r="C52" s="96"/>
      <c r="D52" s="97"/>
      <c r="E52" s="98"/>
      <c r="F52" s="98"/>
      <c r="G52" s="98"/>
      <c r="H52"/>
      <c r="I52" s="94"/>
      <c r="J52" s="102">
        <v>12</v>
      </c>
      <c r="K52" s="96"/>
      <c r="L52" s="97"/>
      <c r="M52" s="98"/>
      <c r="N52" s="98"/>
      <c r="O52" s="98"/>
      <c r="P52" s="99"/>
      <c r="Q52" s="94"/>
      <c r="R52" s="102">
        <v>15.5</v>
      </c>
      <c r="S52" s="96"/>
      <c r="T52" s="97"/>
      <c r="U52" s="98"/>
      <c r="V52" s="98"/>
      <c r="W52" s="98"/>
      <c r="X52" s="98"/>
      <c r="Y52" s="94"/>
      <c r="Z52" s="102">
        <v>20</v>
      </c>
      <c r="AA52" s="96"/>
      <c r="AB52" s="97"/>
      <c r="AC52" s="98"/>
      <c r="AD52" s="99"/>
      <c r="AE52" s="99"/>
      <c r="AF52" s="99"/>
      <c r="AG52" s="94"/>
      <c r="AH52" s="102">
        <v>25</v>
      </c>
      <c r="AI52" s="96"/>
      <c r="AJ52" s="97"/>
      <c r="AK52" s="98"/>
      <c r="AN52" s="99"/>
      <c r="AO52" s="773"/>
      <c r="AP52" s="774">
        <v>30</v>
      </c>
      <c r="AQ52" s="775"/>
      <c r="AR52" s="776"/>
      <c r="AS52" s="777"/>
      <c r="AT52" s="777"/>
      <c r="AU52" s="777"/>
      <c r="AV52" s="99"/>
      <c r="AW52" s="642" t="s">
        <v>267</v>
      </c>
      <c r="AX52" s="643">
        <v>8</v>
      </c>
      <c r="AY52" s="644">
        <f>AX52*8</f>
        <v>64</v>
      </c>
    </row>
    <row r="53" spans="1:56" s="101" customFormat="1" x14ac:dyDescent="0.2">
      <c r="A53" s="94"/>
      <c r="B53" s="102"/>
      <c r="C53" s="108"/>
      <c r="D53" s="97"/>
      <c r="E53" s="98"/>
      <c r="F53" s="98"/>
      <c r="G53" s="98"/>
      <c r="H53"/>
      <c r="I53" s="94"/>
      <c r="J53" s="102"/>
      <c r="K53" s="108"/>
      <c r="L53" s="97"/>
      <c r="M53" s="98"/>
      <c r="N53" s="98"/>
      <c r="O53" s="98"/>
      <c r="P53"/>
      <c r="Q53" s="94"/>
      <c r="R53" s="102"/>
      <c r="S53" s="108"/>
      <c r="T53" s="97"/>
      <c r="U53" s="98"/>
      <c r="V53" s="98"/>
      <c r="W53" s="98"/>
      <c r="Y53" s="94"/>
      <c r="Z53" s="102"/>
      <c r="AA53" s="108"/>
      <c r="AB53" s="97"/>
      <c r="AC53" s="98"/>
      <c r="AD53" s="98"/>
      <c r="AE53" s="98"/>
      <c r="AF53"/>
      <c r="AG53" s="94"/>
      <c r="AH53" s="102"/>
      <c r="AI53" s="108"/>
      <c r="AJ53" s="97"/>
      <c r="AK53" s="98"/>
      <c r="AL53" s="98"/>
      <c r="AM53" s="98"/>
      <c r="AN53"/>
      <c r="AO53" s="773"/>
      <c r="AP53" s="774"/>
      <c r="AQ53" s="778"/>
      <c r="AR53" s="776"/>
      <c r="AS53" s="777"/>
      <c r="AT53" s="777"/>
      <c r="AU53" s="777"/>
      <c r="AV53" s="99"/>
      <c r="AW53" s="639"/>
      <c r="AX53" s="645" t="s">
        <v>268</v>
      </c>
      <c r="AY53" s="641">
        <f>SUM(AY49:AY52)</f>
        <v>408</v>
      </c>
      <c r="AZ53" s="646"/>
      <c r="BA53" s="646"/>
      <c r="BB53" s="646"/>
    </row>
    <row r="54" spans="1:56" s="357" customFormat="1" ht="26.25" thickBot="1" x14ac:dyDescent="0.25">
      <c r="A54" s="356"/>
      <c r="B54" s="292" t="s">
        <v>269</v>
      </c>
      <c r="C54" s="377" t="s">
        <v>341</v>
      </c>
      <c r="D54" s="294" t="s">
        <v>270</v>
      </c>
      <c r="E54" s="293" t="s">
        <v>342</v>
      </c>
      <c r="F54" s="293"/>
      <c r="G54" s="293"/>
      <c r="H54" s="227"/>
      <c r="I54" s="356"/>
      <c r="J54" s="292" t="s">
        <v>269</v>
      </c>
      <c r="K54" s="293" t="s">
        <v>341</v>
      </c>
      <c r="L54" s="294" t="s">
        <v>270</v>
      </c>
      <c r="M54" s="293" t="s">
        <v>342</v>
      </c>
      <c r="N54" s="293"/>
      <c r="O54" s="293"/>
      <c r="P54" s="227"/>
      <c r="Q54" s="356"/>
      <c r="R54" s="292" t="s">
        <v>269</v>
      </c>
      <c r="S54" s="293" t="s">
        <v>341</v>
      </c>
      <c r="T54" s="294" t="s">
        <v>270</v>
      </c>
      <c r="U54" s="293" t="s">
        <v>342</v>
      </c>
      <c r="V54" s="293"/>
      <c r="W54" s="293"/>
      <c r="Y54" s="356"/>
      <c r="Z54" s="292" t="s">
        <v>269</v>
      </c>
      <c r="AA54" s="293" t="s">
        <v>341</v>
      </c>
      <c r="AB54" s="294" t="s">
        <v>270</v>
      </c>
      <c r="AC54" s="293" t="s">
        <v>342</v>
      </c>
      <c r="AD54" s="293"/>
      <c r="AE54" s="293"/>
      <c r="AF54" s="227"/>
      <c r="AG54" s="356"/>
      <c r="AH54" s="292" t="s">
        <v>269</v>
      </c>
      <c r="AI54" s="293" t="s">
        <v>341</v>
      </c>
      <c r="AJ54" s="294" t="s">
        <v>270</v>
      </c>
      <c r="AK54" s="293" t="s">
        <v>342</v>
      </c>
      <c r="AL54" s="293"/>
      <c r="AM54" s="293"/>
      <c r="AN54" s="227"/>
      <c r="AO54" s="779"/>
      <c r="AP54" s="780" t="s">
        <v>269</v>
      </c>
      <c r="AQ54" s="781" t="s">
        <v>341</v>
      </c>
      <c r="AR54" s="782" t="s">
        <v>270</v>
      </c>
      <c r="AS54" s="781" t="s">
        <v>342</v>
      </c>
      <c r="AT54" s="781"/>
      <c r="AU54" s="781"/>
      <c r="AV54" s="207"/>
      <c r="AW54" s="647"/>
      <c r="AX54" s="648" t="s">
        <v>271</v>
      </c>
      <c r="AY54" s="649">
        <f>AY53/(52*40)</f>
        <v>0.19615384615384615</v>
      </c>
      <c r="AZ54" s="650"/>
      <c r="BA54" s="650"/>
      <c r="BB54" s="650"/>
    </row>
    <row r="55" spans="1:56" s="101" customFormat="1" ht="15" thickBot="1" x14ac:dyDescent="0.25">
      <c r="A55" s="121" t="s">
        <v>272</v>
      </c>
      <c r="B55" s="122"/>
      <c r="C55" s="382">
        <f>$AY$13</f>
        <v>59700.570397111915</v>
      </c>
      <c r="D55" s="124">
        <f>AY64</f>
        <v>0.25</v>
      </c>
      <c r="E55" s="75">
        <f>C55*D55</f>
        <v>14925.142599277979</v>
      </c>
      <c r="F55" s="75"/>
      <c r="G55" s="75"/>
      <c r="H55"/>
      <c r="I55" s="121" t="s">
        <v>272</v>
      </c>
      <c r="J55" s="381"/>
      <c r="K55" s="382">
        <f>$AY$13</f>
        <v>59700.570397111915</v>
      </c>
      <c r="L55" s="124">
        <f>AZ64</f>
        <v>0.25</v>
      </c>
      <c r="M55" s="157">
        <f>K55*L55</f>
        <v>14925.142599277979</v>
      </c>
      <c r="N55" s="157"/>
      <c r="O55" s="157"/>
      <c r="P55" s="721"/>
      <c r="Q55" s="380" t="s">
        <v>272</v>
      </c>
      <c r="R55" s="381"/>
      <c r="S55" s="382">
        <f>$AY$13</f>
        <v>59700.570397111915</v>
      </c>
      <c r="T55" s="124">
        <f>AZ64</f>
        <v>0.25</v>
      </c>
      <c r="U55" s="157">
        <f>S55*T55</f>
        <v>14925.142599277979</v>
      </c>
      <c r="V55" s="157"/>
      <c r="W55" s="157"/>
      <c r="X55" s="157"/>
      <c r="Y55" s="380" t="s">
        <v>272</v>
      </c>
      <c r="Z55" s="381"/>
      <c r="AA55" s="382">
        <f>$AY$13</f>
        <v>59700.570397111915</v>
      </c>
      <c r="AB55" s="124">
        <f>AZ64</f>
        <v>0.25</v>
      </c>
      <c r="AC55" s="75">
        <f>AA55*AB55</f>
        <v>14925.142599277979</v>
      </c>
      <c r="AD55" s="75"/>
      <c r="AE55" s="75"/>
      <c r="AF55"/>
      <c r="AG55" s="380" t="s">
        <v>272</v>
      </c>
      <c r="AH55" s="381"/>
      <c r="AI55" s="382">
        <f>$AY$13</f>
        <v>59700.570397111915</v>
      </c>
      <c r="AJ55" s="124">
        <f>BC64</f>
        <v>0.25</v>
      </c>
      <c r="AK55" s="157">
        <f>AI55*AJ55</f>
        <v>14925.142599277979</v>
      </c>
      <c r="AL55" s="157"/>
      <c r="AM55" s="157"/>
      <c r="AN55" s="721"/>
      <c r="AO55" s="783" t="s">
        <v>272</v>
      </c>
      <c r="AP55" s="784"/>
      <c r="AQ55" s="785">
        <f>$AY$13</f>
        <v>59700.570397111915</v>
      </c>
      <c r="AR55" s="786">
        <f>BD64</f>
        <v>0.25</v>
      </c>
      <c r="AS55" s="787">
        <f>AQ55*AR55</f>
        <v>14925.142599277979</v>
      </c>
      <c r="AT55" s="787"/>
      <c r="AU55" s="787"/>
      <c r="AV55" s="77"/>
      <c r="AW55" s="242"/>
      <c r="AX55" s="651"/>
      <c r="AY55" s="652"/>
      <c r="AZ55" s="653"/>
      <c r="BA55" s="653"/>
      <c r="BB55" s="653"/>
    </row>
    <row r="56" spans="1:56" s="75" customFormat="1" x14ac:dyDescent="0.2">
      <c r="A56" s="131" t="s">
        <v>275</v>
      </c>
      <c r="B56" s="132">
        <f>AY73</f>
        <v>7.5</v>
      </c>
      <c r="C56" s="382">
        <f>$AY$15</f>
        <v>31102.5</v>
      </c>
      <c r="D56" s="132">
        <f>B52/B56</f>
        <v>1.0666666666666667</v>
      </c>
      <c r="E56" s="75">
        <f>C56*D56</f>
        <v>33176</v>
      </c>
      <c r="H56"/>
      <c r="I56" s="131" t="s">
        <v>275</v>
      </c>
      <c r="J56" s="124">
        <f>AY73</f>
        <v>7.5</v>
      </c>
      <c r="K56" s="382">
        <f>$AY$15</f>
        <v>31102.5</v>
      </c>
      <c r="L56" s="124">
        <f>J52/J56</f>
        <v>1.6</v>
      </c>
      <c r="M56" s="157">
        <f>K56*L56</f>
        <v>49764</v>
      </c>
      <c r="N56" s="157"/>
      <c r="O56" s="157"/>
      <c r="P56" s="721"/>
      <c r="Q56" s="383" t="s">
        <v>275</v>
      </c>
      <c r="R56" s="124">
        <f>BA73</f>
        <v>7.5</v>
      </c>
      <c r="S56" s="382">
        <f>$AY$15</f>
        <v>31102.5</v>
      </c>
      <c r="T56" s="124">
        <f>R52/R56</f>
        <v>2.0666666666666669</v>
      </c>
      <c r="U56" s="157">
        <f>S56*T56</f>
        <v>64278.500000000007</v>
      </c>
      <c r="V56" s="157"/>
      <c r="W56" s="157"/>
      <c r="X56" s="243"/>
      <c r="Y56" s="383" t="s">
        <v>275</v>
      </c>
      <c r="Z56" s="124">
        <f>BA73</f>
        <v>7.5</v>
      </c>
      <c r="AA56" s="382">
        <f>$AY$15</f>
        <v>31102.5</v>
      </c>
      <c r="AB56" s="124">
        <f>Z52/Z56</f>
        <v>2.6666666666666665</v>
      </c>
      <c r="AC56" s="75">
        <f>AA56*AB56</f>
        <v>82940</v>
      </c>
      <c r="AF56"/>
      <c r="AG56" s="383" t="s">
        <v>275</v>
      </c>
      <c r="AH56" s="124">
        <f>BC73</f>
        <v>7.5</v>
      </c>
      <c r="AI56" s="382">
        <f>$AY$15</f>
        <v>31102.5</v>
      </c>
      <c r="AJ56" s="124">
        <f>AH52/AH56</f>
        <v>3.3333333333333335</v>
      </c>
      <c r="AK56" s="157">
        <f>AI56*AJ56</f>
        <v>103675</v>
      </c>
      <c r="AL56" s="157"/>
      <c r="AM56" s="157"/>
      <c r="AN56" s="721"/>
      <c r="AO56" s="788" t="s">
        <v>275</v>
      </c>
      <c r="AP56" s="786">
        <f>BB73</f>
        <v>7.5</v>
      </c>
      <c r="AQ56" s="785">
        <f>$AY$15</f>
        <v>31102.5</v>
      </c>
      <c r="AR56" s="786">
        <f>AP52/AP56</f>
        <v>4</v>
      </c>
      <c r="AS56" s="787">
        <f>AQ56*AR56</f>
        <v>124410</v>
      </c>
      <c r="AT56" s="787"/>
      <c r="AU56" s="787"/>
      <c r="AV56" s="77"/>
      <c r="AW56" s="79"/>
      <c r="AX56" s="654"/>
      <c r="AY56" s="655" t="s">
        <v>274</v>
      </c>
      <c r="AZ56" s="656"/>
      <c r="BA56" s="656"/>
      <c r="BB56" s="656"/>
      <c r="BC56" s="657"/>
      <c r="BD56" s="658"/>
    </row>
    <row r="57" spans="1:56" s="75" customFormat="1" x14ac:dyDescent="0.2">
      <c r="A57" s="131" t="s">
        <v>276</v>
      </c>
      <c r="B57" s="132"/>
      <c r="C57" s="382">
        <f>$AY$15</f>
        <v>31102.5</v>
      </c>
      <c r="D57" s="132">
        <f>D56*AY54</f>
        <v>0.20923076923076922</v>
      </c>
      <c r="E57" s="75">
        <f>C57*D57</f>
        <v>6507.5999999999995</v>
      </c>
      <c r="H57"/>
      <c r="I57" s="131" t="s">
        <v>276</v>
      </c>
      <c r="J57" s="124"/>
      <c r="K57" s="382">
        <f>$AY$15</f>
        <v>31102.5</v>
      </c>
      <c r="L57" s="124">
        <f>L56*AY54</f>
        <v>0.31384615384615389</v>
      </c>
      <c r="M57" s="157">
        <f>K57*L57</f>
        <v>9761.4000000000015</v>
      </c>
      <c r="N57" s="157"/>
      <c r="O57" s="157"/>
      <c r="P57" s="721"/>
      <c r="Q57" s="383" t="s">
        <v>276</v>
      </c>
      <c r="R57" s="124"/>
      <c r="S57" s="382">
        <f>$AY$15</f>
        <v>31102.5</v>
      </c>
      <c r="T57" s="124">
        <f>T56*AY54</f>
        <v>0.4053846153846154</v>
      </c>
      <c r="U57" s="157">
        <f>S57*T57</f>
        <v>12608.475</v>
      </c>
      <c r="V57" s="157"/>
      <c r="W57" s="157"/>
      <c r="X57" s="243"/>
      <c r="Y57" s="383" t="s">
        <v>276</v>
      </c>
      <c r="Z57" s="124"/>
      <c r="AA57" s="382">
        <f>$AY$15</f>
        <v>31102.5</v>
      </c>
      <c r="AB57" s="124">
        <f>AB56*AY54</f>
        <v>0.52307692307692299</v>
      </c>
      <c r="AC57" s="75">
        <f>AA57*AB57</f>
        <v>16268.999999999998</v>
      </c>
      <c r="AF57"/>
      <c r="AG57" s="383" t="s">
        <v>276</v>
      </c>
      <c r="AH57" s="124"/>
      <c r="AI57" s="382">
        <f>$AY$15</f>
        <v>31102.5</v>
      </c>
      <c r="AJ57" s="124">
        <f>AJ56*AY54</f>
        <v>0.65384615384615385</v>
      </c>
      <c r="AK57" s="157">
        <f>AI57*AJ57</f>
        <v>20336.25</v>
      </c>
      <c r="AL57" s="157"/>
      <c r="AM57" s="157"/>
      <c r="AN57" s="721"/>
      <c r="AO57" s="788" t="s">
        <v>276</v>
      </c>
      <c r="AP57" s="786"/>
      <c r="AQ57" s="785">
        <f>$AY$15</f>
        <v>31102.5</v>
      </c>
      <c r="AR57" s="786">
        <f>AR56*AY54</f>
        <v>0.7846153846153846</v>
      </c>
      <c r="AS57" s="787">
        <f>AQ57*AR57</f>
        <v>24403.5</v>
      </c>
      <c r="AT57" s="787"/>
      <c r="AU57" s="787"/>
      <c r="AV57" s="77"/>
      <c r="AW57" s="134" t="s">
        <v>272</v>
      </c>
      <c r="AX57" s="659"/>
      <c r="AY57" s="736">
        <f>'Bed Day Data'!CH33</f>
        <v>50938.442509087356</v>
      </c>
      <c r="AZ57" s="659"/>
      <c r="BA57" s="659"/>
      <c r="BB57" s="659"/>
      <c r="BC57" s="659"/>
      <c r="BD57" s="660"/>
    </row>
    <row r="58" spans="1:56" s="133" customFormat="1" x14ac:dyDescent="0.2">
      <c r="A58" s="121" t="s">
        <v>370</v>
      </c>
      <c r="B58" s="132"/>
      <c r="C58" s="382">
        <f>$AY$16</f>
        <v>30600.305857957486</v>
      </c>
      <c r="D58" s="132">
        <f>AY69</f>
        <v>5.8333333333333334E-2</v>
      </c>
      <c r="E58" s="75">
        <f>C58*D58</f>
        <v>1785.0178417141867</v>
      </c>
      <c r="F58" s="75"/>
      <c r="G58" s="75"/>
      <c r="H58"/>
      <c r="I58" s="121" t="s">
        <v>370</v>
      </c>
      <c r="J58" s="124"/>
      <c r="K58" s="382">
        <f>$AY$16</f>
        <v>30600.305857957486</v>
      </c>
      <c r="L58" s="124">
        <f>AZ69</f>
        <v>9.9999999999999992E-2</v>
      </c>
      <c r="M58" s="157">
        <f>K58*L58</f>
        <v>3060.0305857957483</v>
      </c>
      <c r="N58" s="157"/>
      <c r="O58" s="157"/>
      <c r="P58" s="721"/>
      <c r="Q58" s="380" t="s">
        <v>370</v>
      </c>
      <c r="R58" s="124"/>
      <c r="S58" s="382">
        <f>$AY$16</f>
        <v>30600.305857957486</v>
      </c>
      <c r="T58" s="124">
        <f>BA69</f>
        <v>0.125</v>
      </c>
      <c r="U58" s="157">
        <f>S58*T58</f>
        <v>3825.0382322446858</v>
      </c>
      <c r="V58" s="157"/>
      <c r="W58" s="157"/>
      <c r="X58" s="157"/>
      <c r="Y58" s="380" t="s">
        <v>370</v>
      </c>
      <c r="Z58" s="124"/>
      <c r="AA58" s="382">
        <f>$AY$16</f>
        <v>30600.305857957486</v>
      </c>
      <c r="AB58" s="124">
        <f>BB69</f>
        <v>0.16666666666666666</v>
      </c>
      <c r="AC58" s="75">
        <f>AA58*AB58</f>
        <v>5100.0509763262471</v>
      </c>
      <c r="AD58" s="75"/>
      <c r="AE58" s="75"/>
      <c r="AF58"/>
      <c r="AG58" s="380" t="s">
        <v>370</v>
      </c>
      <c r="AH58" s="124"/>
      <c r="AI58" s="382">
        <f>$AY$16</f>
        <v>30600.305857957486</v>
      </c>
      <c r="AJ58" s="124">
        <f>BC69</f>
        <v>0.20833333333333334</v>
      </c>
      <c r="AK58" s="157">
        <f>AI58*AJ58</f>
        <v>6375.0637204078103</v>
      </c>
      <c r="AL58" s="157"/>
      <c r="AM58" s="157"/>
      <c r="AN58" s="721"/>
      <c r="AO58" s="783" t="s">
        <v>370</v>
      </c>
      <c r="AP58" s="786"/>
      <c r="AQ58" s="785">
        <f>$AY$16</f>
        <v>30600.305857957486</v>
      </c>
      <c r="AR58" s="786">
        <f>BD69</f>
        <v>0.25</v>
      </c>
      <c r="AS58" s="787">
        <f>AQ58*AR58</f>
        <v>7650.0764644893716</v>
      </c>
      <c r="AT58" s="787"/>
      <c r="AU58" s="787"/>
      <c r="AV58" s="77"/>
      <c r="AW58" s="134" t="s">
        <v>273</v>
      </c>
      <c r="AX58" s="659"/>
      <c r="AY58" s="736">
        <f>'Bed Day Data'!CI33</f>
        <v>46207.013127049031</v>
      </c>
      <c r="AZ58" s="106"/>
      <c r="BA58" s="106"/>
      <c r="BB58" s="106"/>
      <c r="BC58" s="661"/>
      <c r="BD58" s="662"/>
    </row>
    <row r="59" spans="1:56" s="133" customFormat="1" x14ac:dyDescent="0.2">
      <c r="A59" s="138" t="s">
        <v>277</v>
      </c>
      <c r="B59" s="138"/>
      <c r="C59" s="388"/>
      <c r="D59" s="140">
        <f>SUM(D55:D58)</f>
        <v>1.5842307692307693</v>
      </c>
      <c r="E59" s="139">
        <f>SUM(E55:E58)</f>
        <v>56393.760440992162</v>
      </c>
      <c r="F59" s="93"/>
      <c r="G59" s="93"/>
      <c r="H59"/>
      <c r="I59" s="138" t="s">
        <v>277</v>
      </c>
      <c r="J59" s="387"/>
      <c r="K59" s="388"/>
      <c r="L59" s="389">
        <f>SUM(L55:L58)</f>
        <v>2.2638461538461541</v>
      </c>
      <c r="M59" s="388">
        <f>SUM(M55:M58)</f>
        <v>77510.573185073721</v>
      </c>
      <c r="N59" s="369"/>
      <c r="O59" s="369"/>
      <c r="P59" s="721"/>
      <c r="Q59" s="387" t="s">
        <v>277</v>
      </c>
      <c r="R59" s="387"/>
      <c r="S59" s="388"/>
      <c r="T59" s="389">
        <f>SUM(T55:T58)</f>
        <v>2.8470512820512823</v>
      </c>
      <c r="U59" s="388">
        <f>SUM(U55:U58)</f>
        <v>95637.155831522672</v>
      </c>
      <c r="V59" s="369"/>
      <c r="W59" s="369"/>
      <c r="X59" s="71"/>
      <c r="Y59" s="387" t="s">
        <v>277</v>
      </c>
      <c r="Z59" s="387"/>
      <c r="AA59" s="388"/>
      <c r="AB59" s="389">
        <f>SUM(AB55:AB58)</f>
        <v>3.606410256410256</v>
      </c>
      <c r="AC59" s="139">
        <f>SUM(AC55:AC58)</f>
        <v>119234.19357560424</v>
      </c>
      <c r="AD59" s="93"/>
      <c r="AE59" s="93"/>
      <c r="AF59"/>
      <c r="AG59" s="387" t="s">
        <v>277</v>
      </c>
      <c r="AH59" s="387"/>
      <c r="AI59" s="388"/>
      <c r="AJ59" s="389">
        <f>SUM(AJ55:AJ58)</f>
        <v>4.4455128205128203</v>
      </c>
      <c r="AK59" s="388">
        <f>SUM(AK55:AK58)</f>
        <v>145311.45631968579</v>
      </c>
      <c r="AL59" s="369"/>
      <c r="AM59" s="369"/>
      <c r="AN59" s="721"/>
      <c r="AO59" s="789" t="s">
        <v>277</v>
      </c>
      <c r="AP59" s="789"/>
      <c r="AQ59" s="790"/>
      <c r="AR59" s="791">
        <f>SUM(AR55:AR58)</f>
        <v>5.2846153846153845</v>
      </c>
      <c r="AS59" s="790">
        <f>SUM(AS55:AS58)</f>
        <v>171388.71906376735</v>
      </c>
      <c r="AT59" s="792"/>
      <c r="AU59" s="792"/>
      <c r="AV59" s="77"/>
      <c r="AW59" s="137" t="s">
        <v>275</v>
      </c>
      <c r="AX59" s="661"/>
      <c r="AY59" s="736">
        <f>'Bed Day Data'!CJ33</f>
        <v>27744.002708861237</v>
      </c>
      <c r="AZ59" s="106"/>
      <c r="BA59" s="106"/>
      <c r="BB59" s="106"/>
      <c r="BC59" s="661"/>
      <c r="BD59" s="662"/>
    </row>
    <row r="60" spans="1:56" s="75" customFormat="1" x14ac:dyDescent="0.2">
      <c r="A60" s="106"/>
      <c r="B60" s="106"/>
      <c r="C60" s="369"/>
      <c r="D60" s="141"/>
      <c r="E60" s="93"/>
      <c r="F60" s="93"/>
      <c r="G60" s="93"/>
      <c r="H60"/>
      <c r="I60" s="106"/>
      <c r="J60" s="198"/>
      <c r="K60" s="369"/>
      <c r="L60" s="390"/>
      <c r="M60" s="369"/>
      <c r="N60" s="369"/>
      <c r="O60" s="369"/>
      <c r="P60" s="721"/>
      <c r="Q60" s="198"/>
      <c r="R60" s="198"/>
      <c r="S60" s="369"/>
      <c r="T60" s="390"/>
      <c r="U60" s="369"/>
      <c r="V60" s="369"/>
      <c r="W60" s="369"/>
      <c r="X60" s="71"/>
      <c r="Y60" s="198"/>
      <c r="Z60" s="198"/>
      <c r="AA60" s="369"/>
      <c r="AB60" s="390"/>
      <c r="AC60" s="93"/>
      <c r="AD60" s="93"/>
      <c r="AE60" s="93"/>
      <c r="AF60"/>
      <c r="AG60" s="198"/>
      <c r="AH60" s="198"/>
      <c r="AI60" s="369"/>
      <c r="AJ60" s="390"/>
      <c r="AK60" s="369"/>
      <c r="AL60" s="369"/>
      <c r="AM60" s="369"/>
      <c r="AN60" s="721"/>
      <c r="AO60" s="766"/>
      <c r="AP60" s="766"/>
      <c r="AQ60" s="792"/>
      <c r="AR60" s="793"/>
      <c r="AS60" s="792"/>
      <c r="AT60" s="792"/>
      <c r="AU60" s="792"/>
      <c r="AV60" s="93"/>
      <c r="AW60" s="134" t="s">
        <v>370</v>
      </c>
      <c r="AX60" s="659"/>
      <c r="AY60" s="736">
        <f>'Bed Day Data'!CK33</f>
        <v>28436.46818075121</v>
      </c>
      <c r="AZ60" s="106"/>
      <c r="BA60" s="106"/>
      <c r="BB60" s="106"/>
      <c r="BC60" s="659"/>
      <c r="BD60" s="660"/>
    </row>
    <row r="61" spans="1:56" s="101" customFormat="1" x14ac:dyDescent="0.2">
      <c r="A61" s="111" t="s">
        <v>278</v>
      </c>
      <c r="B61" s="111"/>
      <c r="C61" s="392"/>
      <c r="D61" s="113" t="s">
        <v>279</v>
      </c>
      <c r="E61" s="112"/>
      <c r="F61" s="112"/>
      <c r="G61" s="112"/>
      <c r="H61"/>
      <c r="I61" s="111" t="s">
        <v>278</v>
      </c>
      <c r="J61" s="391"/>
      <c r="K61" s="392"/>
      <c r="L61" s="393" t="s">
        <v>279</v>
      </c>
      <c r="M61" s="392"/>
      <c r="N61" s="392"/>
      <c r="O61" s="392"/>
      <c r="P61" s="721"/>
      <c r="Q61" s="391" t="s">
        <v>278</v>
      </c>
      <c r="R61" s="391"/>
      <c r="S61" s="392"/>
      <c r="T61" s="393" t="s">
        <v>279</v>
      </c>
      <c r="U61" s="392"/>
      <c r="V61" s="392"/>
      <c r="W61" s="392"/>
      <c r="X61" s="71"/>
      <c r="Y61" s="391" t="s">
        <v>278</v>
      </c>
      <c r="Z61" s="391"/>
      <c r="AA61" s="392"/>
      <c r="AB61" s="393" t="s">
        <v>279</v>
      </c>
      <c r="AC61" s="112"/>
      <c r="AD61" s="112"/>
      <c r="AE61" s="112"/>
      <c r="AF61"/>
      <c r="AG61" s="391" t="s">
        <v>278</v>
      </c>
      <c r="AH61" s="391"/>
      <c r="AI61" s="392"/>
      <c r="AJ61" s="393" t="s">
        <v>279</v>
      </c>
      <c r="AK61" s="392"/>
      <c r="AL61" s="392"/>
      <c r="AM61" s="392"/>
      <c r="AN61" s="721"/>
      <c r="AO61" s="794" t="s">
        <v>278</v>
      </c>
      <c r="AP61" s="794"/>
      <c r="AQ61" s="795"/>
      <c r="AR61" s="796" t="s">
        <v>279</v>
      </c>
      <c r="AS61" s="795"/>
      <c r="AT61" s="795"/>
      <c r="AU61" s="795"/>
      <c r="AV61" s="93"/>
      <c r="AW61" s="663"/>
      <c r="AX61" s="659"/>
      <c r="AY61" s="205"/>
      <c r="AZ61" s="242"/>
      <c r="BA61" s="242"/>
      <c r="BB61" s="242"/>
      <c r="BC61" s="106"/>
      <c r="BD61" s="107"/>
    </row>
    <row r="62" spans="1:56" s="101" customFormat="1" x14ac:dyDescent="0.2">
      <c r="A62" s="143" t="s">
        <v>280</v>
      </c>
      <c r="B62" s="144"/>
      <c r="C62" s="160">
        <f>$AY$32</f>
        <v>0.25578770213785851</v>
      </c>
      <c r="D62" s="145"/>
      <c r="E62" s="75">
        <f>C62*E59</f>
        <v>14424.830398114251</v>
      </c>
      <c r="F62" s="123"/>
      <c r="G62" s="123"/>
      <c r="H62"/>
      <c r="I62" s="143" t="s">
        <v>280</v>
      </c>
      <c r="J62" s="144"/>
      <c r="K62" s="160">
        <f>$AY$32</f>
        <v>0.25578770213785851</v>
      </c>
      <c r="L62" s="395"/>
      <c r="M62" s="157">
        <f>K62*M59</f>
        <v>19826.251406398318</v>
      </c>
      <c r="N62" s="382"/>
      <c r="O62" s="382"/>
      <c r="P62" s="721"/>
      <c r="Q62" s="143" t="s">
        <v>280</v>
      </c>
      <c r="R62" s="144"/>
      <c r="S62" s="160">
        <f>$AY$32</f>
        <v>0.25578770213785851</v>
      </c>
      <c r="T62" s="395"/>
      <c r="U62" s="157">
        <f>S62*U59</f>
        <v>24462.808329145479</v>
      </c>
      <c r="V62" s="382"/>
      <c r="W62" s="382"/>
      <c r="X62" s="144"/>
      <c r="Y62" s="143" t="s">
        <v>280</v>
      </c>
      <c r="Z62" s="144"/>
      <c r="AA62" s="160">
        <f>$AY$32</f>
        <v>0.25578770213785851</v>
      </c>
      <c r="AB62" s="395"/>
      <c r="AC62" s="75">
        <f>AA62*AC59</f>
        <v>30498.640390964418</v>
      </c>
      <c r="AD62" s="123"/>
      <c r="AE62" s="123"/>
      <c r="AF62"/>
      <c r="AG62" s="143" t="s">
        <v>280</v>
      </c>
      <c r="AH62" s="144"/>
      <c r="AI62" s="160">
        <f>$AY$32</f>
        <v>0.25578770213785851</v>
      </c>
      <c r="AJ62" s="395"/>
      <c r="AK62" s="157">
        <f>AI62*AK59</f>
        <v>37168.883506318227</v>
      </c>
      <c r="AL62" s="382"/>
      <c r="AM62" s="382"/>
      <c r="AN62" s="721"/>
      <c r="AO62" s="764" t="s">
        <v>280</v>
      </c>
      <c r="AP62" s="768"/>
      <c r="AQ62" s="797">
        <f>$AY$32</f>
        <v>0.25578770213785851</v>
      </c>
      <c r="AR62" s="798"/>
      <c r="AS62" s="787">
        <f>AQ62*AS59</f>
        <v>43839.126621672032</v>
      </c>
      <c r="AT62" s="785"/>
      <c r="AU62" s="785"/>
      <c r="AV62" s="114"/>
      <c r="AW62" s="663"/>
      <c r="AX62" s="659"/>
      <c r="AY62" s="664" t="s">
        <v>270</v>
      </c>
      <c r="AZ62" s="664"/>
      <c r="BA62" s="664"/>
      <c r="BB62" s="664"/>
      <c r="BC62" s="664"/>
      <c r="BD62" s="665"/>
    </row>
    <row r="63" spans="1:56" s="101" customFormat="1" x14ac:dyDescent="0.2">
      <c r="A63" s="149" t="s">
        <v>282</v>
      </c>
      <c r="B63" s="149"/>
      <c r="C63" s="398"/>
      <c r="D63" s="151">
        <f>E63/E51</f>
        <v>24.252942068187128</v>
      </c>
      <c r="E63" s="152">
        <f>E62+E59</f>
        <v>70818.590839106415</v>
      </c>
      <c r="F63" s="77"/>
      <c r="G63" s="77"/>
      <c r="H63"/>
      <c r="I63" s="149" t="s">
        <v>282</v>
      </c>
      <c r="J63" s="397"/>
      <c r="K63" s="398"/>
      <c r="L63" s="151">
        <f>M63/M51</f>
        <v>22.223019313121473</v>
      </c>
      <c r="M63" s="399">
        <f>M62+M59</f>
        <v>97336.824591472046</v>
      </c>
      <c r="N63" s="158"/>
      <c r="O63" s="158"/>
      <c r="P63" s="721"/>
      <c r="Q63" s="397" t="s">
        <v>282</v>
      </c>
      <c r="R63" s="397"/>
      <c r="S63" s="398"/>
      <c r="T63" s="151">
        <f>U63/U51</f>
        <v>21.228451464545852</v>
      </c>
      <c r="U63" s="399">
        <f>U62+U59</f>
        <v>120099.96416066815</v>
      </c>
      <c r="V63" s="158"/>
      <c r="W63" s="158"/>
      <c r="X63" s="143"/>
      <c r="Y63" s="397" t="s">
        <v>282</v>
      </c>
      <c r="Z63" s="397"/>
      <c r="AA63" s="398"/>
      <c r="AB63" s="151">
        <f>AC63/AC51</f>
        <v>20.511347118708038</v>
      </c>
      <c r="AC63" s="152">
        <f>AC62+AC59</f>
        <v>149732.83396656867</v>
      </c>
      <c r="AD63" s="77"/>
      <c r="AE63" s="77"/>
      <c r="AF63"/>
      <c r="AG63" s="397" t="s">
        <v>282</v>
      </c>
      <c r="AH63" s="397"/>
      <c r="AI63" s="398"/>
      <c r="AJ63" s="151">
        <f>AK63/AK51</f>
        <v>19.997845460384003</v>
      </c>
      <c r="AK63" s="399">
        <f>AK62+AK59</f>
        <v>182480.33982600403</v>
      </c>
      <c r="AL63" s="158"/>
      <c r="AM63" s="158"/>
      <c r="AN63" s="721"/>
      <c r="AO63" s="799" t="s">
        <v>282</v>
      </c>
      <c r="AP63" s="799"/>
      <c r="AQ63" s="800"/>
      <c r="AR63" s="801">
        <f>AS63/AS51</f>
        <v>19.655511021501315</v>
      </c>
      <c r="AS63" s="802">
        <f>AS62+AS59</f>
        <v>215227.84568543939</v>
      </c>
      <c r="AT63" s="803"/>
      <c r="AU63" s="803"/>
      <c r="AV63" s="146"/>
      <c r="AW63" s="147"/>
      <c r="AX63" s="666" t="s">
        <v>281</v>
      </c>
      <c r="AY63" s="268">
        <v>8</v>
      </c>
      <c r="AZ63" s="268">
        <v>12</v>
      </c>
      <c r="BA63" s="268">
        <v>15.5</v>
      </c>
      <c r="BB63" s="268">
        <v>20</v>
      </c>
      <c r="BC63" s="264">
        <v>25</v>
      </c>
      <c r="BD63" s="265">
        <v>30</v>
      </c>
    </row>
    <row r="64" spans="1:56" s="78" customFormat="1" x14ac:dyDescent="0.2">
      <c r="A64" s="72"/>
      <c r="B64" s="72"/>
      <c r="C64" s="157"/>
      <c r="D64" s="76"/>
      <c r="E64" s="75"/>
      <c r="F64" s="75"/>
      <c r="G64" s="75"/>
      <c r="H64"/>
      <c r="I64" s="72"/>
      <c r="J64" s="143"/>
      <c r="K64" s="157"/>
      <c r="L64" s="365"/>
      <c r="M64" s="157"/>
      <c r="N64" s="157"/>
      <c r="O64" s="157"/>
      <c r="P64" s="721"/>
      <c r="Q64" s="143"/>
      <c r="R64" s="143"/>
      <c r="S64" s="157"/>
      <c r="T64" s="365"/>
      <c r="U64" s="157"/>
      <c r="V64" s="157"/>
      <c r="W64" s="157"/>
      <c r="X64" s="143"/>
      <c r="Y64" s="143"/>
      <c r="Z64" s="143"/>
      <c r="AA64" s="157"/>
      <c r="AB64" s="365"/>
      <c r="AC64" s="75"/>
      <c r="AD64" s="75"/>
      <c r="AE64" s="75"/>
      <c r="AF64"/>
      <c r="AG64" s="143"/>
      <c r="AH64" s="143"/>
      <c r="AI64" s="157"/>
      <c r="AJ64" s="365"/>
      <c r="AK64" s="157"/>
      <c r="AL64" s="157"/>
      <c r="AM64" s="157"/>
      <c r="AN64" s="721"/>
      <c r="AO64" s="764"/>
      <c r="AP64" s="764"/>
      <c r="AQ64" s="787"/>
      <c r="AR64" s="804"/>
      <c r="AS64" s="787"/>
      <c r="AT64" s="787"/>
      <c r="AU64" s="787"/>
      <c r="AV64" s="77"/>
      <c r="AW64" s="134" t="s">
        <v>272</v>
      </c>
      <c r="AX64" s="659"/>
      <c r="AY64" s="667">
        <v>0.25</v>
      </c>
      <c r="AZ64" s="667">
        <v>0.25</v>
      </c>
      <c r="BA64" s="667">
        <v>0.25</v>
      </c>
      <c r="BB64" s="667">
        <v>0.25</v>
      </c>
      <c r="BC64" s="667">
        <v>0.25</v>
      </c>
      <c r="BD64" s="668">
        <v>0.25</v>
      </c>
    </row>
    <row r="65" spans="1:56" s="72" customFormat="1" x14ac:dyDescent="0.2">
      <c r="A65" s="72" t="s">
        <v>91</v>
      </c>
      <c r="C65" s="75"/>
      <c r="D65" s="124">
        <f>AY78</f>
        <v>33.069173881278537</v>
      </c>
      <c r="E65" s="75">
        <f>D65*E$7</f>
        <v>96561.987733333328</v>
      </c>
      <c r="F65" s="156"/>
      <c r="G65" s="156"/>
      <c r="H65"/>
      <c r="I65" s="72" t="s">
        <v>91</v>
      </c>
      <c r="J65" s="143"/>
      <c r="K65" s="157"/>
      <c r="L65" s="124">
        <f>AY78</f>
        <v>33.069173881278537</v>
      </c>
      <c r="M65" s="157">
        <f>L65*M$51</f>
        <v>144842.9816</v>
      </c>
      <c r="N65" s="400"/>
      <c r="O65" s="400"/>
      <c r="P65" s="721"/>
      <c r="Q65" s="143" t="s">
        <v>91</v>
      </c>
      <c r="R65" s="143"/>
      <c r="S65" s="157"/>
      <c r="T65" s="124">
        <f>AY78</f>
        <v>33.069173881278537</v>
      </c>
      <c r="U65" s="157">
        <f>T65*U$7</f>
        <v>187088.85123333332</v>
      </c>
      <c r="V65" s="400"/>
      <c r="W65" s="400"/>
      <c r="X65" s="143"/>
      <c r="Y65" s="143" t="s">
        <v>91</v>
      </c>
      <c r="Z65" s="143"/>
      <c r="AA65" s="157"/>
      <c r="AB65" s="124">
        <f>AY78</f>
        <v>33.069173881278537</v>
      </c>
      <c r="AC65" s="75">
        <f>AB65*AC$7</f>
        <v>241404.96933333331</v>
      </c>
      <c r="AD65" s="156"/>
      <c r="AE65" s="156"/>
      <c r="AF65"/>
      <c r="AG65" s="143" t="s">
        <v>91</v>
      </c>
      <c r="AH65" s="143"/>
      <c r="AI65" s="157"/>
      <c r="AJ65" s="124">
        <f>AY78</f>
        <v>33.069173881278537</v>
      </c>
      <c r="AK65" s="157">
        <f>AJ65*AK51</f>
        <v>301756.21166666667</v>
      </c>
      <c r="AL65" s="400"/>
      <c r="AM65" s="400"/>
      <c r="AN65" s="721"/>
      <c r="AO65" s="764" t="s">
        <v>91</v>
      </c>
      <c r="AP65" s="764"/>
      <c r="AQ65" s="787"/>
      <c r="AR65" s="786">
        <f>AY78</f>
        <v>33.069173881278537</v>
      </c>
      <c r="AS65" s="787">
        <f>AR65*AS51</f>
        <v>362107.45399999997</v>
      </c>
      <c r="AT65" s="805"/>
      <c r="AU65" s="805"/>
      <c r="AV65" s="77"/>
      <c r="AW65" s="134" t="s">
        <v>273</v>
      </c>
      <c r="AX65" s="659"/>
      <c r="AY65" s="667">
        <v>0</v>
      </c>
      <c r="AZ65" s="667">
        <v>0</v>
      </c>
      <c r="BA65" s="667">
        <v>0</v>
      </c>
      <c r="BB65" s="667">
        <v>0</v>
      </c>
      <c r="BC65" s="667">
        <v>0</v>
      </c>
      <c r="BD65" s="669">
        <v>0</v>
      </c>
    </row>
    <row r="66" spans="1:56" s="72" customFormat="1" x14ac:dyDescent="0.2">
      <c r="C66" s="75"/>
      <c r="D66" s="124"/>
      <c r="E66" s="157"/>
      <c r="F66" s="157"/>
      <c r="G66" s="157"/>
      <c r="H66"/>
      <c r="J66" s="143"/>
      <c r="K66" s="157"/>
      <c r="L66" s="124"/>
      <c r="M66" s="157"/>
      <c r="N66" s="157"/>
      <c r="O66" s="157"/>
      <c r="P66" s="721"/>
      <c r="Q66" s="143"/>
      <c r="R66" s="143"/>
      <c r="S66" s="157"/>
      <c r="T66" s="124"/>
      <c r="U66" s="157"/>
      <c r="V66" s="157"/>
      <c r="W66" s="157"/>
      <c r="X66" s="143"/>
      <c r="Y66" s="143"/>
      <c r="Z66" s="143"/>
      <c r="AA66" s="157"/>
      <c r="AB66" s="124"/>
      <c r="AC66" s="157"/>
      <c r="AD66" s="157"/>
      <c r="AE66" s="157"/>
      <c r="AF66"/>
      <c r="AG66" s="143"/>
      <c r="AH66" s="143"/>
      <c r="AI66" s="157"/>
      <c r="AJ66" s="124"/>
      <c r="AK66" s="157"/>
      <c r="AL66" s="157"/>
      <c r="AM66" s="157"/>
      <c r="AN66" s="721"/>
      <c r="AO66" s="764"/>
      <c r="AP66" s="764"/>
      <c r="AQ66" s="787"/>
      <c r="AR66" s="786"/>
      <c r="AS66" s="787"/>
      <c r="AT66" s="787"/>
      <c r="AU66" s="787"/>
      <c r="AV66" s="77"/>
      <c r="AW66" s="663"/>
      <c r="AX66" s="659"/>
      <c r="AY66" s="667"/>
      <c r="AZ66" s="651"/>
      <c r="BA66" s="651"/>
      <c r="BB66" s="651"/>
      <c r="BC66" s="651"/>
      <c r="BD66" s="670"/>
    </row>
    <row r="67" spans="1:56" s="72" customFormat="1" x14ac:dyDescent="0.2">
      <c r="A67" s="72" t="s">
        <v>283</v>
      </c>
      <c r="C67" s="75"/>
      <c r="D67" s="124">
        <f>$AY82</f>
        <v>16.772324588891873</v>
      </c>
      <c r="E67" s="75">
        <f>D67*E$7</f>
        <v>48975.187799564272</v>
      </c>
      <c r="F67" s="75"/>
      <c r="G67" s="75"/>
      <c r="H67"/>
      <c r="I67" s="72" t="s">
        <v>283</v>
      </c>
      <c r="J67" s="143"/>
      <c r="K67" s="157"/>
      <c r="L67" s="124">
        <f>$AY82</f>
        <v>16.772324588891873</v>
      </c>
      <c r="M67" s="157">
        <f>L67*M$7</f>
        <v>73462.781699346408</v>
      </c>
      <c r="N67" s="157"/>
      <c r="O67" s="157"/>
      <c r="P67" s="721"/>
      <c r="Q67" s="143" t="s">
        <v>283</v>
      </c>
      <c r="R67" s="143"/>
      <c r="S67" s="157"/>
      <c r="T67" s="124">
        <f>$AY82</f>
        <v>16.772324588891873</v>
      </c>
      <c r="U67" s="157">
        <f>T67*U$7</f>
        <v>94889.426361655773</v>
      </c>
      <c r="V67" s="157"/>
      <c r="W67" s="157"/>
      <c r="X67" s="143"/>
      <c r="Y67" s="143" t="s">
        <v>283</v>
      </c>
      <c r="Z67" s="143"/>
      <c r="AA67" s="157"/>
      <c r="AB67" s="124">
        <f>$AY82</f>
        <v>16.772324588891873</v>
      </c>
      <c r="AC67" s="75">
        <f>AB67*AC$7</f>
        <v>122437.96949891068</v>
      </c>
      <c r="AD67" s="75"/>
      <c r="AE67" s="75"/>
      <c r="AF67"/>
      <c r="AG67" s="143" t="s">
        <v>283</v>
      </c>
      <c r="AH67" s="143"/>
      <c r="AI67" s="157"/>
      <c r="AJ67" s="124">
        <f>$AY82</f>
        <v>16.772324588891873</v>
      </c>
      <c r="AK67" s="157">
        <f>AJ67*AK51</f>
        <v>153047.46187363836</v>
      </c>
      <c r="AL67" s="157"/>
      <c r="AM67" s="157"/>
      <c r="AN67" s="721"/>
      <c r="AO67" s="764" t="s">
        <v>283</v>
      </c>
      <c r="AP67" s="764"/>
      <c r="AQ67" s="787"/>
      <c r="AR67" s="786">
        <f>$AY82</f>
        <v>16.772324588891873</v>
      </c>
      <c r="AS67" s="787">
        <f>AR67*AS51</f>
        <v>183656.954248366</v>
      </c>
      <c r="AT67" s="787"/>
      <c r="AU67" s="787"/>
      <c r="AV67" s="158"/>
      <c r="AW67" s="134" t="s">
        <v>370</v>
      </c>
      <c r="AX67" s="659"/>
      <c r="AY67" s="667"/>
      <c r="AZ67" s="651"/>
      <c r="BA67" s="651"/>
      <c r="BB67" s="651"/>
      <c r="BC67" s="651"/>
      <c r="BD67" s="670"/>
    </row>
    <row r="68" spans="1:56" s="72" customFormat="1" x14ac:dyDescent="0.2">
      <c r="C68" s="75"/>
      <c r="D68" s="159">
        <f>SUM(D65:D67)</f>
        <v>49.841498470170407</v>
      </c>
      <c r="E68" s="75"/>
      <c r="F68" s="75"/>
      <c r="G68" s="75"/>
      <c r="H68"/>
      <c r="J68" s="143"/>
      <c r="K68" s="157"/>
      <c r="L68" s="159">
        <f>SUM(L65:L67)</f>
        <v>49.841498470170407</v>
      </c>
      <c r="M68" s="157"/>
      <c r="N68" s="157"/>
      <c r="O68" s="157"/>
      <c r="P68" s="721"/>
      <c r="Q68" s="143"/>
      <c r="R68" s="143"/>
      <c r="S68" s="157"/>
      <c r="T68" s="159">
        <f>SUM(T65:T67)</f>
        <v>49.841498470170407</v>
      </c>
      <c r="U68" s="157"/>
      <c r="V68" s="157"/>
      <c r="W68" s="157"/>
      <c r="X68" s="143"/>
      <c r="Y68" s="143"/>
      <c r="Z68" s="143"/>
      <c r="AA68" s="157"/>
      <c r="AB68" s="159">
        <f>SUM(AB65:AB67)</f>
        <v>49.841498470170407</v>
      </c>
      <c r="AC68" s="75"/>
      <c r="AD68" s="75"/>
      <c r="AE68" s="75"/>
      <c r="AF68"/>
      <c r="AG68" s="143"/>
      <c r="AH68" s="143"/>
      <c r="AI68" s="157"/>
      <c r="AJ68" s="159">
        <f>SUM(AJ65:AJ67)</f>
        <v>49.841498470170407</v>
      </c>
      <c r="AK68" s="157"/>
      <c r="AL68" s="157"/>
      <c r="AM68" s="157"/>
      <c r="AN68" s="721"/>
      <c r="AO68" s="764"/>
      <c r="AP68" s="764"/>
      <c r="AQ68" s="787"/>
      <c r="AR68" s="806">
        <f>SUM(AR65:AR67)</f>
        <v>49.841498470170407</v>
      </c>
      <c r="AS68" s="787"/>
      <c r="AT68" s="787"/>
      <c r="AU68" s="787"/>
      <c r="AV68" s="77"/>
      <c r="AW68" s="663" t="s">
        <v>284</v>
      </c>
      <c r="AX68" s="659"/>
      <c r="AY68" s="671">
        <f>(0.75*7)/12</f>
        <v>0.4375</v>
      </c>
      <c r="AZ68" s="671">
        <f>(0.75*8)/12</f>
        <v>0.5</v>
      </c>
      <c r="BA68" s="671">
        <v>0.75</v>
      </c>
      <c r="BB68" s="671">
        <f>(0.75*20)/12</f>
        <v>1.25</v>
      </c>
      <c r="BC68" s="671">
        <f>(0.75*25)/12</f>
        <v>1.5625</v>
      </c>
      <c r="BD68" s="672">
        <f>(0.75*30)/12</f>
        <v>1.875</v>
      </c>
    </row>
    <row r="69" spans="1:56" s="72" customFormat="1" x14ac:dyDescent="0.2">
      <c r="A69" s="138" t="s">
        <v>371</v>
      </c>
      <c r="B69" s="138"/>
      <c r="C69" s="139"/>
      <c r="D69" s="140"/>
      <c r="E69" s="139">
        <f>SUM(E63:E67)</f>
        <v>216355.766372004</v>
      </c>
      <c r="F69" s="93"/>
      <c r="G69" s="93"/>
      <c r="H69"/>
      <c r="I69" s="138" t="s">
        <v>371</v>
      </c>
      <c r="J69" s="138"/>
      <c r="K69" s="139"/>
      <c r="L69" s="140"/>
      <c r="M69" s="139">
        <f>SUM(M63:M67)</f>
        <v>315642.58789081848</v>
      </c>
      <c r="N69" s="93"/>
      <c r="O69" s="93"/>
      <c r="P69"/>
      <c r="Q69" s="138" t="s">
        <v>371</v>
      </c>
      <c r="R69" s="138"/>
      <c r="S69" s="139"/>
      <c r="T69" s="140"/>
      <c r="U69" s="139">
        <f>SUM(U63:U67)</f>
        <v>402078.24175565725</v>
      </c>
      <c r="V69" s="93"/>
      <c r="W69" s="93"/>
      <c r="Y69" s="138" t="s">
        <v>371</v>
      </c>
      <c r="Z69" s="138"/>
      <c r="AA69" s="139"/>
      <c r="AB69" s="140"/>
      <c r="AC69" s="139">
        <f>SUM(AC63:AC67)</f>
        <v>513575.77279881272</v>
      </c>
      <c r="AD69" s="93"/>
      <c r="AE69" s="93"/>
      <c r="AF69"/>
      <c r="AG69" s="387" t="s">
        <v>371</v>
      </c>
      <c r="AH69" s="387"/>
      <c r="AI69" s="388"/>
      <c r="AJ69" s="389"/>
      <c r="AK69" s="388">
        <f>SUM(AK63:AK67)</f>
        <v>637284.01336630899</v>
      </c>
      <c r="AL69" s="369"/>
      <c r="AM69" s="369"/>
      <c r="AN69" s="721"/>
      <c r="AO69" s="789" t="s">
        <v>371</v>
      </c>
      <c r="AP69" s="789"/>
      <c r="AQ69" s="790"/>
      <c r="AR69" s="791"/>
      <c r="AS69" s="790">
        <f>SUM(AS63:AS67)</f>
        <v>760992.25393380527</v>
      </c>
      <c r="AT69" s="792"/>
      <c r="AU69" s="792"/>
      <c r="AV69" s="77"/>
      <c r="AW69" s="663" t="s">
        <v>285</v>
      </c>
      <c r="AX69" s="659"/>
      <c r="AY69" s="671">
        <f>(0.075*7)/9</f>
        <v>5.8333333333333334E-2</v>
      </c>
      <c r="AZ69" s="671">
        <f>(0.075*12)/9</f>
        <v>9.9999999999999992E-2</v>
      </c>
      <c r="BA69" s="671">
        <f>(0.075*15)/9</f>
        <v>0.125</v>
      </c>
      <c r="BB69" s="671">
        <f>(0.075*20)/9</f>
        <v>0.16666666666666666</v>
      </c>
      <c r="BC69" s="671">
        <f>(0.075*25)/9</f>
        <v>0.20833333333333334</v>
      </c>
      <c r="BD69" s="672">
        <f>(0.075*30)/9</f>
        <v>0.25</v>
      </c>
    </row>
    <row r="70" spans="1:56" s="72" customFormat="1" x14ac:dyDescent="0.2">
      <c r="A70" s="72" t="s">
        <v>286</v>
      </c>
      <c r="C70" s="160" t="e">
        <f>$AY$41</f>
        <v>#REF!</v>
      </c>
      <c r="D70" s="132"/>
      <c r="E70" s="75" t="e">
        <f>C70*E69</f>
        <v>#REF!</v>
      </c>
      <c r="F70" s="158"/>
      <c r="G70" s="158"/>
      <c r="H70"/>
      <c r="I70" s="72" t="s">
        <v>286</v>
      </c>
      <c r="K70" s="160" t="e">
        <f>$AY$41</f>
        <v>#REF!</v>
      </c>
      <c r="L70" s="132"/>
      <c r="M70" s="75" t="e">
        <f>K70*M69</f>
        <v>#REF!</v>
      </c>
      <c r="N70" s="158"/>
      <c r="O70" s="158"/>
      <c r="P70"/>
      <c r="Q70" s="72" t="s">
        <v>286</v>
      </c>
      <c r="S70" s="160" t="e">
        <f>$AY$41</f>
        <v>#REF!</v>
      </c>
      <c r="T70" s="132"/>
      <c r="U70" s="75" t="e">
        <f>S70*U69</f>
        <v>#REF!</v>
      </c>
      <c r="V70" s="158"/>
      <c r="W70" s="158"/>
      <c r="Y70" s="72" t="s">
        <v>286</v>
      </c>
      <c r="AA70" s="160" t="e">
        <f>$AY$41</f>
        <v>#REF!</v>
      </c>
      <c r="AB70" s="132"/>
      <c r="AC70" s="75" t="e">
        <f>AA70*AC69</f>
        <v>#REF!</v>
      </c>
      <c r="AD70" s="158"/>
      <c r="AE70" s="158"/>
      <c r="AF70"/>
      <c r="AG70" s="143" t="s">
        <v>286</v>
      </c>
      <c r="AH70" s="143"/>
      <c r="AI70" s="160" t="e">
        <f>$AY$41</f>
        <v>#REF!</v>
      </c>
      <c r="AJ70" s="124"/>
      <c r="AK70" s="157" t="e">
        <f>AI70*AK69</f>
        <v>#REF!</v>
      </c>
      <c r="AL70" s="158"/>
      <c r="AM70" s="158"/>
      <c r="AN70" s="721"/>
      <c r="AO70" s="764" t="s">
        <v>286</v>
      </c>
      <c r="AP70" s="764"/>
      <c r="AQ70" s="797" t="e">
        <f>$AY$41</f>
        <v>#REF!</v>
      </c>
      <c r="AR70" s="786"/>
      <c r="AS70" s="787" t="e">
        <f>AQ70*AS69</f>
        <v>#REF!</v>
      </c>
      <c r="AT70" s="803"/>
      <c r="AU70" s="803"/>
      <c r="AV70" s="93"/>
      <c r="AW70" s="663"/>
      <c r="AX70" s="659"/>
      <c r="AY70" s="667"/>
      <c r="AZ70" s="198"/>
      <c r="BA70" s="198"/>
      <c r="BB70" s="198"/>
      <c r="BC70" s="651"/>
      <c r="BD70" s="670"/>
    </row>
    <row r="71" spans="1:56" s="72" customFormat="1" ht="15" thickBot="1" x14ac:dyDescent="0.25">
      <c r="A71" s="161" t="s">
        <v>288</v>
      </c>
      <c r="B71" s="161"/>
      <c r="C71" s="162"/>
      <c r="D71" s="163"/>
      <c r="E71" s="164" t="e">
        <f>SUM(E69:E70)</f>
        <v>#REF!</v>
      </c>
      <c r="F71" s="93"/>
      <c r="G71" s="93"/>
      <c r="H71"/>
      <c r="I71" s="161" t="s">
        <v>288</v>
      </c>
      <c r="J71" s="161"/>
      <c r="K71" s="162"/>
      <c r="L71" s="163"/>
      <c r="M71" s="164" t="e">
        <f>SUM(M69:M70)</f>
        <v>#REF!</v>
      </c>
      <c r="N71" s="93"/>
      <c r="O71" s="93"/>
      <c r="P71"/>
      <c r="Q71" s="161" t="s">
        <v>288</v>
      </c>
      <c r="R71" s="161"/>
      <c r="S71" s="162"/>
      <c r="T71" s="163"/>
      <c r="U71" s="164" t="e">
        <f>SUM(U69:U70)</f>
        <v>#REF!</v>
      </c>
      <c r="V71" s="93"/>
      <c r="W71" s="93"/>
      <c r="X71" s="101"/>
      <c r="Y71" s="161" t="s">
        <v>288</v>
      </c>
      <c r="Z71" s="161"/>
      <c r="AA71" s="162"/>
      <c r="AB71" s="163"/>
      <c r="AC71" s="164" t="e">
        <f>SUM(AC69:AC70)</f>
        <v>#REF!</v>
      </c>
      <c r="AD71" s="93"/>
      <c r="AE71" s="93"/>
      <c r="AF71"/>
      <c r="AG71" s="401" t="s">
        <v>288</v>
      </c>
      <c r="AH71" s="401"/>
      <c r="AI71" s="402"/>
      <c r="AJ71" s="403"/>
      <c r="AK71" s="404" t="e">
        <f>SUM(AK69:AK70)</f>
        <v>#REF!</v>
      </c>
      <c r="AL71" s="369"/>
      <c r="AM71" s="369"/>
      <c r="AN71" s="721"/>
      <c r="AO71" s="807" t="s">
        <v>288</v>
      </c>
      <c r="AP71" s="807"/>
      <c r="AQ71" s="808"/>
      <c r="AR71" s="809"/>
      <c r="AS71" s="810" t="e">
        <f>SUM(AS69:AS70)</f>
        <v>#REF!</v>
      </c>
      <c r="AT71" s="792"/>
      <c r="AU71" s="792"/>
      <c r="AV71" s="77"/>
      <c r="AW71" s="663"/>
      <c r="AX71" s="659"/>
      <c r="AY71" s="673" t="s">
        <v>287</v>
      </c>
      <c r="AZ71" s="673"/>
      <c r="BA71" s="673"/>
      <c r="BB71" s="673"/>
      <c r="BC71" s="673"/>
      <c r="BD71" s="674"/>
    </row>
    <row r="72" spans="1:56" s="72" customFormat="1" ht="15" thickTop="1" x14ac:dyDescent="0.2">
      <c r="A72" s="111"/>
      <c r="B72" s="111"/>
      <c r="C72" s="112"/>
      <c r="D72" s="165"/>
      <c r="E72" s="112"/>
      <c r="F72" s="112"/>
      <c r="G72" s="112"/>
      <c r="H72"/>
      <c r="I72" s="111"/>
      <c r="J72" s="111"/>
      <c r="K72" s="112"/>
      <c r="L72" s="165"/>
      <c r="M72" s="112"/>
      <c r="N72" s="112"/>
      <c r="O72" s="112"/>
      <c r="P72"/>
      <c r="Q72" s="111"/>
      <c r="R72" s="111"/>
      <c r="S72" s="112"/>
      <c r="T72" s="165"/>
      <c r="U72" s="112"/>
      <c r="V72" s="112"/>
      <c r="W72" s="112"/>
      <c r="X72" s="101"/>
      <c r="Y72" s="111"/>
      <c r="Z72" s="111"/>
      <c r="AA72" s="112"/>
      <c r="AB72" s="165"/>
      <c r="AC72" s="112"/>
      <c r="AD72" s="112"/>
      <c r="AE72" s="112"/>
      <c r="AF72"/>
      <c r="AG72" s="391"/>
      <c r="AH72" s="391"/>
      <c r="AI72" s="392"/>
      <c r="AJ72" s="405"/>
      <c r="AK72" s="392"/>
      <c r="AL72" s="392"/>
      <c r="AM72" s="392"/>
      <c r="AN72" s="721"/>
      <c r="AO72" s="794"/>
      <c r="AP72" s="794"/>
      <c r="AQ72" s="795"/>
      <c r="AR72" s="811"/>
      <c r="AS72" s="795"/>
      <c r="AT72" s="795"/>
      <c r="AU72" s="795"/>
      <c r="AV72" s="93"/>
      <c r="AW72" s="663"/>
      <c r="AX72" s="666" t="s">
        <v>281</v>
      </c>
      <c r="AY72" s="351">
        <v>8</v>
      </c>
      <c r="AZ72" s="351">
        <v>12</v>
      </c>
      <c r="BA72" s="351">
        <v>15.5</v>
      </c>
      <c r="BB72" s="351">
        <v>20</v>
      </c>
      <c r="BC72" s="352">
        <v>25</v>
      </c>
      <c r="BD72" s="353">
        <v>30</v>
      </c>
    </row>
    <row r="73" spans="1:56" s="101" customFormat="1" ht="15" customHeight="1" x14ac:dyDescent="0.2">
      <c r="A73" s="167" t="s">
        <v>289</v>
      </c>
      <c r="B73" s="167"/>
      <c r="C73" s="168"/>
      <c r="D73" s="168"/>
      <c r="E73" s="169" t="e">
        <f>E71/E51</f>
        <v>#REF!</v>
      </c>
      <c r="F73" s="170" t="s">
        <v>395</v>
      </c>
      <c r="G73" s="1128" t="s">
        <v>396</v>
      </c>
      <c r="H73"/>
      <c r="I73" s="167" t="s">
        <v>289</v>
      </c>
      <c r="J73" s="167"/>
      <c r="K73" s="168"/>
      <c r="L73" s="168"/>
      <c r="M73" s="169" t="e">
        <f>M71/M51</f>
        <v>#REF!</v>
      </c>
      <c r="N73" s="170" t="s">
        <v>395</v>
      </c>
      <c r="O73" s="1128" t="s">
        <v>396</v>
      </c>
      <c r="P73"/>
      <c r="Q73" s="167" t="s">
        <v>289</v>
      </c>
      <c r="R73" s="167"/>
      <c r="S73" s="168"/>
      <c r="T73" s="168"/>
      <c r="U73" s="169" t="e">
        <f>U71/U51</f>
        <v>#REF!</v>
      </c>
      <c r="V73" s="170" t="s">
        <v>395</v>
      </c>
      <c r="W73" s="1128" t="s">
        <v>396</v>
      </c>
      <c r="X73" s="170"/>
      <c r="Y73" s="167" t="s">
        <v>289</v>
      </c>
      <c r="Z73" s="167"/>
      <c r="AA73" s="168"/>
      <c r="AB73" s="168"/>
      <c r="AC73" s="169" t="e">
        <f>AC71/AC51</f>
        <v>#REF!</v>
      </c>
      <c r="AD73" s="170" t="s">
        <v>395</v>
      </c>
      <c r="AE73" s="1128" t="s">
        <v>396</v>
      </c>
      <c r="AF73"/>
      <c r="AG73" s="167" t="s">
        <v>289</v>
      </c>
      <c r="AH73" s="167"/>
      <c r="AI73" s="168"/>
      <c r="AJ73" s="168"/>
      <c r="AK73" s="169" t="e">
        <f>AK71/AK51</f>
        <v>#REF!</v>
      </c>
      <c r="AL73" s="170" t="s">
        <v>395</v>
      </c>
      <c r="AM73" s="1128" t="s">
        <v>396</v>
      </c>
      <c r="AN73"/>
      <c r="AO73" s="812" t="s">
        <v>289</v>
      </c>
      <c r="AP73" s="812"/>
      <c r="AQ73" s="813"/>
      <c r="AR73" s="813"/>
      <c r="AS73" s="814" t="e">
        <f>AS71/AS51</f>
        <v>#REF!</v>
      </c>
      <c r="AT73" s="815"/>
      <c r="AU73" s="1138" t="s">
        <v>395</v>
      </c>
      <c r="AV73" s="114"/>
      <c r="AW73" s="675" t="s">
        <v>275</v>
      </c>
      <c r="AX73" s="659"/>
      <c r="AY73" s="671">
        <v>7.5</v>
      </c>
      <c r="AZ73" s="671">
        <v>7.5</v>
      </c>
      <c r="BA73" s="671">
        <v>7.5</v>
      </c>
      <c r="BB73" s="671">
        <v>7.5</v>
      </c>
      <c r="BC73" s="671">
        <v>7.5</v>
      </c>
      <c r="BD73" s="672">
        <v>7.5</v>
      </c>
    </row>
    <row r="74" spans="1:56" s="101" customFormat="1" ht="15" thickBot="1" x14ac:dyDescent="0.25">
      <c r="A74" s="167" t="s">
        <v>290</v>
      </c>
      <c r="B74" s="167"/>
      <c r="C74" s="172">
        <f>$AZ$43</f>
        <v>4.4640068153077195E-2</v>
      </c>
      <c r="D74" s="168"/>
      <c r="E74" s="169"/>
      <c r="F74" s="73"/>
      <c r="G74" s="1137"/>
      <c r="H74"/>
      <c r="I74" s="167" t="s">
        <v>290</v>
      </c>
      <c r="J74" s="167"/>
      <c r="K74" s="172">
        <f>$AZ$43</f>
        <v>4.4640068153077195E-2</v>
      </c>
      <c r="L74" s="168"/>
      <c r="M74" s="169"/>
      <c r="N74" s="73"/>
      <c r="O74" s="1137"/>
      <c r="P74"/>
      <c r="Q74" s="167" t="s">
        <v>290</v>
      </c>
      <c r="R74" s="167"/>
      <c r="S74" s="172">
        <f>$AZ$43</f>
        <v>4.4640068153077195E-2</v>
      </c>
      <c r="T74" s="168"/>
      <c r="U74" s="169"/>
      <c r="V74" s="73"/>
      <c r="W74" s="1137"/>
      <c r="X74" s="170"/>
      <c r="Y74" s="167" t="s">
        <v>290</v>
      </c>
      <c r="Z74" s="167"/>
      <c r="AA74" s="172">
        <f>$AZ$43</f>
        <v>4.4640068153077195E-2</v>
      </c>
      <c r="AB74" s="168"/>
      <c r="AC74" s="169"/>
      <c r="AD74" s="73"/>
      <c r="AE74" s="1137"/>
      <c r="AF74"/>
      <c r="AG74" s="167" t="s">
        <v>290</v>
      </c>
      <c r="AH74" s="167"/>
      <c r="AI74" s="172">
        <f>$AZ$43</f>
        <v>4.4640068153077195E-2</v>
      </c>
      <c r="AJ74" s="168"/>
      <c r="AK74" s="169"/>
      <c r="AL74" s="73"/>
      <c r="AM74" s="1137"/>
      <c r="AN74"/>
      <c r="AO74" s="812" t="s">
        <v>290</v>
      </c>
      <c r="AP74" s="812"/>
      <c r="AQ74" s="816">
        <f>$AZ$43</f>
        <v>4.4640068153077195E-2</v>
      </c>
      <c r="AR74" s="813"/>
      <c r="AS74" s="814"/>
      <c r="AT74" s="767" t="s">
        <v>291</v>
      </c>
      <c r="AU74" s="1139"/>
      <c r="AV74" s="171"/>
      <c r="AW74" s="675"/>
      <c r="AX74" s="659"/>
      <c r="AY74" s="676"/>
      <c r="AZ74" s="242"/>
      <c r="BA74" s="242"/>
      <c r="BB74" s="242"/>
      <c r="BC74" s="106"/>
      <c r="BD74" s="107"/>
    </row>
    <row r="75" spans="1:56" s="170" customFormat="1" x14ac:dyDescent="0.2">
      <c r="A75" s="175" t="s">
        <v>292</v>
      </c>
      <c r="B75" s="130"/>
      <c r="C75" s="176">
        <v>0.9</v>
      </c>
      <c r="D75" s="82"/>
      <c r="E75" s="177" t="e">
        <f t="shared" ref="E75:E83" si="7">E$71/(E$51*C75)</f>
        <v>#REF!</v>
      </c>
      <c r="F75" s="178">
        <v>98.37</v>
      </c>
      <c r="G75" s="742" t="e">
        <f>F75*(#REF!+1)</f>
        <v>#REF!</v>
      </c>
      <c r="H75"/>
      <c r="I75" s="175" t="s">
        <v>292</v>
      </c>
      <c r="J75" s="130"/>
      <c r="K75" s="176">
        <v>0.9</v>
      </c>
      <c r="L75" s="82"/>
      <c r="M75" s="177" t="e">
        <f>M$71/(M$51*K75)</f>
        <v>#REF!</v>
      </c>
      <c r="N75" s="178">
        <v>95.68</v>
      </c>
      <c r="O75" s="742" t="e">
        <f>N75*(#REF!+1)</f>
        <v>#REF!</v>
      </c>
      <c r="P75"/>
      <c r="Q75" s="175" t="s">
        <v>292</v>
      </c>
      <c r="R75" s="130"/>
      <c r="S75" s="176">
        <v>0.9</v>
      </c>
      <c r="T75" s="82"/>
      <c r="U75" s="177" t="e">
        <f t="shared" ref="U75:U83" si="8">U$71/(U$51*S75)</f>
        <v>#REF!</v>
      </c>
      <c r="V75" s="178">
        <v>94.36</v>
      </c>
      <c r="W75" s="742" t="e">
        <f>V75*(#REF!+1)</f>
        <v>#REF!</v>
      </c>
      <c r="X75" s="72"/>
      <c r="Y75" s="175" t="s">
        <v>292</v>
      </c>
      <c r="Z75" s="130"/>
      <c r="AA75" s="176">
        <v>0.9</v>
      </c>
      <c r="AB75" s="82"/>
      <c r="AC75" s="177" t="e">
        <f t="shared" ref="AC75:AC83" si="9">AC$71/(AC$51*AA75)</f>
        <v>#REF!</v>
      </c>
      <c r="AD75" s="178">
        <v>93.41</v>
      </c>
      <c r="AE75" s="742" t="e">
        <f>AD75*(#REF!+1)</f>
        <v>#REF!</v>
      </c>
      <c r="AF75"/>
      <c r="AG75" s="175" t="s">
        <v>292</v>
      </c>
      <c r="AH75" s="130"/>
      <c r="AI75" s="176">
        <v>0.9</v>
      </c>
      <c r="AJ75" s="82"/>
      <c r="AK75" s="177" t="e">
        <f t="shared" ref="AK75:AK83" si="10">AK$71/(AK$51*AI75)</f>
        <v>#REF!</v>
      </c>
      <c r="AL75" s="178">
        <v>92.73</v>
      </c>
      <c r="AM75" s="742" t="e">
        <f>AL75*(#REF!+1)</f>
        <v>#REF!</v>
      </c>
      <c r="AN75"/>
      <c r="AO75" s="817" t="s">
        <v>292</v>
      </c>
      <c r="AP75" s="818"/>
      <c r="AQ75" s="819">
        <v>0.9</v>
      </c>
      <c r="AR75" s="820"/>
      <c r="AS75" s="821" t="e">
        <f t="shared" ref="AS75:AS83" si="11">AS$71/(AS$51*AQ75)</f>
        <v>#REF!</v>
      </c>
      <c r="AT75" s="822" t="e">
        <f>ROUND(AS75*(1+AQ$31),2)</f>
        <v>#REF!</v>
      </c>
      <c r="AU75" s="823" t="e">
        <f>ROUND(AT75*(1+#REF!),2)</f>
        <v>#REF!</v>
      </c>
      <c r="AV75" s="171"/>
      <c r="AW75" s="147" t="s">
        <v>278</v>
      </c>
      <c r="AX75" s="106"/>
      <c r="AY75" s="677"/>
      <c r="AZ75" s="242"/>
      <c r="BA75" s="242"/>
      <c r="BB75" s="242"/>
      <c r="BC75" s="213"/>
      <c r="BD75" s="277"/>
    </row>
    <row r="76" spans="1:56" s="170" customFormat="1" x14ac:dyDescent="0.2">
      <c r="A76" s="181"/>
      <c r="B76" s="73"/>
      <c r="C76" s="182">
        <v>0.85</v>
      </c>
      <c r="D76" s="77"/>
      <c r="E76" s="169" t="e">
        <f t="shared" si="7"/>
        <v>#REF!</v>
      </c>
      <c r="F76" s="183">
        <v>104.17</v>
      </c>
      <c r="G76" s="742" t="e">
        <f>F76*(#REF!+1)</f>
        <v>#REF!</v>
      </c>
      <c r="H76"/>
      <c r="I76" s="181"/>
      <c r="J76" s="73"/>
      <c r="K76" s="182">
        <v>0.85</v>
      </c>
      <c r="L76" s="77"/>
      <c r="M76" s="169" t="e">
        <f t="shared" ref="M76:M83" si="12">M$71/(M$51*K76)</f>
        <v>#REF!</v>
      </c>
      <c r="N76" s="183">
        <v>101.31</v>
      </c>
      <c r="O76" s="742" t="e">
        <f>N76*(#REF!+1)</f>
        <v>#REF!</v>
      </c>
      <c r="P76"/>
      <c r="Q76" s="181"/>
      <c r="R76" s="73"/>
      <c r="S76" s="182">
        <v>0.85</v>
      </c>
      <c r="T76" s="77"/>
      <c r="U76" s="169" t="e">
        <f t="shared" si="8"/>
        <v>#REF!</v>
      </c>
      <c r="V76" s="183">
        <v>99.91</v>
      </c>
      <c r="W76" s="742" t="e">
        <f>V76*(#REF!+1)</f>
        <v>#REF!</v>
      </c>
      <c r="X76" s="72"/>
      <c r="Y76" s="181"/>
      <c r="Z76" s="73"/>
      <c r="AA76" s="182">
        <v>0.85</v>
      </c>
      <c r="AB76" s="77"/>
      <c r="AC76" s="169" t="e">
        <f t="shared" si="9"/>
        <v>#REF!</v>
      </c>
      <c r="AD76" s="183">
        <v>98.9</v>
      </c>
      <c r="AE76" s="742" t="e">
        <f>AD76*(#REF!+1)</f>
        <v>#REF!</v>
      </c>
      <c r="AF76"/>
      <c r="AG76" s="181"/>
      <c r="AH76" s="73"/>
      <c r="AI76" s="182">
        <v>0.85</v>
      </c>
      <c r="AJ76" s="77"/>
      <c r="AK76" s="169" t="e">
        <f t="shared" si="10"/>
        <v>#REF!</v>
      </c>
      <c r="AL76" s="183">
        <v>98.18</v>
      </c>
      <c r="AM76" s="742" t="e">
        <f>AL76*(#REF!+1)</f>
        <v>#REF!</v>
      </c>
      <c r="AN76"/>
      <c r="AO76" s="824"/>
      <c r="AP76" s="767"/>
      <c r="AQ76" s="825">
        <v>0.85</v>
      </c>
      <c r="AR76" s="803"/>
      <c r="AS76" s="814" t="e">
        <f t="shared" si="11"/>
        <v>#REF!</v>
      </c>
      <c r="AT76" s="826" t="e">
        <f t="shared" ref="AT76:AT83" si="13">ROUND(AS76*(1+AQ$31),2)</f>
        <v>#REF!</v>
      </c>
      <c r="AU76" s="827" t="e">
        <f>ROUND(AT76*(1+#REF!),2)</f>
        <v>#REF!</v>
      </c>
      <c r="AV76" s="73"/>
      <c r="AW76" s="678" t="s">
        <v>280</v>
      </c>
      <c r="AX76" s="242"/>
      <c r="AY76" s="679">
        <f>'Rate Options'!$AJ$30</f>
        <v>0.25578770213785851</v>
      </c>
      <c r="AZ76" s="242"/>
      <c r="BA76" s="242"/>
      <c r="BB76" s="242"/>
      <c r="BC76" s="213"/>
      <c r="BD76" s="277"/>
    </row>
    <row r="77" spans="1:56" s="72" customFormat="1" x14ac:dyDescent="0.2">
      <c r="A77" s="181"/>
      <c r="B77" s="73"/>
      <c r="C77" s="182">
        <v>0.8</v>
      </c>
      <c r="D77" s="77"/>
      <c r="E77" s="169" t="e">
        <f t="shared" si="7"/>
        <v>#REF!</v>
      </c>
      <c r="F77" s="183">
        <v>110.68</v>
      </c>
      <c r="G77" s="742" t="e">
        <f>F77*(#REF!+1)</f>
        <v>#REF!</v>
      </c>
      <c r="H77"/>
      <c r="I77" s="181"/>
      <c r="J77" s="73"/>
      <c r="K77" s="182">
        <v>0.8</v>
      </c>
      <c r="L77" s="77"/>
      <c r="M77" s="169" t="e">
        <f t="shared" si="12"/>
        <v>#REF!</v>
      </c>
      <c r="N77" s="183">
        <v>107.64</v>
      </c>
      <c r="O77" s="742" t="e">
        <f>N77*(#REF!+1)</f>
        <v>#REF!</v>
      </c>
      <c r="P77"/>
      <c r="Q77" s="181"/>
      <c r="R77" s="73"/>
      <c r="S77" s="182">
        <v>0.8</v>
      </c>
      <c r="T77" s="77"/>
      <c r="U77" s="169" t="e">
        <f t="shared" si="8"/>
        <v>#REF!</v>
      </c>
      <c r="V77" s="183">
        <v>106.16</v>
      </c>
      <c r="W77" s="742" t="e">
        <f>V77*(#REF!+1)</f>
        <v>#REF!</v>
      </c>
      <c r="Y77" s="181"/>
      <c r="Z77" s="73"/>
      <c r="AA77" s="182">
        <v>0.8</v>
      </c>
      <c r="AB77" s="77"/>
      <c r="AC77" s="169" t="e">
        <f t="shared" si="9"/>
        <v>#REF!</v>
      </c>
      <c r="AD77" s="183">
        <v>105.09</v>
      </c>
      <c r="AE77" s="742" t="e">
        <f>AD77*(#REF!+1)</f>
        <v>#REF!</v>
      </c>
      <c r="AF77"/>
      <c r="AG77" s="181"/>
      <c r="AH77" s="73"/>
      <c r="AI77" s="182">
        <v>0.8</v>
      </c>
      <c r="AJ77" s="77"/>
      <c r="AK77" s="169" t="e">
        <f t="shared" si="10"/>
        <v>#REF!</v>
      </c>
      <c r="AL77" s="183">
        <v>104.32</v>
      </c>
      <c r="AM77" s="742" t="e">
        <f>AL77*(#REF!+1)</f>
        <v>#REF!</v>
      </c>
      <c r="AN77"/>
      <c r="AO77" s="824"/>
      <c r="AP77" s="767"/>
      <c r="AQ77" s="825">
        <v>0.8</v>
      </c>
      <c r="AR77" s="803"/>
      <c r="AS77" s="814" t="e">
        <f t="shared" si="11"/>
        <v>#REF!</v>
      </c>
      <c r="AT77" s="826" t="e">
        <f t="shared" si="13"/>
        <v>#REF!</v>
      </c>
      <c r="AU77" s="827" t="e">
        <f>ROUND(AT77*(1+#REF!),2)</f>
        <v>#REF!</v>
      </c>
      <c r="AV77" s="73"/>
      <c r="AW77" s="639"/>
      <c r="AX77" s="242"/>
      <c r="AY77" s="677"/>
      <c r="AZ77" s="242"/>
      <c r="BA77" s="242"/>
      <c r="BB77" s="242"/>
      <c r="BC77" s="242"/>
      <c r="BD77" s="680"/>
    </row>
    <row r="78" spans="1:56" s="72" customFormat="1" x14ac:dyDescent="0.2">
      <c r="A78" s="181"/>
      <c r="B78" s="73"/>
      <c r="C78" s="182">
        <v>0.75</v>
      </c>
      <c r="D78" s="77"/>
      <c r="E78" s="169" t="e">
        <f t="shared" si="7"/>
        <v>#REF!</v>
      </c>
      <c r="F78" s="183">
        <v>118.06</v>
      </c>
      <c r="G78" s="742" t="e">
        <f>F78*(#REF!+1)</f>
        <v>#REF!</v>
      </c>
      <c r="H78"/>
      <c r="I78" s="181"/>
      <c r="J78" s="73"/>
      <c r="K78" s="182">
        <v>0.75</v>
      </c>
      <c r="L78" s="77"/>
      <c r="M78" s="169" t="e">
        <f t="shared" si="12"/>
        <v>#REF!</v>
      </c>
      <c r="N78" s="183">
        <v>114.82</v>
      </c>
      <c r="O78" s="742" t="e">
        <f>N78*(#REF!+1)</f>
        <v>#REF!</v>
      </c>
      <c r="P78"/>
      <c r="Q78" s="181"/>
      <c r="R78" s="73"/>
      <c r="S78" s="182">
        <v>0.75</v>
      </c>
      <c r="T78" s="77"/>
      <c r="U78" s="169" t="e">
        <f t="shared" si="8"/>
        <v>#REF!</v>
      </c>
      <c r="V78" s="183">
        <v>113.23</v>
      </c>
      <c r="W78" s="742" t="e">
        <f>V78*(#REF!+1)</f>
        <v>#REF!</v>
      </c>
      <c r="Y78" s="181"/>
      <c r="Z78" s="73"/>
      <c r="AA78" s="182">
        <v>0.75</v>
      </c>
      <c r="AB78" s="77"/>
      <c r="AC78" s="169" t="e">
        <f t="shared" si="9"/>
        <v>#REF!</v>
      </c>
      <c r="AD78" s="183">
        <v>112.09</v>
      </c>
      <c r="AE78" s="742" t="e">
        <f>AD78*(#REF!+1)</f>
        <v>#REF!</v>
      </c>
      <c r="AF78"/>
      <c r="AG78" s="181"/>
      <c r="AH78" s="73"/>
      <c r="AI78" s="182">
        <v>0.75</v>
      </c>
      <c r="AJ78" s="77"/>
      <c r="AK78" s="169" t="e">
        <f t="shared" si="10"/>
        <v>#REF!</v>
      </c>
      <c r="AL78" s="183">
        <v>111.27</v>
      </c>
      <c r="AM78" s="742" t="e">
        <f>AL78*(#REF!+1)</f>
        <v>#REF!</v>
      </c>
      <c r="AN78"/>
      <c r="AO78" s="824"/>
      <c r="AP78" s="767"/>
      <c r="AQ78" s="825">
        <v>0.75</v>
      </c>
      <c r="AR78" s="803"/>
      <c r="AS78" s="814" t="e">
        <f t="shared" si="11"/>
        <v>#REF!</v>
      </c>
      <c r="AT78" s="826" t="e">
        <f t="shared" si="13"/>
        <v>#REF!</v>
      </c>
      <c r="AU78" s="827" t="e">
        <f>ROUND(AT78*(1+#REF!),2)</f>
        <v>#REF!</v>
      </c>
      <c r="AV78" s="73"/>
      <c r="AW78" s="639" t="s">
        <v>293</v>
      </c>
      <c r="AX78" s="242"/>
      <c r="AY78" s="735">
        <f>AY34</f>
        <v>33.069173881278537</v>
      </c>
      <c r="AZ78" s="242"/>
      <c r="BA78" s="242"/>
      <c r="BB78" s="242"/>
      <c r="BC78" s="242"/>
      <c r="BD78" s="680"/>
    </row>
    <row r="79" spans="1:56" s="72" customFormat="1" x14ac:dyDescent="0.2">
      <c r="A79" s="181"/>
      <c r="B79" s="73"/>
      <c r="C79" s="182">
        <v>0.7</v>
      </c>
      <c r="D79" s="77"/>
      <c r="E79" s="169" t="e">
        <f t="shared" si="7"/>
        <v>#REF!</v>
      </c>
      <c r="F79" s="183">
        <v>126.48</v>
      </c>
      <c r="G79" s="742" t="e">
        <f>F79*(#REF!+1)</f>
        <v>#REF!</v>
      </c>
      <c r="H79"/>
      <c r="I79" s="181"/>
      <c r="J79" s="73"/>
      <c r="K79" s="182">
        <v>0.7</v>
      </c>
      <c r="L79" s="77"/>
      <c r="M79" s="169" t="e">
        <f t="shared" si="12"/>
        <v>#REF!</v>
      </c>
      <c r="N79" s="183">
        <v>123.01</v>
      </c>
      <c r="O79" s="742" t="e">
        <f>N79*(#REF!+1)</f>
        <v>#REF!</v>
      </c>
      <c r="P79"/>
      <c r="Q79" s="181"/>
      <c r="R79" s="73"/>
      <c r="S79" s="182">
        <v>0.7</v>
      </c>
      <c r="T79" s="77"/>
      <c r="U79" s="169" t="e">
        <f t="shared" si="8"/>
        <v>#REF!</v>
      </c>
      <c r="V79" s="183">
        <v>121.32</v>
      </c>
      <c r="W79" s="742" t="e">
        <f>V79*(#REF!+1)</f>
        <v>#REF!</v>
      </c>
      <c r="Y79" s="181"/>
      <c r="Z79" s="73"/>
      <c r="AA79" s="182">
        <v>0.7</v>
      </c>
      <c r="AB79" s="77"/>
      <c r="AC79" s="169" t="e">
        <f t="shared" si="9"/>
        <v>#REF!</v>
      </c>
      <c r="AD79" s="183">
        <v>120.1</v>
      </c>
      <c r="AE79" s="742" t="e">
        <f>AD79*(#REF!+1)</f>
        <v>#REF!</v>
      </c>
      <c r="AF79"/>
      <c r="AG79" s="181"/>
      <c r="AH79" s="73"/>
      <c r="AI79" s="182">
        <v>0.7</v>
      </c>
      <c r="AJ79" s="77"/>
      <c r="AK79" s="169" t="e">
        <f t="shared" si="10"/>
        <v>#REF!</v>
      </c>
      <c r="AL79" s="183">
        <v>119.22</v>
      </c>
      <c r="AM79" s="742" t="e">
        <f>AL79*(#REF!+1)</f>
        <v>#REF!</v>
      </c>
      <c r="AN79"/>
      <c r="AO79" s="824"/>
      <c r="AP79" s="767"/>
      <c r="AQ79" s="825">
        <v>0.7</v>
      </c>
      <c r="AR79" s="803"/>
      <c r="AS79" s="814" t="e">
        <f t="shared" si="11"/>
        <v>#REF!</v>
      </c>
      <c r="AT79" s="826" t="e">
        <f t="shared" si="13"/>
        <v>#REF!</v>
      </c>
      <c r="AU79" s="827" t="e">
        <f>ROUND(AT79*(1+#REF!),2)</f>
        <v>#REF!</v>
      </c>
      <c r="AV79" s="73"/>
      <c r="AW79" s="639" t="s">
        <v>294</v>
      </c>
      <c r="AX79" s="242"/>
      <c r="AY79" s="250">
        <f>'Bed Day Data'!ET35</f>
        <v>17.544168616818876</v>
      </c>
      <c r="AZ79" s="242"/>
      <c r="BA79" s="242"/>
      <c r="BB79" s="242"/>
      <c r="BC79" s="242"/>
      <c r="BD79" s="680"/>
    </row>
    <row r="80" spans="1:56" s="72" customFormat="1" x14ac:dyDescent="0.2">
      <c r="A80" s="181"/>
      <c r="B80" s="73"/>
      <c r="C80" s="182">
        <v>0.65</v>
      </c>
      <c r="D80" s="77"/>
      <c r="E80" s="169" t="e">
        <f t="shared" si="7"/>
        <v>#REF!</v>
      </c>
      <c r="F80" s="183">
        <v>136.22</v>
      </c>
      <c r="G80" s="742" t="e">
        <f>F80*(#REF!+1)</f>
        <v>#REF!</v>
      </c>
      <c r="H80"/>
      <c r="I80" s="181"/>
      <c r="J80" s="73"/>
      <c r="K80" s="182">
        <v>0.65</v>
      </c>
      <c r="L80" s="77"/>
      <c r="M80" s="169" t="e">
        <f t="shared" si="12"/>
        <v>#REF!</v>
      </c>
      <c r="N80" s="183">
        <v>132.47999999999999</v>
      </c>
      <c r="O80" s="742" t="e">
        <f>N80*(#REF!+1)</f>
        <v>#REF!</v>
      </c>
      <c r="P80"/>
      <c r="Q80" s="181"/>
      <c r="R80" s="73"/>
      <c r="S80" s="182">
        <v>0.65</v>
      </c>
      <c r="T80" s="77"/>
      <c r="U80" s="169" t="e">
        <f t="shared" si="8"/>
        <v>#REF!</v>
      </c>
      <c r="V80" s="183">
        <v>130.66</v>
      </c>
      <c r="W80" s="742" t="e">
        <f>V80*(#REF!+1)</f>
        <v>#REF!</v>
      </c>
      <c r="Y80" s="181"/>
      <c r="Z80" s="73"/>
      <c r="AA80" s="182">
        <v>0.65</v>
      </c>
      <c r="AB80" s="77"/>
      <c r="AC80" s="169" t="e">
        <f t="shared" si="9"/>
        <v>#REF!</v>
      </c>
      <c r="AD80" s="183">
        <v>129.33000000000001</v>
      </c>
      <c r="AE80" s="742" t="e">
        <f>AD80*(#REF!+1)</f>
        <v>#REF!</v>
      </c>
      <c r="AF80"/>
      <c r="AG80" s="181"/>
      <c r="AH80" s="73"/>
      <c r="AI80" s="182">
        <v>0.65</v>
      </c>
      <c r="AJ80" s="77"/>
      <c r="AK80" s="169" t="e">
        <f t="shared" si="10"/>
        <v>#REF!</v>
      </c>
      <c r="AL80" s="183">
        <v>128.38999999999999</v>
      </c>
      <c r="AM80" s="742" t="e">
        <f>AL80*(#REF!+1)</f>
        <v>#REF!</v>
      </c>
      <c r="AN80"/>
      <c r="AO80" s="824"/>
      <c r="AP80" s="767"/>
      <c r="AQ80" s="825">
        <v>0.65</v>
      </c>
      <c r="AR80" s="803"/>
      <c r="AS80" s="814" t="e">
        <f t="shared" si="11"/>
        <v>#REF!</v>
      </c>
      <c r="AT80" s="826" t="e">
        <f t="shared" si="13"/>
        <v>#REF!</v>
      </c>
      <c r="AU80" s="827" t="e">
        <f>ROUND(AT80*(1+#REF!),2)</f>
        <v>#REF!</v>
      </c>
      <c r="AV80" s="73"/>
      <c r="AW80" s="639" t="s">
        <v>295</v>
      </c>
      <c r="AX80" s="242"/>
      <c r="AY80" s="250">
        <f>'Bed Day Data'!ET36</f>
        <v>4.8269348195899369</v>
      </c>
      <c r="AZ80" s="242"/>
      <c r="BA80" s="242"/>
      <c r="BB80" s="242"/>
      <c r="BC80" s="242"/>
      <c r="BD80" s="680"/>
    </row>
    <row r="81" spans="1:56" s="72" customFormat="1" x14ac:dyDescent="0.2">
      <c r="A81" s="181"/>
      <c r="B81" s="73"/>
      <c r="C81" s="182">
        <v>0.6</v>
      </c>
      <c r="D81" s="77"/>
      <c r="E81" s="169" t="e">
        <f t="shared" si="7"/>
        <v>#REF!</v>
      </c>
      <c r="F81" s="183">
        <v>147.56</v>
      </c>
      <c r="G81" s="742" t="e">
        <f>F81*(#REF!+1)</f>
        <v>#REF!</v>
      </c>
      <c r="H81"/>
      <c r="I81" s="181"/>
      <c r="J81" s="73"/>
      <c r="K81" s="182">
        <v>0.6</v>
      </c>
      <c r="L81" s="77"/>
      <c r="M81" s="169" t="e">
        <f t="shared" si="12"/>
        <v>#REF!</v>
      </c>
      <c r="N81" s="183">
        <v>143.52000000000001</v>
      </c>
      <c r="O81" s="742" t="e">
        <f>N81*(#REF!+1)</f>
        <v>#REF!</v>
      </c>
      <c r="P81"/>
      <c r="Q81" s="181"/>
      <c r="R81" s="73"/>
      <c r="S81" s="182">
        <v>0.6</v>
      </c>
      <c r="T81" s="77"/>
      <c r="U81" s="169" t="e">
        <f t="shared" si="8"/>
        <v>#REF!</v>
      </c>
      <c r="V81" s="183">
        <v>141.54</v>
      </c>
      <c r="W81" s="742" t="e">
        <f>V81*(#REF!+1)</f>
        <v>#REF!</v>
      </c>
      <c r="Y81" s="181"/>
      <c r="Z81" s="73"/>
      <c r="AA81" s="182">
        <v>0.6</v>
      </c>
      <c r="AB81" s="77"/>
      <c r="AC81" s="169" t="e">
        <f t="shared" si="9"/>
        <v>#REF!</v>
      </c>
      <c r="AD81" s="183">
        <v>140.12</v>
      </c>
      <c r="AE81" s="742" t="e">
        <f>AD81*(#REF!+1)</f>
        <v>#REF!</v>
      </c>
      <c r="AF81"/>
      <c r="AG81" s="181"/>
      <c r="AH81" s="73"/>
      <c r="AI81" s="182">
        <v>0.6</v>
      </c>
      <c r="AJ81" s="77"/>
      <c r="AK81" s="169" t="e">
        <f t="shared" si="10"/>
        <v>#REF!</v>
      </c>
      <c r="AL81" s="183">
        <v>139.09</v>
      </c>
      <c r="AM81" s="742" t="e">
        <f>AL81*(#REF!+1)</f>
        <v>#REF!</v>
      </c>
      <c r="AN81"/>
      <c r="AO81" s="824"/>
      <c r="AP81" s="767"/>
      <c r="AQ81" s="825">
        <v>0.6</v>
      </c>
      <c r="AR81" s="803"/>
      <c r="AS81" s="814" t="e">
        <f t="shared" si="11"/>
        <v>#REF!</v>
      </c>
      <c r="AT81" s="826" t="e">
        <f t="shared" si="13"/>
        <v>#REF!</v>
      </c>
      <c r="AU81" s="827" t="e">
        <f>ROUND(AT81*(1+#REF!),2)</f>
        <v>#REF!</v>
      </c>
      <c r="AV81" s="73"/>
      <c r="AW81" s="639"/>
      <c r="AX81" s="242"/>
      <c r="AY81" s="250"/>
      <c r="AZ81" s="242"/>
      <c r="BA81" s="242"/>
      <c r="BB81" s="242"/>
      <c r="BC81" s="242"/>
      <c r="BD81" s="680"/>
    </row>
    <row r="82" spans="1:56" s="72" customFormat="1" x14ac:dyDescent="0.2">
      <c r="A82" s="181"/>
      <c r="B82" s="73"/>
      <c r="C82" s="182">
        <v>0.55000000000000004</v>
      </c>
      <c r="D82" s="77"/>
      <c r="E82" s="169" t="e">
        <f t="shared" si="7"/>
        <v>#REF!</v>
      </c>
      <c r="F82" s="183">
        <v>160.97999999999999</v>
      </c>
      <c r="G82" s="742" t="e">
        <f>F82*(#REF!+1)</f>
        <v>#REF!</v>
      </c>
      <c r="H82"/>
      <c r="I82" s="181"/>
      <c r="J82" s="73"/>
      <c r="K82" s="182">
        <v>0.55000000000000004</v>
      </c>
      <c r="L82" s="77"/>
      <c r="M82" s="169" t="e">
        <f t="shared" si="12"/>
        <v>#REF!</v>
      </c>
      <c r="N82" s="183">
        <v>156.57</v>
      </c>
      <c r="O82" s="742" t="e">
        <f>N82*(#REF!+1)</f>
        <v>#REF!</v>
      </c>
      <c r="P82"/>
      <c r="Q82" s="181"/>
      <c r="R82" s="73"/>
      <c r="S82" s="182">
        <v>0.55000000000000004</v>
      </c>
      <c r="T82" s="77"/>
      <c r="U82" s="169" t="e">
        <f t="shared" si="8"/>
        <v>#REF!</v>
      </c>
      <c r="V82" s="183">
        <v>154.41</v>
      </c>
      <c r="W82" s="742" t="e">
        <f>V82*(#REF!+1)</f>
        <v>#REF!</v>
      </c>
      <c r="Y82" s="181"/>
      <c r="Z82" s="73"/>
      <c r="AA82" s="182">
        <v>0.55000000000000004</v>
      </c>
      <c r="AB82" s="77"/>
      <c r="AC82" s="169" t="e">
        <f t="shared" si="9"/>
        <v>#REF!</v>
      </c>
      <c r="AD82" s="183">
        <v>152.85</v>
      </c>
      <c r="AE82" s="742" t="e">
        <f>AD82*(#REF!+1)</f>
        <v>#REF!</v>
      </c>
      <c r="AF82"/>
      <c r="AG82" s="181"/>
      <c r="AH82" s="73"/>
      <c r="AI82" s="182">
        <v>0.55000000000000004</v>
      </c>
      <c r="AJ82" s="77"/>
      <c r="AK82" s="169" t="e">
        <f t="shared" si="10"/>
        <v>#REF!</v>
      </c>
      <c r="AL82" s="183">
        <v>151.74</v>
      </c>
      <c r="AM82" s="742" t="e">
        <f>AL82*(#REF!+1)</f>
        <v>#REF!</v>
      </c>
      <c r="AN82"/>
      <c r="AO82" s="824"/>
      <c r="AP82" s="767"/>
      <c r="AQ82" s="825">
        <v>0.55000000000000004</v>
      </c>
      <c r="AR82" s="803"/>
      <c r="AS82" s="814" t="e">
        <f t="shared" si="11"/>
        <v>#REF!</v>
      </c>
      <c r="AT82" s="826" t="e">
        <f t="shared" si="13"/>
        <v>#REF!</v>
      </c>
      <c r="AU82" s="827" t="e">
        <f>ROUND(AT82*(1+#REF!),2)</f>
        <v>#REF!</v>
      </c>
      <c r="AV82" s="73"/>
      <c r="AW82" s="639" t="s">
        <v>283</v>
      </c>
      <c r="AX82" s="242"/>
      <c r="AY82" s="250">
        <f>'Bed Day Data'!EU35</f>
        <v>16.772324588891873</v>
      </c>
      <c r="AZ82" s="242"/>
      <c r="BA82" s="242"/>
      <c r="BB82" s="242"/>
      <c r="BC82" s="242"/>
      <c r="BD82" s="680"/>
    </row>
    <row r="83" spans="1:56" s="72" customFormat="1" ht="15" thickBot="1" x14ac:dyDescent="0.25">
      <c r="A83" s="189"/>
      <c r="B83" s="190"/>
      <c r="C83" s="191">
        <v>0.5</v>
      </c>
      <c r="D83" s="192"/>
      <c r="E83" s="193" t="e">
        <f t="shared" si="7"/>
        <v>#REF!</v>
      </c>
      <c r="F83" s="194">
        <v>177.07</v>
      </c>
      <c r="G83" s="742" t="e">
        <f>F83*(#REF!+1)</f>
        <v>#REF!</v>
      </c>
      <c r="H83"/>
      <c r="I83" s="189"/>
      <c r="J83" s="190"/>
      <c r="K83" s="191">
        <v>0.5</v>
      </c>
      <c r="L83" s="192"/>
      <c r="M83" s="193" t="e">
        <f t="shared" si="12"/>
        <v>#REF!</v>
      </c>
      <c r="N83" s="194">
        <v>172.23</v>
      </c>
      <c r="O83" s="742" t="e">
        <f>N83*(#REF!+1)</f>
        <v>#REF!</v>
      </c>
      <c r="P83"/>
      <c r="Q83" s="189"/>
      <c r="R83" s="190"/>
      <c r="S83" s="191">
        <v>0.5</v>
      </c>
      <c r="T83" s="192"/>
      <c r="U83" s="193" t="e">
        <f t="shared" si="8"/>
        <v>#REF!</v>
      </c>
      <c r="V83" s="194">
        <v>169.85</v>
      </c>
      <c r="W83" s="742" t="e">
        <f>V83*(#REF!+1)</f>
        <v>#REF!</v>
      </c>
      <c r="Y83" s="189"/>
      <c r="Z83" s="190"/>
      <c r="AA83" s="191">
        <v>0.5</v>
      </c>
      <c r="AB83" s="192"/>
      <c r="AC83" s="193" t="e">
        <f t="shared" si="9"/>
        <v>#REF!</v>
      </c>
      <c r="AD83" s="194">
        <v>168.13</v>
      </c>
      <c r="AE83" s="742" t="e">
        <f>AD83*(#REF!+1)</f>
        <v>#REF!</v>
      </c>
      <c r="AF83"/>
      <c r="AG83" s="189"/>
      <c r="AH83" s="190"/>
      <c r="AI83" s="191">
        <v>0.5</v>
      </c>
      <c r="AJ83" s="192"/>
      <c r="AK83" s="193" t="e">
        <f t="shared" si="10"/>
        <v>#REF!</v>
      </c>
      <c r="AL83" s="194">
        <v>166.91</v>
      </c>
      <c r="AM83" s="742" t="e">
        <f>AL83*(#REF!+1)</f>
        <v>#REF!</v>
      </c>
      <c r="AN83"/>
      <c r="AO83" s="828"/>
      <c r="AP83" s="829"/>
      <c r="AQ83" s="830">
        <v>0.5</v>
      </c>
      <c r="AR83" s="831"/>
      <c r="AS83" s="832" t="e">
        <f t="shared" si="11"/>
        <v>#REF!</v>
      </c>
      <c r="AT83" s="833" t="e">
        <f t="shared" si="13"/>
        <v>#REF!</v>
      </c>
      <c r="AU83" s="834" t="e">
        <f>ROUND(AT83*(1+#REF!),2)</f>
        <v>#REF!</v>
      </c>
      <c r="AV83" s="73"/>
      <c r="AW83" s="681"/>
      <c r="AX83" s="682"/>
      <c r="AY83" s="683"/>
      <c r="AZ83" s="684"/>
      <c r="BA83" s="684"/>
      <c r="BB83" s="684"/>
      <c r="BC83" s="242"/>
      <c r="BD83" s="680"/>
    </row>
    <row r="84" spans="1:56" s="72" customForma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 s="765"/>
      <c r="AP84" s="765"/>
      <c r="AQ84" s="765"/>
      <c r="AR84" s="765"/>
      <c r="AS84" s="765"/>
      <c r="AT84" s="765"/>
      <c r="AU84" s="765"/>
      <c r="AV84" s="73"/>
      <c r="AW84" s="663"/>
      <c r="AX84" s="106"/>
      <c r="AY84" s="205"/>
      <c r="AZ84" s="684"/>
      <c r="BA84" s="684"/>
      <c r="BB84" s="684"/>
      <c r="BC84" s="242"/>
      <c r="BD84" s="680"/>
    </row>
    <row r="85" spans="1:56" s="72" customForma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 s="765"/>
      <c r="AP85" s="765"/>
      <c r="AQ85" s="765"/>
      <c r="AR85" s="765"/>
      <c r="AS85" s="765"/>
      <c r="AT85" s="765"/>
      <c r="AU85" s="765"/>
      <c r="AV85"/>
      <c r="AW85" s="639" t="s">
        <v>286</v>
      </c>
      <c r="AX85" s="242"/>
      <c r="AY85" s="679" t="e">
        <f>'Rate Options'!$AJ$42</f>
        <v>#REF!</v>
      </c>
      <c r="AZ85" s="684"/>
      <c r="BA85" s="684"/>
      <c r="BB85" s="684"/>
      <c r="BC85" s="242"/>
      <c r="BD85" s="680"/>
    </row>
    <row r="86" spans="1:56" x14ac:dyDescent="0.2">
      <c r="E86" t="e">
        <f>E73*(4.464%+1)*(2.0354%+1)*(2.7236%+1)</f>
        <v>#REF!</v>
      </c>
      <c r="AW86" s="147"/>
      <c r="AX86" s="106"/>
      <c r="AY86" s="205" t="s">
        <v>335</v>
      </c>
      <c r="AZ86" s="684"/>
      <c r="BA86" s="684"/>
      <c r="BB86" s="684"/>
      <c r="BC86" s="684"/>
      <c r="BD86" s="685"/>
    </row>
    <row r="87" spans="1:56" ht="15" thickBot="1" x14ac:dyDescent="0.25">
      <c r="AW87" s="686" t="s">
        <v>296</v>
      </c>
      <c r="AX87" s="687"/>
      <c r="AY87" s="687"/>
      <c r="AZ87" s="688">
        <v>2.12E-2</v>
      </c>
      <c r="BA87" s="689"/>
      <c r="BB87" s="689"/>
      <c r="BC87" s="689"/>
      <c r="BD87" s="690"/>
    </row>
    <row r="88" spans="1:56" x14ac:dyDescent="0.2">
      <c r="AW88" s="436"/>
      <c r="AX88" s="436"/>
      <c r="AY88" s="636"/>
      <c r="AZ88" s="436"/>
      <c r="BA88" s="436"/>
      <c r="BB88" s="436"/>
      <c r="BC88" s="684"/>
      <c r="BD88" s="436"/>
    </row>
    <row r="89" spans="1:56" x14ac:dyDescent="0.2">
      <c r="AY89" s="275"/>
      <c r="BC89" s="271"/>
    </row>
    <row r="90" spans="1:56" x14ac:dyDescent="0.2">
      <c r="AY90" s="275"/>
      <c r="BC90" s="271"/>
    </row>
    <row r="91" spans="1:56" x14ac:dyDescent="0.2">
      <c r="AY91" s="275"/>
    </row>
    <row r="92" spans="1:56" x14ac:dyDescent="0.2">
      <c r="AY92" s="275"/>
    </row>
    <row r="93" spans="1:56" x14ac:dyDescent="0.2">
      <c r="AY93" s="275"/>
    </row>
    <row r="94" spans="1:56" x14ac:dyDescent="0.2">
      <c r="AY94" s="275"/>
    </row>
    <row r="95" spans="1:56" x14ac:dyDescent="0.2">
      <c r="AY95" s="275"/>
    </row>
    <row r="96" spans="1:56" x14ac:dyDescent="0.2">
      <c r="AY96" s="275"/>
    </row>
    <row r="97" spans="51:51" x14ac:dyDescent="0.2">
      <c r="AY97" s="275"/>
    </row>
    <row r="98" spans="51:51" x14ac:dyDescent="0.2">
      <c r="AY98" s="275"/>
    </row>
    <row r="99" spans="51:51" x14ac:dyDescent="0.2">
      <c r="AY99" s="275"/>
    </row>
    <row r="100" spans="51:51" x14ac:dyDescent="0.2">
      <c r="AY100" s="275"/>
    </row>
    <row r="101" spans="51:51" x14ac:dyDescent="0.2">
      <c r="AY101" s="275"/>
    </row>
    <row r="102" spans="51:51" x14ac:dyDescent="0.2">
      <c r="AY102" s="275"/>
    </row>
    <row r="103" spans="51:51" x14ac:dyDescent="0.2">
      <c r="AY103" s="275"/>
    </row>
    <row r="104" spans="51:51" x14ac:dyDescent="0.2">
      <c r="AY104" s="275"/>
    </row>
    <row r="105" spans="51:51" x14ac:dyDescent="0.2">
      <c r="AY105" s="275"/>
    </row>
    <row r="106" spans="51:51" x14ac:dyDescent="0.2">
      <c r="AY106" s="275"/>
    </row>
    <row r="107" spans="51:51" x14ac:dyDescent="0.2">
      <c r="AY107" s="275"/>
    </row>
  </sheetData>
  <mergeCells count="17">
    <mergeCell ref="AE73:AE74"/>
    <mergeCell ref="AE30:AE31"/>
    <mergeCell ref="G73:G74"/>
    <mergeCell ref="O73:O74"/>
    <mergeCell ref="O30:O31"/>
    <mergeCell ref="W30:W31"/>
    <mergeCell ref="W73:W74"/>
    <mergeCell ref="G30:G31"/>
    <mergeCell ref="AW1:AY1"/>
    <mergeCell ref="AY27:BD27"/>
    <mergeCell ref="AY21:BD21"/>
    <mergeCell ref="AY19:BD19"/>
    <mergeCell ref="AY23:BD23"/>
    <mergeCell ref="AM73:AM74"/>
    <mergeCell ref="AM30:AM31"/>
    <mergeCell ref="AU30:AU31"/>
    <mergeCell ref="AU73:AU74"/>
  </mergeCells>
  <phoneticPr fontId="9" type="noConversion"/>
  <pageMargins left="0.75" right="0.75" top="0.42" bottom="0.41" header="0.17" footer="0.18"/>
  <pageSetup paperSize="5" scale="33" fitToHeight="0" orientation="landscape" r:id="rId1"/>
  <headerFooter alignWithMargins="0">
    <oddHeader>&amp;C&amp;A</oddHeader>
    <oddFooter>&amp;C&amp;F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3"/>
  <sheetViews>
    <sheetView topLeftCell="E123" zoomScale="90" zoomScaleNormal="90" zoomScaleSheetLayoutView="75" workbookViewId="0">
      <selection activeCell="W158" sqref="W158"/>
    </sheetView>
  </sheetViews>
  <sheetFormatPr defaultRowHeight="12.75" x14ac:dyDescent="0.2"/>
  <cols>
    <col min="1" max="1" width="21.5" style="463" customWidth="1"/>
    <col min="2" max="2" width="8.75" style="463" customWidth="1"/>
    <col min="3" max="3" width="8.125" style="463" bestFit="1" customWidth="1"/>
    <col min="4" max="4" width="7.625" style="463" customWidth="1"/>
    <col min="5" max="5" width="17.125" style="463" customWidth="1"/>
    <col min="6" max="6" width="2.375" style="464" customWidth="1"/>
    <col min="7" max="7" width="22.125" style="469" customWidth="1"/>
    <col min="8" max="8" width="8.75" style="465" customWidth="1"/>
    <col min="9" max="9" width="10.125" style="466" customWidth="1"/>
    <col min="10" max="10" width="7.625" style="467" customWidth="1"/>
    <col min="11" max="11" width="9.375" style="466" customWidth="1"/>
    <col min="12" max="12" width="2.125" style="468" customWidth="1"/>
    <col min="13" max="13" width="24.25" style="465" bestFit="1" customWidth="1"/>
    <col min="14" max="14" width="8.875" style="466" customWidth="1"/>
    <col min="15" max="15" width="8.5" style="467" bestFit="1" customWidth="1"/>
    <col min="16" max="16" width="9" style="466"/>
    <col min="17" max="17" width="9.375" style="468" customWidth="1"/>
    <col min="18" max="18" width="2.625" style="469" customWidth="1"/>
    <col min="19" max="19" width="22" style="465" customWidth="1"/>
    <col min="20" max="20" width="8.875" style="466" customWidth="1"/>
    <col min="21" max="21" width="8.5" style="467" bestFit="1" customWidth="1"/>
    <col min="22" max="22" width="7.875" style="466" bestFit="1" customWidth="1"/>
    <col min="23" max="23" width="11.75" style="468" bestFit="1" customWidth="1"/>
    <col min="24" max="24" width="3.5" style="468" customWidth="1"/>
    <col min="25" max="25" width="7.25" style="468" customWidth="1"/>
    <col min="26" max="26" width="27.625" style="468" bestFit="1" customWidth="1"/>
    <col min="27" max="27" width="7.25" style="468" customWidth="1"/>
    <col min="28" max="28" width="7" style="468" bestFit="1" customWidth="1"/>
    <col min="29" max="29" width="6.875" style="466" customWidth="1"/>
    <col min="30" max="30" width="7.25" style="467" customWidth="1"/>
    <col min="31" max="31" width="14.125" style="466" customWidth="1"/>
    <col min="32" max="32" width="6.375" style="463" customWidth="1"/>
    <col min="33" max="33" width="7.375" style="463" bestFit="1" customWidth="1"/>
    <col min="34" max="34" width="6.375" style="463" customWidth="1"/>
    <col min="35" max="35" width="4.125" style="463" customWidth="1"/>
    <col min="36" max="36" width="4.5" style="463" customWidth="1"/>
    <col min="37" max="37" width="3.875" style="463" customWidth="1"/>
    <col min="38" max="38" width="4" style="463" customWidth="1"/>
    <col min="39" max="39" width="3.875" style="463" customWidth="1"/>
    <col min="40" max="16384" width="9" style="463"/>
  </cols>
  <sheetData>
    <row r="1" spans="1:31" ht="13.5" thickBot="1" x14ac:dyDescent="0.25">
      <c r="A1" s="462" t="s">
        <v>253</v>
      </c>
      <c r="G1" s="463"/>
      <c r="Z1" s="1143" t="s">
        <v>249</v>
      </c>
      <c r="AA1" s="1143"/>
      <c r="AB1" s="1143"/>
      <c r="AC1" s="1143"/>
      <c r="AD1" s="1143"/>
      <c r="AE1" s="1143"/>
    </row>
    <row r="2" spans="1:31" ht="14.25" customHeight="1" x14ac:dyDescent="0.2">
      <c r="A2" s="469"/>
      <c r="B2" s="465"/>
      <c r="C2" s="470" t="s">
        <v>255</v>
      </c>
      <c r="D2" s="471"/>
      <c r="E2" s="472"/>
      <c r="F2" s="473"/>
      <c r="G2" s="1142" t="s">
        <v>256</v>
      </c>
      <c r="H2" s="1142"/>
      <c r="I2" s="1142"/>
      <c r="J2" s="1142"/>
      <c r="K2" s="1142"/>
      <c r="M2" s="469"/>
      <c r="N2" s="465"/>
      <c r="O2" s="470" t="s">
        <v>257</v>
      </c>
      <c r="P2" s="471"/>
      <c r="Q2" s="472"/>
      <c r="R2" s="473"/>
      <c r="S2" s="469"/>
      <c r="T2" s="465"/>
      <c r="U2" s="470" t="s">
        <v>258</v>
      </c>
      <c r="V2" s="471"/>
      <c r="W2" s="472"/>
      <c r="X2" s="473"/>
      <c r="Y2" s="473"/>
      <c r="Z2" s="474" t="s">
        <v>250</v>
      </c>
      <c r="AA2" s="475" t="s">
        <v>251</v>
      </c>
      <c r="AB2" s="476" t="s">
        <v>252</v>
      </c>
      <c r="AC2" s="477"/>
      <c r="AD2" s="478"/>
      <c r="AE2" s="479"/>
    </row>
    <row r="3" spans="1:31" s="487" customFormat="1" x14ac:dyDescent="0.2">
      <c r="A3" s="480" t="s">
        <v>261</v>
      </c>
      <c r="B3" s="481" t="s">
        <v>339</v>
      </c>
      <c r="C3" s="482" t="s">
        <v>262</v>
      </c>
      <c r="D3" s="483">
        <v>365</v>
      </c>
      <c r="E3" s="484">
        <f>D3*B4</f>
        <v>4380</v>
      </c>
      <c r="F3" s="485"/>
      <c r="G3" s="480" t="s">
        <v>261</v>
      </c>
      <c r="H3" s="486" t="s">
        <v>340</v>
      </c>
      <c r="I3" s="482" t="s">
        <v>262</v>
      </c>
      <c r="J3" s="483">
        <v>365</v>
      </c>
      <c r="K3" s="484">
        <f>H4*J3</f>
        <v>5657.5</v>
      </c>
      <c r="M3" s="480" t="s">
        <v>261</v>
      </c>
      <c r="N3" s="488" t="s">
        <v>263</v>
      </c>
      <c r="O3" s="482" t="s">
        <v>262</v>
      </c>
      <c r="P3" s="483">
        <v>365</v>
      </c>
      <c r="Q3" s="484">
        <f>N4*P3</f>
        <v>7300</v>
      </c>
      <c r="R3" s="485"/>
      <c r="S3" s="480" t="s">
        <v>261</v>
      </c>
      <c r="T3" s="488" t="s">
        <v>264</v>
      </c>
      <c r="U3" s="482" t="s">
        <v>262</v>
      </c>
      <c r="V3" s="483">
        <v>365</v>
      </c>
      <c r="W3" s="484">
        <f>T4*V3</f>
        <v>9125</v>
      </c>
      <c r="X3" s="485"/>
      <c r="Y3" s="485"/>
      <c r="Z3" s="489" t="s">
        <v>254</v>
      </c>
      <c r="AA3" s="490">
        <v>15</v>
      </c>
      <c r="AB3" s="490">
        <f>AA3*8</f>
        <v>120</v>
      </c>
      <c r="AC3" s="491"/>
      <c r="AD3" s="492"/>
      <c r="AE3" s="493"/>
    </row>
    <row r="4" spans="1:31" s="487" customFormat="1" x14ac:dyDescent="0.2">
      <c r="A4" s="480"/>
      <c r="B4" s="488">
        <v>12</v>
      </c>
      <c r="C4" s="482"/>
      <c r="D4" s="483"/>
      <c r="E4" s="484"/>
      <c r="F4" s="485"/>
      <c r="G4" s="480"/>
      <c r="H4" s="488">
        <v>15.5</v>
      </c>
      <c r="I4" s="482"/>
      <c r="J4" s="483"/>
      <c r="K4" s="484"/>
      <c r="M4" s="480"/>
      <c r="N4" s="488">
        <v>20</v>
      </c>
      <c r="O4" s="482"/>
      <c r="P4" s="483"/>
      <c r="Q4" s="484"/>
      <c r="R4" s="485"/>
      <c r="S4" s="480"/>
      <c r="T4" s="488">
        <v>25</v>
      </c>
      <c r="U4" s="482"/>
      <c r="V4" s="483"/>
      <c r="W4" s="484"/>
      <c r="X4" s="485"/>
      <c r="Y4" s="485"/>
      <c r="Z4" s="489" t="s">
        <v>260</v>
      </c>
      <c r="AA4" s="490">
        <v>15</v>
      </c>
      <c r="AB4" s="490">
        <f>AA4*8</f>
        <v>120</v>
      </c>
      <c r="AC4" s="491"/>
      <c r="AD4" s="492"/>
      <c r="AE4" s="493"/>
    </row>
    <row r="5" spans="1:31" s="487" customFormat="1" x14ac:dyDescent="0.2">
      <c r="A5" s="480"/>
      <c r="B5" s="488"/>
      <c r="C5" s="494"/>
      <c r="D5" s="483"/>
      <c r="E5" s="484"/>
      <c r="F5" s="485"/>
      <c r="G5" s="480"/>
      <c r="H5" s="488"/>
      <c r="I5" s="482"/>
      <c r="J5" s="483"/>
      <c r="K5" s="484"/>
      <c r="M5" s="480"/>
      <c r="N5" s="488"/>
      <c r="O5" s="482"/>
      <c r="P5" s="483"/>
      <c r="Q5" s="484"/>
      <c r="R5" s="485"/>
      <c r="S5" s="480"/>
      <c r="T5" s="488"/>
      <c r="U5" s="482"/>
      <c r="V5" s="483"/>
      <c r="W5" s="484"/>
      <c r="X5" s="485"/>
      <c r="Y5" s="485"/>
      <c r="Z5" s="489" t="s">
        <v>266</v>
      </c>
      <c r="AA5" s="490">
        <v>13</v>
      </c>
      <c r="AB5" s="490">
        <f>AA5*8</f>
        <v>104</v>
      </c>
      <c r="AC5" s="491"/>
      <c r="AD5" s="468"/>
      <c r="AE5" s="495"/>
    </row>
    <row r="6" spans="1:31" s="501" customFormat="1" ht="28.5" customHeight="1" x14ac:dyDescent="0.2">
      <c r="A6" s="496"/>
      <c r="B6" s="497" t="s">
        <v>269</v>
      </c>
      <c r="C6" s="498" t="s">
        <v>341</v>
      </c>
      <c r="D6" s="499" t="s">
        <v>270</v>
      </c>
      <c r="E6" s="498" t="s">
        <v>342</v>
      </c>
      <c r="F6" s="500"/>
      <c r="G6" s="496"/>
      <c r="H6" s="497" t="s">
        <v>269</v>
      </c>
      <c r="I6" s="498" t="s">
        <v>341</v>
      </c>
      <c r="J6" s="499" t="s">
        <v>270</v>
      </c>
      <c r="K6" s="498" t="s">
        <v>372</v>
      </c>
      <c r="M6" s="496"/>
      <c r="N6" s="497" t="s">
        <v>269</v>
      </c>
      <c r="O6" s="498" t="s">
        <v>341</v>
      </c>
      <c r="P6" s="499" t="s">
        <v>270</v>
      </c>
      <c r="Q6" s="498" t="s">
        <v>342</v>
      </c>
      <c r="R6" s="500"/>
      <c r="S6" s="496"/>
      <c r="T6" s="497" t="s">
        <v>269</v>
      </c>
      <c r="U6" s="498" t="s">
        <v>341</v>
      </c>
      <c r="V6" s="499" t="s">
        <v>270</v>
      </c>
      <c r="W6" s="498" t="s">
        <v>342</v>
      </c>
      <c r="X6" s="500"/>
      <c r="Y6" s="500"/>
      <c r="Z6" s="502" t="s">
        <v>267</v>
      </c>
      <c r="AA6" s="503">
        <v>8</v>
      </c>
      <c r="AB6" s="503">
        <f>AA6*8</f>
        <v>64</v>
      </c>
      <c r="AC6" s="504"/>
      <c r="AD6" s="505"/>
      <c r="AE6" s="506"/>
    </row>
    <row r="7" spans="1:31" s="466" customFormat="1" x14ac:dyDescent="0.2">
      <c r="A7" s="893" t="s">
        <v>272</v>
      </c>
      <c r="B7" s="891"/>
      <c r="C7" s="892">
        <f>$AC$11</f>
        <v>65368.626426372299</v>
      </c>
      <c r="D7" s="510">
        <f>AB18</f>
        <v>2.15</v>
      </c>
      <c r="E7" s="563">
        <f>C7*D7</f>
        <v>140542.54681670043</v>
      </c>
      <c r="F7" s="564"/>
      <c r="G7" s="893" t="s">
        <v>272</v>
      </c>
      <c r="H7" s="891"/>
      <c r="I7" s="892">
        <f>$AC$11</f>
        <v>65368.626426372299</v>
      </c>
      <c r="J7" s="510">
        <f>AC18</f>
        <v>2.15</v>
      </c>
      <c r="K7" s="563">
        <f>I7*J7</f>
        <v>140542.54681670043</v>
      </c>
      <c r="L7" s="563"/>
      <c r="M7" s="893" t="s">
        <v>272</v>
      </c>
      <c r="N7" s="891"/>
      <c r="O7" s="892">
        <f>$AC$11</f>
        <v>65368.626426372299</v>
      </c>
      <c r="P7" s="510">
        <f>AD18</f>
        <v>2.15</v>
      </c>
      <c r="Q7" s="563">
        <f>O7*P7</f>
        <v>140542.54681670043</v>
      </c>
      <c r="R7" s="564"/>
      <c r="S7" s="893" t="s">
        <v>272</v>
      </c>
      <c r="T7" s="891"/>
      <c r="U7" s="892">
        <f>$AC$11</f>
        <v>65368.626426372299</v>
      </c>
      <c r="V7" s="510">
        <f>$AE$18</f>
        <v>2.15</v>
      </c>
      <c r="W7" s="466">
        <f>U7*V7</f>
        <v>140542.54681670043</v>
      </c>
      <c r="X7" s="468"/>
      <c r="Y7" s="468"/>
      <c r="Z7" s="489"/>
      <c r="AA7" s="511" t="s">
        <v>268</v>
      </c>
      <c r="AB7" s="490">
        <f>SUM(AB3:AB6)</f>
        <v>408</v>
      </c>
      <c r="AC7" s="512"/>
      <c r="AD7" s="513"/>
      <c r="AE7" s="514"/>
    </row>
    <row r="8" spans="1:31" s="466" customFormat="1" ht="13.5" thickBot="1" x14ac:dyDescent="0.25">
      <c r="A8" s="893" t="s">
        <v>273</v>
      </c>
      <c r="B8" s="891"/>
      <c r="C8" s="892">
        <f>$AC$12</f>
        <v>56879.606800509006</v>
      </c>
      <c r="D8" s="510">
        <f>AB19</f>
        <v>4</v>
      </c>
      <c r="E8" s="563">
        <f>C8*D8</f>
        <v>227518.42720203602</v>
      </c>
      <c r="F8" s="564"/>
      <c r="G8" s="893" t="s">
        <v>273</v>
      </c>
      <c r="H8" s="891"/>
      <c r="I8" s="892">
        <f>$AC$12</f>
        <v>56879.606800509006</v>
      </c>
      <c r="J8" s="510">
        <f>AC19</f>
        <v>4</v>
      </c>
      <c r="K8" s="563">
        <f>I8*J8</f>
        <v>227518.42720203602</v>
      </c>
      <c r="L8" s="563"/>
      <c r="M8" s="893" t="s">
        <v>273</v>
      </c>
      <c r="N8" s="891"/>
      <c r="O8" s="892">
        <f>$AC$12</f>
        <v>56879.606800509006</v>
      </c>
      <c r="P8" s="510">
        <f>AD19</f>
        <v>4</v>
      </c>
      <c r="Q8" s="563">
        <f>O8*P8</f>
        <v>227518.42720203602</v>
      </c>
      <c r="R8" s="564"/>
      <c r="S8" s="893" t="s">
        <v>273</v>
      </c>
      <c r="T8" s="891"/>
      <c r="U8" s="892">
        <f>$AC$12</f>
        <v>56879.606800509006</v>
      </c>
      <c r="V8" s="510">
        <f>$AE$19</f>
        <v>5</v>
      </c>
      <c r="W8" s="466">
        <f>U8*V8</f>
        <v>284398.03400254506</v>
      </c>
      <c r="X8" s="468"/>
      <c r="Y8" s="468"/>
      <c r="Z8" s="515"/>
      <c r="AA8" s="516" t="s">
        <v>271</v>
      </c>
      <c r="AB8" s="517">
        <f>AB7/(52*40)</f>
        <v>0.19615384615384615</v>
      </c>
      <c r="AC8" s="518"/>
      <c r="AD8" s="519"/>
      <c r="AE8" s="520"/>
    </row>
    <row r="9" spans="1:31" s="523" customFormat="1" ht="13.5" thickBot="1" x14ac:dyDescent="0.25">
      <c r="A9" s="894" t="s">
        <v>275</v>
      </c>
      <c r="B9" s="510">
        <f>$AB$28</f>
        <v>0.67727547626247397</v>
      </c>
      <c r="C9" s="892">
        <f>$AC$13</f>
        <v>34055.717454304911</v>
      </c>
      <c r="D9" s="510">
        <f>B4/B9</f>
        <v>17.718048889384963</v>
      </c>
      <c r="E9" s="563">
        <f>C9*D9</f>
        <v>603400.86681845528</v>
      </c>
      <c r="F9" s="564"/>
      <c r="G9" s="894" t="s">
        <v>275</v>
      </c>
      <c r="H9" s="510">
        <f>AC28</f>
        <v>0.79679467795585102</v>
      </c>
      <c r="I9" s="892">
        <f>$AC$13</f>
        <v>34055.717454304911</v>
      </c>
      <c r="J9" s="510">
        <f>H4/H9</f>
        <v>19.452941176470592</v>
      </c>
      <c r="K9" s="563">
        <f>I9*J9</f>
        <v>662483.86836109625</v>
      </c>
      <c r="L9" s="895"/>
      <c r="M9" s="894" t="s">
        <v>275</v>
      </c>
      <c r="N9" s="510">
        <f>AD28</f>
        <v>0.84659434532809197</v>
      </c>
      <c r="O9" s="892">
        <f>$AC$13</f>
        <v>34055.717454304911</v>
      </c>
      <c r="P9" s="510">
        <f>N4/N9</f>
        <v>23.624065185846632</v>
      </c>
      <c r="Q9" s="563">
        <f>O9*P9</f>
        <v>804534.4890912741</v>
      </c>
      <c r="R9" s="564"/>
      <c r="S9" s="894" t="s">
        <v>275</v>
      </c>
      <c r="T9" s="510">
        <f>$AE28</f>
        <v>0.88045811914121597</v>
      </c>
      <c r="U9" s="892">
        <f>$AC$13</f>
        <v>34055.717454304911</v>
      </c>
      <c r="V9" s="522">
        <f>T4/T9</f>
        <v>28.394309117604116</v>
      </c>
      <c r="W9" s="466">
        <f>U9*V9</f>
        <v>966988.56861931959</v>
      </c>
      <c r="X9" s="468"/>
      <c r="Y9" s="468"/>
      <c r="Z9" s="464"/>
      <c r="AA9" s="524"/>
      <c r="AB9" s="525"/>
      <c r="AC9" s="526"/>
      <c r="AD9" s="469"/>
      <c r="AE9" s="469"/>
    </row>
    <row r="10" spans="1:31" s="523" customFormat="1" x14ac:dyDescent="0.2">
      <c r="A10" s="894" t="s">
        <v>276</v>
      </c>
      <c r="B10" s="510"/>
      <c r="C10" s="892">
        <f>$AC$13</f>
        <v>34055.717454304911</v>
      </c>
      <c r="D10" s="510">
        <f>D9*AB8</f>
        <v>3.4754634359947429</v>
      </c>
      <c r="E10" s="563">
        <f>C10*D10</f>
        <v>118359.40079900468</v>
      </c>
      <c r="F10" s="564"/>
      <c r="G10" s="894" t="s">
        <v>276</v>
      </c>
      <c r="H10" s="918"/>
      <c r="I10" s="892">
        <f>$AC$13</f>
        <v>34055.717454304911</v>
      </c>
      <c r="J10" s="510">
        <f>J9*$AB$8</f>
        <v>3.8157692307692312</v>
      </c>
      <c r="K10" s="563">
        <f>I10*J10</f>
        <v>129948.75879390733</v>
      </c>
      <c r="L10" s="895"/>
      <c r="M10" s="894" t="s">
        <v>276</v>
      </c>
      <c r="N10" s="510"/>
      <c r="O10" s="892">
        <f>$AC$13</f>
        <v>34055.717454304911</v>
      </c>
      <c r="P10" s="510">
        <f>P9*$AB$8</f>
        <v>4.633951247992993</v>
      </c>
      <c r="Q10" s="563">
        <f>O10*P10</f>
        <v>157812.53439867299</v>
      </c>
      <c r="R10" s="564"/>
      <c r="S10" s="894" t="s">
        <v>276</v>
      </c>
      <c r="T10" s="510"/>
      <c r="U10" s="892">
        <f>$AC$13</f>
        <v>34055.717454304911</v>
      </c>
      <c r="V10" s="522">
        <f>V9*$AB$8</f>
        <v>5.5696529422992693</v>
      </c>
      <c r="W10" s="466">
        <f>U10*V10</f>
        <v>189678.52692148194</v>
      </c>
      <c r="X10" s="468"/>
      <c r="Y10" s="468"/>
      <c r="Z10" s="528"/>
      <c r="AA10" s="529"/>
      <c r="AB10" s="529"/>
      <c r="AC10" s="530" t="s">
        <v>274</v>
      </c>
      <c r="AD10" s="531"/>
      <c r="AE10" s="532"/>
    </row>
    <row r="11" spans="1:31" s="466" customFormat="1" x14ac:dyDescent="0.2">
      <c r="A11" s="893" t="s">
        <v>370</v>
      </c>
      <c r="B11" s="510"/>
      <c r="C11" s="892">
        <f>$AC$14</f>
        <v>33504.965890805717</v>
      </c>
      <c r="D11" s="510">
        <f>AB23</f>
        <v>3</v>
      </c>
      <c r="E11" s="563">
        <f>C11*D11</f>
        <v>100514.89767241715</v>
      </c>
      <c r="F11" s="564"/>
      <c r="G11" s="893" t="s">
        <v>370</v>
      </c>
      <c r="H11" s="510"/>
      <c r="I11" s="892">
        <f>$AC$14</f>
        <v>33504.965890805717</v>
      </c>
      <c r="J11" s="510">
        <f>AC23</f>
        <v>3</v>
      </c>
      <c r="K11" s="563">
        <f>I11*J11</f>
        <v>100514.89767241715</v>
      </c>
      <c r="L11" s="563"/>
      <c r="M11" s="893" t="s">
        <v>370</v>
      </c>
      <c r="N11" s="510"/>
      <c r="O11" s="892">
        <f>$AC$14</f>
        <v>33504.965890805717</v>
      </c>
      <c r="P11" s="510">
        <f>AD23</f>
        <v>3</v>
      </c>
      <c r="Q11" s="563">
        <f>O11*P11</f>
        <v>100514.89767241715</v>
      </c>
      <c r="R11" s="564"/>
      <c r="S11" s="893" t="s">
        <v>370</v>
      </c>
      <c r="T11" s="510"/>
      <c r="U11" s="892">
        <f>$AC$14</f>
        <v>33504.965890805717</v>
      </c>
      <c r="V11" s="522">
        <f>$AE$23</f>
        <v>4</v>
      </c>
      <c r="W11" s="466">
        <f>U11*V11</f>
        <v>134019.86356322287</v>
      </c>
      <c r="X11" s="468"/>
      <c r="Y11" s="468"/>
      <c r="Z11" s="533" t="s">
        <v>272</v>
      </c>
      <c r="AA11" s="468"/>
      <c r="AC11" s="883">
        <f>'Youth Res Rate Models'!AC10</f>
        <v>65368.626426372299</v>
      </c>
      <c r="AD11" s="464" t="s">
        <v>404</v>
      </c>
      <c r="AE11" s="535"/>
    </row>
    <row r="12" spans="1:31" s="487" customFormat="1" x14ac:dyDescent="0.2">
      <c r="A12" s="896" t="s">
        <v>277</v>
      </c>
      <c r="B12" s="896"/>
      <c r="C12" s="897"/>
      <c r="D12" s="898">
        <f>SUM(D7:D11)</f>
        <v>30.343512325379709</v>
      </c>
      <c r="E12" s="897">
        <f>SUM(E7:E11)</f>
        <v>1190336.1393086135</v>
      </c>
      <c r="F12" s="899"/>
      <c r="G12" s="896" t="s">
        <v>277</v>
      </c>
      <c r="H12" s="896"/>
      <c r="I12" s="897"/>
      <c r="J12" s="898">
        <f>SUM(J7:J11)</f>
        <v>32.418710407239828</v>
      </c>
      <c r="K12" s="897">
        <f>SUM(K7:K11)</f>
        <v>1261008.498846157</v>
      </c>
      <c r="L12" s="608"/>
      <c r="M12" s="896" t="s">
        <v>277</v>
      </c>
      <c r="N12" s="896"/>
      <c r="O12" s="897"/>
      <c r="P12" s="898">
        <f>SUM(P7:P11)</f>
        <v>37.40801643383962</v>
      </c>
      <c r="Q12" s="897">
        <f>SUM(Q7:Q11)</f>
        <v>1430922.8951811008</v>
      </c>
      <c r="R12" s="899"/>
      <c r="S12" s="896" t="s">
        <v>277</v>
      </c>
      <c r="T12" s="896"/>
      <c r="U12" s="897"/>
      <c r="V12" s="538">
        <f>SUM(V7:V11)</f>
        <v>45.113962059903386</v>
      </c>
      <c r="W12" s="537">
        <f>SUM(W7:W11)</f>
        <v>1715627.5399232698</v>
      </c>
      <c r="X12" s="473"/>
      <c r="Y12" s="473"/>
      <c r="Z12" s="533" t="s">
        <v>273</v>
      </c>
      <c r="AA12" s="468"/>
      <c r="AC12" s="883">
        <f>'Youth Res Rate Models'!AC11</f>
        <v>56879.606800509006</v>
      </c>
      <c r="AD12" s="464" t="s">
        <v>404</v>
      </c>
      <c r="AE12" s="535"/>
    </row>
    <row r="13" spans="1:31" s="487" customFormat="1" x14ac:dyDescent="0.2">
      <c r="A13" s="607"/>
      <c r="B13" s="607"/>
      <c r="C13" s="899"/>
      <c r="D13" s="900"/>
      <c r="E13" s="899"/>
      <c r="F13" s="899"/>
      <c r="G13" s="607"/>
      <c r="H13" s="607"/>
      <c r="I13" s="899"/>
      <c r="J13" s="900"/>
      <c r="K13" s="899"/>
      <c r="L13" s="608"/>
      <c r="M13" s="607"/>
      <c r="N13" s="607"/>
      <c r="O13" s="899"/>
      <c r="P13" s="900"/>
      <c r="Q13" s="899"/>
      <c r="R13" s="899"/>
      <c r="S13" s="607"/>
      <c r="T13" s="607"/>
      <c r="U13" s="899"/>
      <c r="V13" s="539"/>
      <c r="W13" s="473"/>
      <c r="X13" s="473"/>
      <c r="Y13" s="473"/>
      <c r="Z13" s="540" t="s">
        <v>275</v>
      </c>
      <c r="AA13" s="492"/>
      <c r="AC13" s="883">
        <f>'Youth Res Rate Models'!AC12</f>
        <v>34055.717454304911</v>
      </c>
      <c r="AD13" s="464" t="s">
        <v>404</v>
      </c>
      <c r="AE13" s="535"/>
    </row>
    <row r="14" spans="1:31" s="487" customFormat="1" x14ac:dyDescent="0.2">
      <c r="A14" s="901" t="s">
        <v>278</v>
      </c>
      <c r="B14" s="901"/>
      <c r="C14" s="902"/>
      <c r="D14" s="903" t="s">
        <v>279</v>
      </c>
      <c r="E14" s="902"/>
      <c r="F14" s="904"/>
      <c r="G14" s="901" t="s">
        <v>278</v>
      </c>
      <c r="H14" s="901"/>
      <c r="I14" s="902"/>
      <c r="J14" s="903" t="s">
        <v>279</v>
      </c>
      <c r="K14" s="902"/>
      <c r="L14" s="608"/>
      <c r="M14" s="901" t="s">
        <v>278</v>
      </c>
      <c r="N14" s="901"/>
      <c r="O14" s="902"/>
      <c r="P14" s="903" t="s">
        <v>279</v>
      </c>
      <c r="Q14" s="902"/>
      <c r="R14" s="904"/>
      <c r="S14" s="901" t="s">
        <v>278</v>
      </c>
      <c r="T14" s="901"/>
      <c r="U14" s="902"/>
      <c r="V14" s="543" t="s">
        <v>279</v>
      </c>
      <c r="W14" s="542"/>
      <c r="X14" s="544"/>
      <c r="Y14" s="544"/>
      <c r="Z14" s="533" t="s">
        <v>370</v>
      </c>
      <c r="AA14" s="468"/>
      <c r="AC14" s="883">
        <f>'Youth Res Rate Models'!AC13</f>
        <v>33504.965890805717</v>
      </c>
      <c r="AD14" s="464" t="s">
        <v>404</v>
      </c>
      <c r="AE14" s="535"/>
    </row>
    <row r="15" spans="1:31" s="469" customFormat="1" x14ac:dyDescent="0.2">
      <c r="A15" s="545" t="s">
        <v>280</v>
      </c>
      <c r="B15" s="546"/>
      <c r="C15" s="567">
        <f>$AB$31</f>
        <v>0.25578770213785851</v>
      </c>
      <c r="D15" s="905"/>
      <c r="E15" s="563">
        <f>C15*E12</f>
        <v>304473.34584540006</v>
      </c>
      <c r="F15" s="906"/>
      <c r="G15" s="545" t="s">
        <v>280</v>
      </c>
      <c r="H15" s="546"/>
      <c r="I15" s="567">
        <f>$AB$31</f>
        <v>0.25578770213785851</v>
      </c>
      <c r="J15" s="905"/>
      <c r="K15" s="563">
        <f>I15*K12</f>
        <v>322550.46629616892</v>
      </c>
      <c r="L15" s="546"/>
      <c r="M15" s="545" t="s">
        <v>280</v>
      </c>
      <c r="N15" s="546"/>
      <c r="O15" s="567">
        <f>$AB$31</f>
        <v>0.25578770213785851</v>
      </c>
      <c r="P15" s="905"/>
      <c r="Q15" s="563">
        <f>O15*Q12</f>
        <v>366012.47929482552</v>
      </c>
      <c r="R15" s="906"/>
      <c r="S15" s="545" t="s">
        <v>280</v>
      </c>
      <c r="T15" s="546"/>
      <c r="U15" s="567">
        <f>$AB$31</f>
        <v>0.25578770213785851</v>
      </c>
      <c r="V15" s="547"/>
      <c r="W15" s="466">
        <f>U15*W12</f>
        <v>438836.42616140028</v>
      </c>
      <c r="X15" s="548"/>
      <c r="Y15" s="548"/>
      <c r="Z15" s="549"/>
      <c r="AA15" s="468"/>
      <c r="AB15" s="534"/>
      <c r="AC15" s="464"/>
      <c r="AD15" s="464"/>
      <c r="AE15" s="535"/>
    </row>
    <row r="16" spans="1:31" x14ac:dyDescent="0.2">
      <c r="A16" s="907" t="s">
        <v>282</v>
      </c>
      <c r="B16" s="907"/>
      <c r="C16" s="908"/>
      <c r="D16" s="552">
        <f>E15/E3</f>
        <v>69.514462521780843</v>
      </c>
      <c r="E16" s="909">
        <f>E15+E12</f>
        <v>1494809.4851540136</v>
      </c>
      <c r="F16" s="564"/>
      <c r="G16" s="907" t="s">
        <v>282</v>
      </c>
      <c r="H16" s="907"/>
      <c r="I16" s="908"/>
      <c r="J16" s="552">
        <f>K16/K3</f>
        <v>279.90436856249687</v>
      </c>
      <c r="K16" s="909">
        <f>K15+K12</f>
        <v>1583558.965142326</v>
      </c>
      <c r="L16" s="564"/>
      <c r="M16" s="907" t="s">
        <v>282</v>
      </c>
      <c r="N16" s="907"/>
      <c r="O16" s="908"/>
      <c r="P16" s="552">
        <f>Q16/Q3</f>
        <v>246.1555307501269</v>
      </c>
      <c r="Q16" s="909">
        <f>Q15+Q12</f>
        <v>1796935.3744759264</v>
      </c>
      <c r="R16" s="904"/>
      <c r="S16" s="907" t="s">
        <v>282</v>
      </c>
      <c r="T16" s="907"/>
      <c r="U16" s="908"/>
      <c r="V16" s="552">
        <f>W16/W3</f>
        <v>236.10564011886797</v>
      </c>
      <c r="W16" s="553">
        <f>W15+W12</f>
        <v>2154463.9660846703</v>
      </c>
      <c r="X16" s="544"/>
      <c r="Y16" s="544"/>
      <c r="Z16" s="549"/>
      <c r="AB16" s="1144" t="s">
        <v>270</v>
      </c>
      <c r="AC16" s="1144"/>
      <c r="AD16" s="1144"/>
      <c r="AE16" s="1145"/>
    </row>
    <row r="17" spans="1:33" x14ac:dyDescent="0.2">
      <c r="A17" s="545"/>
      <c r="B17" s="545"/>
      <c r="C17" s="563"/>
      <c r="D17" s="917"/>
      <c r="E17" s="563"/>
      <c r="F17" s="564"/>
      <c r="G17" s="545"/>
      <c r="H17" s="545"/>
      <c r="I17" s="563"/>
      <c r="J17" s="917"/>
      <c r="K17" s="563"/>
      <c r="L17" s="564"/>
      <c r="M17" s="545"/>
      <c r="N17" s="545"/>
      <c r="O17" s="563"/>
      <c r="P17" s="917"/>
      <c r="Q17" s="563"/>
      <c r="R17" s="564"/>
      <c r="S17" s="545"/>
      <c r="T17" s="545"/>
      <c r="U17" s="563"/>
      <c r="V17" s="467"/>
      <c r="W17" s="466"/>
      <c r="Z17" s="554"/>
      <c r="AA17" s="555" t="s">
        <v>281</v>
      </c>
      <c r="AB17" s="556" t="s">
        <v>339</v>
      </c>
      <c r="AC17" s="557" t="s">
        <v>340</v>
      </c>
      <c r="AD17" s="558" t="s">
        <v>263</v>
      </c>
      <c r="AE17" s="559" t="s">
        <v>303</v>
      </c>
    </row>
    <row r="18" spans="1:33" x14ac:dyDescent="0.2">
      <c r="A18" s="545" t="s">
        <v>91</v>
      </c>
      <c r="B18" s="545"/>
      <c r="C18" s="563"/>
      <c r="D18" s="510">
        <f>$AB$33</f>
        <v>36.208547154554275</v>
      </c>
      <c r="E18" s="563">
        <f>D18*E$3</f>
        <v>158593.43653694773</v>
      </c>
      <c r="F18" s="564"/>
      <c r="G18" s="545" t="s">
        <v>91</v>
      </c>
      <c r="H18" s="545"/>
      <c r="I18" s="563"/>
      <c r="J18" s="510">
        <f>$AB$33</f>
        <v>36.208547154554275</v>
      </c>
      <c r="K18" s="563">
        <f>J18*K$3</f>
        <v>204849.85552689081</v>
      </c>
      <c r="L18" s="564"/>
      <c r="M18" s="545" t="s">
        <v>91</v>
      </c>
      <c r="N18" s="545"/>
      <c r="O18" s="563"/>
      <c r="P18" s="510">
        <f>$AB$33</f>
        <v>36.208547154554275</v>
      </c>
      <c r="Q18" s="563">
        <f>P18*Q$3</f>
        <v>264322.39422824618</v>
      </c>
      <c r="R18" s="564"/>
      <c r="S18" s="545" t="s">
        <v>91</v>
      </c>
      <c r="T18" s="545"/>
      <c r="U18" s="563"/>
      <c r="V18" s="510">
        <f>$AB$33</f>
        <v>36.208547154554275</v>
      </c>
      <c r="W18" s="466">
        <f>V18*W$3</f>
        <v>330402.99278530775</v>
      </c>
      <c r="Z18" s="533" t="s">
        <v>272</v>
      </c>
      <c r="AB18" s="561">
        <v>2.15</v>
      </c>
      <c r="AC18" s="561">
        <v>2.15</v>
      </c>
      <c r="AD18" s="561">
        <v>2.15</v>
      </c>
      <c r="AE18" s="562">
        <v>2.15</v>
      </c>
    </row>
    <row r="19" spans="1:33" x14ac:dyDescent="0.2">
      <c r="C19" s="466"/>
      <c r="D19" s="510"/>
      <c r="E19" s="563"/>
      <c r="F19" s="564"/>
      <c r="G19" s="463"/>
      <c r="H19" s="463"/>
      <c r="J19" s="510"/>
      <c r="K19" s="563"/>
      <c r="M19" s="463"/>
      <c r="N19" s="463"/>
      <c r="O19" s="466"/>
      <c r="P19" s="510"/>
      <c r="Q19" s="563"/>
      <c r="R19" s="564"/>
      <c r="S19" s="463"/>
      <c r="T19" s="463"/>
      <c r="U19" s="466"/>
      <c r="V19" s="510"/>
      <c r="W19" s="563"/>
      <c r="X19" s="564"/>
      <c r="Y19" s="564"/>
      <c r="Z19" s="533" t="s">
        <v>273</v>
      </c>
      <c r="AB19" s="724">
        <v>4</v>
      </c>
      <c r="AC19" s="724">
        <v>4</v>
      </c>
      <c r="AD19" s="724">
        <v>4</v>
      </c>
      <c r="AE19" s="725">
        <v>5</v>
      </c>
    </row>
    <row r="20" spans="1:33" x14ac:dyDescent="0.2">
      <c r="A20" s="463" t="s">
        <v>283</v>
      </c>
      <c r="C20" s="466"/>
      <c r="D20" s="510">
        <f>$AB37</f>
        <v>18.364580498704061</v>
      </c>
      <c r="E20" s="466">
        <f>D20*E$3</f>
        <v>80436.862584323782</v>
      </c>
      <c r="F20" s="468"/>
      <c r="G20" s="463" t="s">
        <v>283</v>
      </c>
      <c r="H20" s="463"/>
      <c r="J20" s="510">
        <f>$AB37</f>
        <v>18.364580498704061</v>
      </c>
      <c r="K20" s="466">
        <f>J20*K$3</f>
        <v>103897.61417141823</v>
      </c>
      <c r="M20" s="463" t="s">
        <v>283</v>
      </c>
      <c r="N20" s="463"/>
      <c r="O20" s="466"/>
      <c r="P20" s="510">
        <f>$AB37</f>
        <v>18.364580498704061</v>
      </c>
      <c r="Q20" s="466">
        <f>P20*Q$3</f>
        <v>134061.43764053966</v>
      </c>
      <c r="R20" s="468"/>
      <c r="S20" s="463" t="s">
        <v>283</v>
      </c>
      <c r="T20" s="463"/>
      <c r="U20" s="466"/>
      <c r="V20" s="510">
        <f>$AB37</f>
        <v>18.364580498704061</v>
      </c>
      <c r="W20" s="466">
        <f>V20*W$3</f>
        <v>167576.79705067456</v>
      </c>
      <c r="Z20" s="549"/>
      <c r="AB20" s="561"/>
      <c r="AC20" s="561"/>
      <c r="AD20" s="561"/>
      <c r="AE20" s="565"/>
    </row>
    <row r="21" spans="1:33" x14ac:dyDescent="0.2">
      <c r="C21" s="466"/>
      <c r="D21" s="566">
        <f>SUM(D18:D20)</f>
        <v>54.573127653258339</v>
      </c>
      <c r="E21" s="466"/>
      <c r="F21" s="468"/>
      <c r="G21" s="463"/>
      <c r="H21" s="463"/>
      <c r="J21" s="566">
        <f>SUM(J18:J20)</f>
        <v>54.573127653258339</v>
      </c>
      <c r="M21" s="463"/>
      <c r="N21" s="463"/>
      <c r="O21" s="466"/>
      <c r="P21" s="566">
        <f>SUM(P18:P20)</f>
        <v>54.573127653258339</v>
      </c>
      <c r="Q21" s="466"/>
      <c r="R21" s="468"/>
      <c r="S21" s="463"/>
      <c r="T21" s="463"/>
      <c r="U21" s="466"/>
      <c r="V21" s="566">
        <f>SUM(V18:V20)</f>
        <v>54.573127653258339</v>
      </c>
      <c r="W21" s="466"/>
      <c r="Z21" s="533" t="s">
        <v>370</v>
      </c>
      <c r="AB21" s="561"/>
      <c r="AC21" s="561"/>
      <c r="AD21" s="561"/>
      <c r="AE21" s="565"/>
    </row>
    <row r="22" spans="1:33" x14ac:dyDescent="0.2">
      <c r="A22" s="536" t="s">
        <v>371</v>
      </c>
      <c r="B22" s="536"/>
      <c r="C22" s="537"/>
      <c r="D22" s="538"/>
      <c r="E22" s="537">
        <f>SUM(E16:E20)</f>
        <v>1733839.7842752852</v>
      </c>
      <c r="F22" s="473"/>
      <c r="G22" s="536" t="s">
        <v>371</v>
      </c>
      <c r="H22" s="536"/>
      <c r="I22" s="537"/>
      <c r="J22" s="538"/>
      <c r="K22" s="537">
        <f>SUM(K16:K20)</f>
        <v>1892306.4348406349</v>
      </c>
      <c r="M22" s="536" t="s">
        <v>371</v>
      </c>
      <c r="N22" s="536"/>
      <c r="O22" s="537"/>
      <c r="P22" s="538"/>
      <c r="Q22" s="537">
        <f>SUM(Q16:Q20)</f>
        <v>2195319.2063447125</v>
      </c>
      <c r="R22" s="473"/>
      <c r="S22" s="536" t="s">
        <v>371</v>
      </c>
      <c r="T22" s="536"/>
      <c r="U22" s="537"/>
      <c r="V22" s="538"/>
      <c r="W22" s="537">
        <f>SUM(W16:W20)</f>
        <v>2652443.7559206523</v>
      </c>
      <c r="X22" s="473"/>
      <c r="Y22" s="473"/>
      <c r="Z22" s="549" t="s">
        <v>284</v>
      </c>
      <c r="AB22" s="724">
        <f>'Rate Options'!AJ22</f>
        <v>0.75</v>
      </c>
      <c r="AC22" s="724">
        <f>'Rate Options'!AK22</f>
        <v>0.9</v>
      </c>
      <c r="AD22" s="724">
        <f>'Rate Options'!AL22</f>
        <v>1</v>
      </c>
      <c r="AE22" s="565">
        <v>1.5</v>
      </c>
    </row>
    <row r="23" spans="1:33" x14ac:dyDescent="0.2">
      <c r="A23" s="463" t="s">
        <v>286</v>
      </c>
      <c r="C23" s="567">
        <f>$AB$40</f>
        <v>0.121061</v>
      </c>
      <c r="D23" s="522"/>
      <c r="E23" s="466">
        <f>C23*E22</f>
        <v>209900.3781241503</v>
      </c>
      <c r="F23" s="468"/>
      <c r="G23" s="463" t="s">
        <v>286</v>
      </c>
      <c r="H23" s="463"/>
      <c r="I23" s="567">
        <f>$AB$40</f>
        <v>0.121061</v>
      </c>
      <c r="J23" s="522"/>
      <c r="K23" s="466">
        <f>I23*K22</f>
        <v>229084.50930824212</v>
      </c>
      <c r="M23" s="463" t="s">
        <v>286</v>
      </c>
      <c r="N23" s="463"/>
      <c r="O23" s="567">
        <f>$AB$40</f>
        <v>0.121061</v>
      </c>
      <c r="P23" s="522"/>
      <c r="Q23" s="466">
        <f>O23*Q22</f>
        <v>265767.53843929723</v>
      </c>
      <c r="R23" s="468"/>
      <c r="S23" s="463" t="s">
        <v>286</v>
      </c>
      <c r="T23" s="463"/>
      <c r="U23" s="567">
        <f>$AB$40</f>
        <v>0.121061</v>
      </c>
      <c r="V23" s="522"/>
      <c r="W23" s="466">
        <f>U23*W22</f>
        <v>321107.49353551009</v>
      </c>
      <c r="Z23" s="549" t="s">
        <v>285</v>
      </c>
      <c r="AB23" s="724">
        <v>3</v>
      </c>
      <c r="AC23" s="724">
        <v>3</v>
      </c>
      <c r="AD23" s="724">
        <v>3</v>
      </c>
      <c r="AE23" s="725">
        <v>4</v>
      </c>
    </row>
    <row r="24" spans="1:33" x14ac:dyDescent="0.2">
      <c r="A24" s="1000" t="str">
        <f>Z39</f>
        <v>PFLMA Trust Contribution</v>
      </c>
      <c r="B24" s="1001"/>
      <c r="C24" s="1002">
        <f>AB39</f>
        <v>6.3E-3</v>
      </c>
      <c r="D24" s="1003"/>
      <c r="E24" s="1000">
        <f>E12*C24</f>
        <v>7499.1176776442653</v>
      </c>
      <c r="F24" s="1004"/>
      <c r="G24" s="1000" t="str">
        <f>A24</f>
        <v>PFLMA Trust Contribution</v>
      </c>
      <c r="H24" s="1001"/>
      <c r="I24" s="1002">
        <f>C24</f>
        <v>6.3E-3</v>
      </c>
      <c r="J24" s="1003"/>
      <c r="K24" s="1000">
        <f>K12*I24</f>
        <v>7944.3535427307888</v>
      </c>
      <c r="L24" s="1004"/>
      <c r="M24" s="1000" t="str">
        <f>G24</f>
        <v>PFLMA Trust Contribution</v>
      </c>
      <c r="N24" s="1001"/>
      <c r="O24" s="1002">
        <f>I24</f>
        <v>6.3E-3</v>
      </c>
      <c r="P24" s="1003"/>
      <c r="Q24" s="1000">
        <f>Q12*O24</f>
        <v>9014.8142396409348</v>
      </c>
      <c r="R24" s="1004"/>
      <c r="S24" s="1000" t="str">
        <f>M24</f>
        <v>PFLMA Trust Contribution</v>
      </c>
      <c r="T24" s="1001"/>
      <c r="U24" s="1002">
        <f>O24</f>
        <v>6.3E-3</v>
      </c>
      <c r="V24" s="1003"/>
      <c r="W24" s="1000">
        <f>W12*U24</f>
        <v>10808.4535015166</v>
      </c>
      <c r="Z24" s="549"/>
      <c r="AB24" s="724"/>
      <c r="AC24" s="724"/>
      <c r="AD24" s="724"/>
      <c r="AE24" s="725"/>
    </row>
    <row r="25" spans="1:33" s="487" customFormat="1" ht="15" customHeight="1" thickBot="1" x14ac:dyDescent="0.25">
      <c r="A25" s="568" t="s">
        <v>288</v>
      </c>
      <c r="B25" s="568"/>
      <c r="C25" s="569"/>
      <c r="D25" s="570"/>
      <c r="E25" s="571">
        <f>ROUND(SUM(E22:E24),2)</f>
        <v>1951239.28</v>
      </c>
      <c r="F25" s="473"/>
      <c r="G25" s="568" t="s">
        <v>288</v>
      </c>
      <c r="H25" s="568"/>
      <c r="I25" s="569"/>
      <c r="J25" s="570"/>
      <c r="K25" s="571">
        <f>ROUND(SUM(K22:K24),2)</f>
        <v>2129335.2999999998</v>
      </c>
      <c r="M25" s="568" t="s">
        <v>288</v>
      </c>
      <c r="N25" s="568"/>
      <c r="O25" s="569"/>
      <c r="P25" s="570"/>
      <c r="Q25" s="571">
        <f>ROUND(SUM(Q22:Q24),2)</f>
        <v>2470101.56</v>
      </c>
      <c r="R25" s="473"/>
      <c r="S25" s="568" t="s">
        <v>288</v>
      </c>
      <c r="T25" s="568"/>
      <c r="U25" s="569"/>
      <c r="V25" s="570"/>
      <c r="W25" s="571">
        <f>ROUND(SUM(W22:W24),2)</f>
        <v>2984359.7</v>
      </c>
      <c r="X25" s="473"/>
      <c r="Y25" s="473"/>
      <c r="Z25" s="549"/>
      <c r="AA25" s="468"/>
      <c r="AB25" s="724"/>
      <c r="AC25" s="724"/>
      <c r="AD25" s="724"/>
      <c r="AE25" s="725"/>
    </row>
    <row r="26" spans="1:33" s="487" customFormat="1" ht="13.5" thickTop="1" x14ac:dyDescent="0.2">
      <c r="A26" s="541"/>
      <c r="B26" s="541"/>
      <c r="C26" s="542"/>
      <c r="D26" s="572"/>
      <c r="E26" s="542"/>
      <c r="F26" s="544"/>
      <c r="G26" s="541"/>
      <c r="H26" s="541"/>
      <c r="I26" s="542"/>
      <c r="J26" s="572"/>
      <c r="K26" s="542"/>
      <c r="M26" s="541"/>
      <c r="N26" s="541"/>
      <c r="O26" s="542"/>
      <c r="P26" s="572"/>
      <c r="Q26" s="542"/>
      <c r="R26" s="544"/>
      <c r="S26" s="541"/>
      <c r="T26" s="541"/>
      <c r="U26" s="542"/>
      <c r="V26" s="572"/>
      <c r="W26" s="542"/>
      <c r="X26" s="544"/>
      <c r="Y26" s="544"/>
      <c r="Z26" s="549"/>
      <c r="AA26" s="468"/>
      <c r="AB26" s="1146" t="s">
        <v>287</v>
      </c>
      <c r="AC26" s="1146"/>
      <c r="AD26" s="1146"/>
      <c r="AE26" s="1147"/>
      <c r="AG26" s="573"/>
    </row>
    <row r="27" spans="1:33" s="577" customFormat="1" ht="13.15" customHeight="1" x14ac:dyDescent="0.2">
      <c r="A27" s="574" t="s">
        <v>289</v>
      </c>
      <c r="B27" s="574"/>
      <c r="C27" s="575"/>
      <c r="D27" s="575"/>
      <c r="E27" s="576">
        <f>E25/E3</f>
        <v>445.4884200913242</v>
      </c>
      <c r="F27" s="578"/>
      <c r="G27" s="574" t="s">
        <v>289</v>
      </c>
      <c r="H27" s="574"/>
      <c r="I27" s="575"/>
      <c r="J27" s="575"/>
      <c r="K27" s="576">
        <f>K25/K3</f>
        <v>376.37389306230665</v>
      </c>
      <c r="M27" s="574" t="s">
        <v>289</v>
      </c>
      <c r="N27" s="574"/>
      <c r="O27" s="575"/>
      <c r="P27" s="575"/>
      <c r="Q27" s="576">
        <f>Q25/Q3</f>
        <v>338.3700767123288</v>
      </c>
      <c r="S27" s="574" t="s">
        <v>289</v>
      </c>
      <c r="T27" s="574"/>
      <c r="U27" s="575"/>
      <c r="V27" s="575"/>
      <c r="W27" s="576">
        <f>W25/W3</f>
        <v>327.05311780821921</v>
      </c>
      <c r="Z27" s="549"/>
      <c r="AA27" s="555" t="s">
        <v>281</v>
      </c>
      <c r="AB27" s="884" t="s">
        <v>339</v>
      </c>
      <c r="AC27" s="885" t="s">
        <v>340</v>
      </c>
      <c r="AD27" s="886" t="s">
        <v>263</v>
      </c>
      <c r="AE27" s="887" t="s">
        <v>303</v>
      </c>
    </row>
    <row r="28" spans="1:33" s="577" customFormat="1" ht="13.5" thickBot="1" x14ac:dyDescent="0.25">
      <c r="A28" s="574" t="s">
        <v>290</v>
      </c>
      <c r="B28" s="574"/>
      <c r="C28" s="579" t="e">
        <f>AB41</f>
        <v>#REF!</v>
      </c>
      <c r="D28" s="575"/>
      <c r="E28" s="576"/>
      <c r="F28" s="578"/>
      <c r="G28" s="574" t="s">
        <v>290</v>
      </c>
      <c r="H28" s="574"/>
      <c r="I28" s="579" t="e">
        <f>AB41</f>
        <v>#REF!</v>
      </c>
      <c r="J28" s="575"/>
      <c r="K28" s="576"/>
      <c r="M28" s="574" t="s">
        <v>290</v>
      </c>
      <c r="N28" s="574"/>
      <c r="O28" s="579" t="e">
        <f>AB41</f>
        <v>#REF!</v>
      </c>
      <c r="P28" s="575"/>
      <c r="Q28" s="576"/>
      <c r="R28" s="464"/>
      <c r="S28" s="574" t="s">
        <v>290</v>
      </c>
      <c r="T28" s="574"/>
      <c r="U28" s="579" t="e">
        <f>AB41</f>
        <v>#REF!</v>
      </c>
      <c r="V28" s="575"/>
      <c r="W28" s="576"/>
      <c r="X28" s="464"/>
      <c r="Y28" s="464"/>
      <c r="Z28" s="580" t="s">
        <v>275</v>
      </c>
      <c r="AA28" s="468"/>
      <c r="AB28" s="727">
        <v>0.67727547626247397</v>
      </c>
      <c r="AC28" s="724">
        <v>0.79679467795585102</v>
      </c>
      <c r="AD28" s="724">
        <v>0.84659434532809197</v>
      </c>
      <c r="AE28" s="725">
        <v>0.88045811914121597</v>
      </c>
    </row>
    <row r="29" spans="1:33" ht="13.5" thickBot="1" x14ac:dyDescent="0.25">
      <c r="A29" s="581" t="s">
        <v>292</v>
      </c>
      <c r="B29" s="531"/>
      <c r="C29" s="582">
        <v>0.9</v>
      </c>
      <c r="D29" s="478"/>
      <c r="E29" s="890" t="e">
        <f>($E$25/$E$3)*($C$28+1)/C29</f>
        <v>#REF!</v>
      </c>
      <c r="G29" s="581" t="s">
        <v>292</v>
      </c>
      <c r="H29" s="531"/>
      <c r="I29" s="582">
        <v>0.9</v>
      </c>
      <c r="J29" s="478"/>
      <c r="K29" s="584" t="e">
        <f>K$25*(I$28+1)/(K$3*I29)</f>
        <v>#REF!</v>
      </c>
      <c r="M29" s="581" t="s">
        <v>292</v>
      </c>
      <c r="N29" s="531"/>
      <c r="O29" s="582">
        <v>0.9</v>
      </c>
      <c r="P29" s="478"/>
      <c r="Q29" s="584" t="e">
        <f>Q$25*(O$28+1)/(Q$3*O29)</f>
        <v>#REF!</v>
      </c>
      <c r="R29" s="468"/>
      <c r="S29" s="581" t="s">
        <v>292</v>
      </c>
      <c r="T29" s="531"/>
      <c r="U29" s="582">
        <v>0.9</v>
      </c>
      <c r="V29" s="478"/>
      <c r="W29" s="584" t="e">
        <f>W$25*(U$28+1)/(W$3*U29)</f>
        <v>#REF!</v>
      </c>
      <c r="X29" s="576"/>
      <c r="Y29" s="576"/>
      <c r="Z29" s="580"/>
      <c r="AB29" s="724"/>
      <c r="AC29" s="724"/>
      <c r="AD29" s="724"/>
      <c r="AE29" s="725"/>
    </row>
    <row r="30" spans="1:33" ht="13.5" thickBot="1" x14ac:dyDescent="0.25">
      <c r="A30" s="585"/>
      <c r="B30" s="464"/>
      <c r="C30" s="586">
        <v>0.85</v>
      </c>
      <c r="D30" s="468"/>
      <c r="E30" s="890" t="e">
        <f t="shared" ref="E30:E37" si="0">($E$25/$E$3)*($C$28+1)/C30</f>
        <v>#REF!</v>
      </c>
      <c r="G30" s="585"/>
      <c r="H30" s="464"/>
      <c r="I30" s="586">
        <v>0.85</v>
      </c>
      <c r="J30" s="468"/>
      <c r="K30" s="584" t="e">
        <f t="shared" ref="K30:K37" si="1">K$25*(I$28+1)/(K$3*I30)</f>
        <v>#REF!</v>
      </c>
      <c r="M30" s="585"/>
      <c r="N30" s="464"/>
      <c r="O30" s="586">
        <v>0.85</v>
      </c>
      <c r="P30" s="468"/>
      <c r="Q30" s="584" t="e">
        <f t="shared" ref="Q30:Q37" si="2">Q$25*(O$28+1)/(Q$3*O30)</f>
        <v>#REF!</v>
      </c>
      <c r="R30" s="468"/>
      <c r="S30" s="585"/>
      <c r="T30" s="464"/>
      <c r="U30" s="586">
        <v>0.85</v>
      </c>
      <c r="V30" s="468"/>
      <c r="W30" s="584" t="e">
        <f t="shared" ref="W30:W37" si="3">W$25*(U$28+1)/(W$3*U30)</f>
        <v>#REF!</v>
      </c>
      <c r="X30" s="576"/>
      <c r="Y30" s="576"/>
      <c r="Z30" s="588" t="s">
        <v>278</v>
      </c>
      <c r="AA30" s="589"/>
      <c r="AB30" s="564"/>
      <c r="AC30" s="524"/>
      <c r="AD30" s="524"/>
      <c r="AE30" s="888"/>
    </row>
    <row r="31" spans="1:33" ht="13.5" thickBot="1" x14ac:dyDescent="0.25">
      <c r="A31" s="585"/>
      <c r="B31" s="464"/>
      <c r="C31" s="586">
        <v>0.8</v>
      </c>
      <c r="D31" s="468"/>
      <c r="E31" s="890" t="e">
        <f t="shared" si="0"/>
        <v>#REF!</v>
      </c>
      <c r="G31" s="585"/>
      <c r="H31" s="464"/>
      <c r="I31" s="586">
        <v>0.8</v>
      </c>
      <c r="J31" s="468"/>
      <c r="K31" s="584" t="e">
        <f t="shared" si="1"/>
        <v>#REF!</v>
      </c>
      <c r="M31" s="585"/>
      <c r="N31" s="464"/>
      <c r="O31" s="586">
        <v>0.8</v>
      </c>
      <c r="P31" s="468"/>
      <c r="Q31" s="584" t="e">
        <f t="shared" si="2"/>
        <v>#REF!</v>
      </c>
      <c r="R31" s="468"/>
      <c r="S31" s="585"/>
      <c r="T31" s="464"/>
      <c r="U31" s="586">
        <v>0.8</v>
      </c>
      <c r="V31" s="468"/>
      <c r="W31" s="584" t="e">
        <f t="shared" si="3"/>
        <v>#REF!</v>
      </c>
      <c r="X31" s="576"/>
      <c r="Y31" s="576"/>
      <c r="Z31" s="590" t="s">
        <v>280</v>
      </c>
      <c r="AA31" s="464"/>
      <c r="AB31" s="591">
        <f>'Rate Options'!AJ30</f>
        <v>0.25578770213785851</v>
      </c>
      <c r="AC31" s="609"/>
      <c r="AD31" s="524"/>
      <c r="AE31" s="888"/>
    </row>
    <row r="32" spans="1:33" ht="13.5" thickBot="1" x14ac:dyDescent="0.25">
      <c r="A32" s="585"/>
      <c r="B32" s="464"/>
      <c r="C32" s="586">
        <v>0.75</v>
      </c>
      <c r="D32" s="468"/>
      <c r="E32" s="890" t="e">
        <f t="shared" si="0"/>
        <v>#REF!</v>
      </c>
      <c r="G32" s="585"/>
      <c r="H32" s="464"/>
      <c r="I32" s="586">
        <v>0.75</v>
      </c>
      <c r="J32" s="468"/>
      <c r="K32" s="584" t="e">
        <f t="shared" si="1"/>
        <v>#REF!</v>
      </c>
      <c r="M32" s="585"/>
      <c r="N32" s="464"/>
      <c r="O32" s="586">
        <v>0.75</v>
      </c>
      <c r="P32" s="468"/>
      <c r="Q32" s="584" t="e">
        <f t="shared" si="2"/>
        <v>#REF!</v>
      </c>
      <c r="R32" s="468"/>
      <c r="S32" s="585"/>
      <c r="T32" s="464"/>
      <c r="U32" s="586">
        <v>0.75</v>
      </c>
      <c r="V32" s="468"/>
      <c r="W32" s="584" t="e">
        <f t="shared" si="3"/>
        <v>#REF!</v>
      </c>
      <c r="X32" s="576"/>
      <c r="Y32" s="576"/>
      <c r="Z32" s="489"/>
      <c r="AA32" s="464"/>
      <c r="AB32" s="564"/>
      <c r="AC32" s="889"/>
      <c r="AD32" s="524"/>
      <c r="AE32" s="888"/>
    </row>
    <row r="33" spans="1:31" ht="13.5" thickBot="1" x14ac:dyDescent="0.25">
      <c r="A33" s="585"/>
      <c r="B33" s="464"/>
      <c r="C33" s="586">
        <v>0.7</v>
      </c>
      <c r="D33" s="468"/>
      <c r="E33" s="890" t="e">
        <f t="shared" si="0"/>
        <v>#REF!</v>
      </c>
      <c r="G33" s="585"/>
      <c r="H33" s="464"/>
      <c r="I33" s="586">
        <v>0.7</v>
      </c>
      <c r="J33" s="468"/>
      <c r="K33" s="584" t="e">
        <f t="shared" si="1"/>
        <v>#REF!</v>
      </c>
      <c r="M33" s="585"/>
      <c r="N33" s="464"/>
      <c r="O33" s="586">
        <v>0.7</v>
      </c>
      <c r="P33" s="468"/>
      <c r="Q33" s="584" t="e">
        <f t="shared" si="2"/>
        <v>#REF!</v>
      </c>
      <c r="R33" s="468"/>
      <c r="S33" s="585"/>
      <c r="T33" s="464"/>
      <c r="U33" s="586">
        <v>0.7</v>
      </c>
      <c r="V33" s="468"/>
      <c r="W33" s="584" t="e">
        <f t="shared" si="3"/>
        <v>#REF!</v>
      </c>
      <c r="X33" s="576"/>
      <c r="Y33" s="576"/>
      <c r="Z33" s="489" t="s">
        <v>293</v>
      </c>
      <c r="AA33" s="464"/>
      <c r="AB33" s="593">
        <f>'Youth Res Rate Models'!AB32</f>
        <v>36.208547154554275</v>
      </c>
      <c r="AC33" s="524" t="s">
        <v>404</v>
      </c>
      <c r="AD33" s="524"/>
      <c r="AE33" s="888"/>
    </row>
    <row r="34" spans="1:31" ht="13.5" thickBot="1" x14ac:dyDescent="0.25">
      <c r="A34" s="585"/>
      <c r="B34" s="464"/>
      <c r="C34" s="586">
        <v>0.65</v>
      </c>
      <c r="D34" s="468"/>
      <c r="E34" s="890" t="e">
        <f t="shared" si="0"/>
        <v>#REF!</v>
      </c>
      <c r="G34" s="585"/>
      <c r="H34" s="464"/>
      <c r="I34" s="586">
        <v>0.65</v>
      </c>
      <c r="J34" s="468"/>
      <c r="K34" s="584" t="e">
        <f t="shared" si="1"/>
        <v>#REF!</v>
      </c>
      <c r="M34" s="585"/>
      <c r="N34" s="464"/>
      <c r="O34" s="586">
        <v>0.65</v>
      </c>
      <c r="P34" s="468"/>
      <c r="Q34" s="584" t="e">
        <f t="shared" si="2"/>
        <v>#REF!</v>
      </c>
      <c r="R34" s="468"/>
      <c r="S34" s="585"/>
      <c r="T34" s="464"/>
      <c r="U34" s="586">
        <v>0.65</v>
      </c>
      <c r="V34" s="468"/>
      <c r="W34" s="584" t="e">
        <f t="shared" si="3"/>
        <v>#REF!</v>
      </c>
      <c r="X34" s="576"/>
      <c r="Y34" s="576"/>
      <c r="Z34" s="489" t="s">
        <v>294</v>
      </c>
      <c r="AA34" s="464"/>
      <c r="AB34" s="593">
        <f>'Youth Res Rate Models'!AB33</f>
        <v>19.209698401603287</v>
      </c>
      <c r="AC34" s="524" t="s">
        <v>404</v>
      </c>
      <c r="AD34" s="524"/>
      <c r="AE34" s="888"/>
    </row>
    <row r="35" spans="1:31" ht="13.5" thickBot="1" x14ac:dyDescent="0.25">
      <c r="A35" s="585"/>
      <c r="B35" s="464"/>
      <c r="C35" s="586">
        <v>0.6</v>
      </c>
      <c r="D35" s="468"/>
      <c r="E35" s="890" t="e">
        <f t="shared" si="0"/>
        <v>#REF!</v>
      </c>
      <c r="G35" s="585"/>
      <c r="H35" s="464"/>
      <c r="I35" s="586">
        <v>0.6</v>
      </c>
      <c r="J35" s="468"/>
      <c r="K35" s="584" t="e">
        <f t="shared" si="1"/>
        <v>#REF!</v>
      </c>
      <c r="M35" s="585"/>
      <c r="N35" s="464"/>
      <c r="O35" s="586">
        <v>0.6</v>
      </c>
      <c r="P35" s="468"/>
      <c r="Q35" s="584" t="e">
        <f t="shared" si="2"/>
        <v>#REF!</v>
      </c>
      <c r="R35" s="468"/>
      <c r="S35" s="585"/>
      <c r="T35" s="464"/>
      <c r="U35" s="586">
        <v>0.6</v>
      </c>
      <c r="V35" s="468"/>
      <c r="W35" s="584" t="e">
        <f t="shared" si="3"/>
        <v>#REF!</v>
      </c>
      <c r="X35" s="576"/>
      <c r="Y35" s="576"/>
      <c r="Z35" s="489" t="s">
        <v>295</v>
      </c>
      <c r="AA35" s="464"/>
      <c r="AB35" s="593">
        <f>'Youth Res Rate Models'!AB34</f>
        <v>5.2851727610295196</v>
      </c>
      <c r="AC35" s="524" t="s">
        <v>404</v>
      </c>
      <c r="AD35" s="524"/>
      <c r="AE35" s="595"/>
    </row>
    <row r="36" spans="1:31" ht="13.5" thickBot="1" x14ac:dyDescent="0.25">
      <c r="A36" s="585"/>
      <c r="B36" s="464"/>
      <c r="C36" s="586">
        <v>0.55000000000000004</v>
      </c>
      <c r="D36" s="468"/>
      <c r="E36" s="890" t="e">
        <f t="shared" si="0"/>
        <v>#REF!</v>
      </c>
      <c r="G36" s="585"/>
      <c r="H36" s="464"/>
      <c r="I36" s="586">
        <v>0.55000000000000004</v>
      </c>
      <c r="J36" s="468"/>
      <c r="K36" s="584" t="e">
        <f t="shared" si="1"/>
        <v>#REF!</v>
      </c>
      <c r="M36" s="585"/>
      <c r="N36" s="464"/>
      <c r="O36" s="586">
        <v>0.55000000000000004</v>
      </c>
      <c r="P36" s="468"/>
      <c r="Q36" s="584" t="e">
        <f t="shared" si="2"/>
        <v>#REF!</v>
      </c>
      <c r="R36" s="468"/>
      <c r="S36" s="585"/>
      <c r="T36" s="464"/>
      <c r="U36" s="586">
        <v>0.55000000000000004</v>
      </c>
      <c r="V36" s="468"/>
      <c r="W36" s="584" t="e">
        <f t="shared" si="3"/>
        <v>#REF!</v>
      </c>
      <c r="X36" s="576"/>
      <c r="Y36" s="576"/>
      <c r="Z36" s="489"/>
      <c r="AA36" s="464"/>
      <c r="AB36" s="593"/>
      <c r="AC36" s="594"/>
      <c r="AD36" s="524"/>
      <c r="AE36" s="595"/>
    </row>
    <row r="37" spans="1:31" ht="13.5" thickBot="1" x14ac:dyDescent="0.25">
      <c r="A37" s="596"/>
      <c r="B37" s="597"/>
      <c r="C37" s="598">
        <v>0.5</v>
      </c>
      <c r="D37" s="599"/>
      <c r="E37" s="890" t="e">
        <f t="shared" si="0"/>
        <v>#REF!</v>
      </c>
      <c r="G37" s="596"/>
      <c r="H37" s="597"/>
      <c r="I37" s="598">
        <v>0.5</v>
      </c>
      <c r="J37" s="599"/>
      <c r="K37" s="584" t="e">
        <f t="shared" si="1"/>
        <v>#REF!</v>
      </c>
      <c r="M37" s="596"/>
      <c r="N37" s="597"/>
      <c r="O37" s="598">
        <v>0.5</v>
      </c>
      <c r="P37" s="599"/>
      <c r="Q37" s="584" t="e">
        <f t="shared" si="2"/>
        <v>#REF!</v>
      </c>
      <c r="R37" s="468"/>
      <c r="S37" s="596"/>
      <c r="T37" s="597"/>
      <c r="U37" s="598">
        <v>0.5</v>
      </c>
      <c r="V37" s="599"/>
      <c r="W37" s="584" t="e">
        <f t="shared" si="3"/>
        <v>#REF!</v>
      </c>
      <c r="X37" s="576"/>
      <c r="Y37" s="576"/>
      <c r="Z37" s="489" t="s">
        <v>283</v>
      </c>
      <c r="AA37" s="464"/>
      <c r="AB37" s="729">
        <f>'Youth Res Rate Models'!AB36</f>
        <v>18.364580498704061</v>
      </c>
      <c r="AC37" s="524" t="s">
        <v>404</v>
      </c>
      <c r="AD37" s="524"/>
      <c r="AE37" s="595"/>
    </row>
    <row r="38" spans="1:31" x14ac:dyDescent="0.2">
      <c r="G38" s="463"/>
      <c r="H38" s="463"/>
      <c r="I38" s="463"/>
      <c r="J38" s="463"/>
      <c r="K38" s="463"/>
      <c r="M38" s="463"/>
      <c r="N38" s="463"/>
      <c r="O38" s="463"/>
      <c r="P38" s="463"/>
      <c r="Q38" s="463"/>
      <c r="R38" s="463"/>
      <c r="S38" s="463"/>
      <c r="T38" s="463"/>
      <c r="U38" s="463"/>
      <c r="V38" s="463"/>
      <c r="W38" s="463"/>
      <c r="X38" s="463"/>
      <c r="Y38" s="463"/>
      <c r="Z38" s="602"/>
      <c r="AA38" s="603"/>
      <c r="AB38" s="730"/>
      <c r="AC38" s="594"/>
      <c r="AD38" s="464"/>
      <c r="AE38" s="535"/>
    </row>
    <row r="39" spans="1:31" ht="13.5" thickBot="1" x14ac:dyDescent="0.25">
      <c r="Z39" s="996" t="s">
        <v>541</v>
      </c>
      <c r="AA39" s="997"/>
      <c r="AB39" s="987">
        <v>6.3E-3</v>
      </c>
      <c r="AC39" s="998" t="s">
        <v>540</v>
      </c>
      <c r="AD39" s="999"/>
      <c r="AE39" s="535"/>
    </row>
    <row r="40" spans="1:31" ht="13.5" thickBot="1" x14ac:dyDescent="0.25">
      <c r="A40" s="462" t="s">
        <v>297</v>
      </c>
      <c r="X40" s="608"/>
      <c r="Y40" s="608"/>
      <c r="Z40" s="489" t="s">
        <v>286</v>
      </c>
      <c r="AA40" s="464"/>
      <c r="AB40" s="591">
        <v>0.121061</v>
      </c>
      <c r="AC40" s="609"/>
      <c r="AD40" s="607"/>
      <c r="AE40" s="535"/>
    </row>
    <row r="41" spans="1:31" ht="13.5" thickBot="1" x14ac:dyDescent="0.25">
      <c r="A41" s="469"/>
      <c r="B41" s="465"/>
      <c r="C41" s="470" t="s">
        <v>255</v>
      </c>
      <c r="D41" s="471"/>
      <c r="E41" s="472"/>
      <c r="F41" s="473"/>
      <c r="I41" s="470" t="s">
        <v>256</v>
      </c>
      <c r="J41" s="471"/>
      <c r="K41" s="472"/>
      <c r="M41" s="469"/>
      <c r="N41" s="465"/>
      <c r="O41" s="470" t="s">
        <v>257</v>
      </c>
      <c r="P41" s="471"/>
      <c r="Q41" s="472"/>
      <c r="R41" s="473"/>
      <c r="S41" s="469"/>
      <c r="T41" s="465"/>
      <c r="U41" s="470" t="s">
        <v>258</v>
      </c>
      <c r="V41" s="471"/>
      <c r="W41" s="472"/>
      <c r="X41" s="473"/>
      <c r="Y41" s="467"/>
      <c r="Z41" s="610" t="s">
        <v>296</v>
      </c>
      <c r="AA41" s="611"/>
      <c r="AB41" s="969" t="e">
        <f>#REF!</f>
        <v>#REF!</v>
      </c>
      <c r="AC41" s="734"/>
      <c r="AD41" s="612"/>
      <c r="AE41" s="613"/>
    </row>
    <row r="42" spans="1:31" s="487" customFormat="1" x14ac:dyDescent="0.2">
      <c r="A42" s="480" t="s">
        <v>261</v>
      </c>
      <c r="B42" s="481" t="s">
        <v>339</v>
      </c>
      <c r="C42" s="482" t="s">
        <v>262</v>
      </c>
      <c r="D42" s="483">
        <v>365</v>
      </c>
      <c r="E42" s="484">
        <f>D42*B43</f>
        <v>4380</v>
      </c>
      <c r="F42" s="485"/>
      <c r="G42" s="480" t="s">
        <v>261</v>
      </c>
      <c r="H42" s="486" t="s">
        <v>340</v>
      </c>
      <c r="I42" s="482" t="s">
        <v>262</v>
      </c>
      <c r="J42" s="483">
        <v>365</v>
      </c>
      <c r="K42" s="484">
        <f>H43*J42</f>
        <v>5657.5</v>
      </c>
      <c r="M42" s="480" t="s">
        <v>261</v>
      </c>
      <c r="N42" s="488" t="s">
        <v>263</v>
      </c>
      <c r="O42" s="482" t="s">
        <v>262</v>
      </c>
      <c r="P42" s="483">
        <v>365</v>
      </c>
      <c r="Q42" s="484">
        <f>N43*P42</f>
        <v>7300</v>
      </c>
      <c r="R42" s="485"/>
      <c r="S42" s="480" t="s">
        <v>261</v>
      </c>
      <c r="T42" s="488" t="s">
        <v>264</v>
      </c>
      <c r="U42" s="482" t="s">
        <v>262</v>
      </c>
      <c r="V42" s="483">
        <v>365</v>
      </c>
      <c r="W42" s="484">
        <f>T43*V42</f>
        <v>9125</v>
      </c>
      <c r="X42" s="485"/>
    </row>
    <row r="43" spans="1:31" s="487" customFormat="1" x14ac:dyDescent="0.2">
      <c r="A43" s="480"/>
      <c r="B43" s="488">
        <v>12</v>
      </c>
      <c r="C43" s="482"/>
      <c r="D43" s="483"/>
      <c r="E43" s="484"/>
      <c r="F43" s="485"/>
      <c r="G43" s="480"/>
      <c r="H43" s="488">
        <v>15.5</v>
      </c>
      <c r="I43" s="482"/>
      <c r="J43" s="483"/>
      <c r="K43" s="484"/>
      <c r="M43" s="480"/>
      <c r="N43" s="488">
        <v>20</v>
      </c>
      <c r="O43" s="482"/>
      <c r="P43" s="483"/>
      <c r="Q43" s="484"/>
      <c r="R43" s="485"/>
      <c r="S43" s="480"/>
      <c r="T43" s="488">
        <v>25</v>
      </c>
      <c r="U43" s="482"/>
      <c r="V43" s="483"/>
      <c r="W43" s="484"/>
      <c r="X43" s="485"/>
    </row>
    <row r="44" spans="1:31" s="487" customFormat="1" x14ac:dyDescent="0.2">
      <c r="A44" s="480"/>
      <c r="B44" s="488"/>
      <c r="C44" s="494"/>
      <c r="D44" s="483"/>
      <c r="E44" s="484"/>
      <c r="F44" s="485"/>
      <c r="G44" s="480"/>
      <c r="H44" s="488"/>
      <c r="I44" s="482"/>
      <c r="J44" s="483"/>
      <c r="K44" s="484"/>
      <c r="M44" s="480"/>
      <c r="N44" s="488"/>
      <c r="O44" s="482"/>
      <c r="P44" s="483"/>
      <c r="Q44" s="484"/>
      <c r="R44" s="485"/>
      <c r="S44" s="480"/>
      <c r="T44" s="488"/>
      <c r="U44" s="482"/>
      <c r="V44" s="483"/>
      <c r="W44" s="484"/>
      <c r="X44" s="485"/>
      <c r="Y44" s="513"/>
      <c r="Z44" s="614"/>
      <c r="AA44" s="513"/>
      <c r="AB44" s="513"/>
      <c r="AC44" s="513"/>
    </row>
    <row r="45" spans="1:31" s="501" customFormat="1" ht="28.5" customHeight="1" x14ac:dyDescent="0.2">
      <c r="A45" s="496"/>
      <c r="B45" s="497" t="s">
        <v>269</v>
      </c>
      <c r="C45" s="498" t="s">
        <v>341</v>
      </c>
      <c r="D45" s="499" t="s">
        <v>270</v>
      </c>
      <c r="E45" s="498" t="s">
        <v>342</v>
      </c>
      <c r="F45" s="500"/>
      <c r="G45" s="496"/>
      <c r="H45" s="497" t="s">
        <v>269</v>
      </c>
      <c r="I45" s="498" t="s">
        <v>341</v>
      </c>
      <c r="J45" s="499" t="s">
        <v>270</v>
      </c>
      <c r="K45" s="498" t="s">
        <v>342</v>
      </c>
      <c r="M45" s="496"/>
      <c r="N45" s="497" t="s">
        <v>269</v>
      </c>
      <c r="O45" s="498" t="s">
        <v>341</v>
      </c>
      <c r="P45" s="499" t="s">
        <v>270</v>
      </c>
      <c r="Q45" s="498" t="s">
        <v>342</v>
      </c>
      <c r="R45" s="500"/>
      <c r="S45" s="496"/>
      <c r="T45" s="497" t="s">
        <v>269</v>
      </c>
      <c r="U45" s="498" t="s">
        <v>341</v>
      </c>
      <c r="V45" s="499" t="s">
        <v>270</v>
      </c>
      <c r="W45" s="498" t="s">
        <v>342</v>
      </c>
      <c r="X45" s="500"/>
      <c r="Y45" s="615"/>
      <c r="Z45" s="615"/>
      <c r="AA45" s="615"/>
      <c r="AB45" s="615"/>
      <c r="AC45" s="505"/>
    </row>
    <row r="46" spans="1:31" s="466" customFormat="1" x14ac:dyDescent="0.2">
      <c r="A46" s="893" t="s">
        <v>272</v>
      </c>
      <c r="B46" s="891"/>
      <c r="C46" s="892">
        <f>$AC$11</f>
        <v>65368.626426372299</v>
      </c>
      <c r="D46" s="510">
        <f>AB18</f>
        <v>2.15</v>
      </c>
      <c r="E46" s="563">
        <f>C46*D46</f>
        <v>140542.54681670043</v>
      </c>
      <c r="F46" s="564"/>
      <c r="G46" s="893" t="s">
        <v>272</v>
      </c>
      <c r="H46" s="891"/>
      <c r="I46" s="892">
        <f>$AC$11</f>
        <v>65368.626426372299</v>
      </c>
      <c r="J46" s="510">
        <f>AC18</f>
        <v>2.15</v>
      </c>
      <c r="K46" s="563">
        <f>I46*J46</f>
        <v>140542.54681670043</v>
      </c>
      <c r="L46" s="563"/>
      <c r="M46" s="893" t="s">
        <v>272</v>
      </c>
      <c r="N46" s="891"/>
      <c r="O46" s="892">
        <f>$AC$11</f>
        <v>65368.626426372299</v>
      </c>
      <c r="P46" s="510">
        <f>AD18</f>
        <v>2.15</v>
      </c>
      <c r="Q46" s="563">
        <f>O46*P46</f>
        <v>140542.54681670043</v>
      </c>
      <c r="R46" s="564"/>
      <c r="S46" s="893" t="s">
        <v>272</v>
      </c>
      <c r="T46" s="891"/>
      <c r="U46" s="892">
        <f>$AC$11</f>
        <v>65368.626426372299</v>
      </c>
      <c r="V46" s="510">
        <f>AE18</f>
        <v>2.15</v>
      </c>
      <c r="W46" s="563">
        <f>U46*V46</f>
        <v>140542.54681670043</v>
      </c>
      <c r="X46" s="468"/>
      <c r="Y46" s="491"/>
      <c r="Z46" s="468"/>
      <c r="AA46" s="468"/>
      <c r="AB46" s="468"/>
      <c r="AC46" s="468"/>
    </row>
    <row r="47" spans="1:31" s="466" customFormat="1" x14ac:dyDescent="0.2">
      <c r="A47" s="893" t="s">
        <v>273</v>
      </c>
      <c r="B47" s="891"/>
      <c r="C47" s="892">
        <f>$AC$12</f>
        <v>56879.606800509006</v>
      </c>
      <c r="D47" s="510">
        <f>AB19</f>
        <v>4</v>
      </c>
      <c r="E47" s="563">
        <f>C47*D47</f>
        <v>227518.42720203602</v>
      </c>
      <c r="F47" s="564"/>
      <c r="G47" s="893" t="s">
        <v>273</v>
      </c>
      <c r="H47" s="891"/>
      <c r="I47" s="892">
        <f>$AC$12</f>
        <v>56879.606800509006</v>
      </c>
      <c r="J47" s="510">
        <f>AC19</f>
        <v>4</v>
      </c>
      <c r="K47" s="563">
        <f>I47*J47</f>
        <v>227518.42720203602</v>
      </c>
      <c r="L47" s="563"/>
      <c r="M47" s="893" t="s">
        <v>273</v>
      </c>
      <c r="N47" s="891"/>
      <c r="O47" s="892">
        <f>$AC$12</f>
        <v>56879.606800509006</v>
      </c>
      <c r="P47" s="510">
        <f>AD19</f>
        <v>4</v>
      </c>
      <c r="Q47" s="563">
        <f>O47*P47</f>
        <v>227518.42720203602</v>
      </c>
      <c r="R47" s="564"/>
      <c r="S47" s="893" t="s">
        <v>273</v>
      </c>
      <c r="T47" s="891"/>
      <c r="U47" s="892">
        <f>$AC$12</f>
        <v>56879.606800509006</v>
      </c>
      <c r="V47" s="510">
        <f>AE19</f>
        <v>5</v>
      </c>
      <c r="W47" s="563">
        <f>U47*V47</f>
        <v>284398.03400254506</v>
      </c>
      <c r="X47" s="468"/>
      <c r="Y47" s="615"/>
      <c r="Z47" s="491"/>
      <c r="AA47" s="468"/>
      <c r="AB47" s="468"/>
      <c r="AC47" s="468"/>
    </row>
    <row r="48" spans="1:31" s="523" customFormat="1" x14ac:dyDescent="0.2">
      <c r="A48" s="894" t="s">
        <v>275</v>
      </c>
      <c r="B48" s="510">
        <f>$AB$28</f>
        <v>0.67727547626247397</v>
      </c>
      <c r="C48" s="892">
        <f>$AC$13</f>
        <v>34055.717454304911</v>
      </c>
      <c r="D48" s="510">
        <f>B43/B48</f>
        <v>17.718048889384963</v>
      </c>
      <c r="E48" s="563">
        <f>C48*D48</f>
        <v>603400.86681845528</v>
      </c>
      <c r="F48" s="564"/>
      <c r="G48" s="894" t="s">
        <v>275</v>
      </c>
      <c r="H48" s="510">
        <f>AC28</f>
        <v>0.79679467795585102</v>
      </c>
      <c r="I48" s="892">
        <f>$AC$13</f>
        <v>34055.717454304911</v>
      </c>
      <c r="J48" s="510">
        <f>H43/H48</f>
        <v>19.452941176470592</v>
      </c>
      <c r="K48" s="563">
        <f>I48*J48</f>
        <v>662483.86836109625</v>
      </c>
      <c r="L48" s="895"/>
      <c r="M48" s="894" t="s">
        <v>275</v>
      </c>
      <c r="N48" s="510">
        <f>AD28</f>
        <v>0.84659434532809197</v>
      </c>
      <c r="O48" s="892">
        <f>$AC$13</f>
        <v>34055.717454304911</v>
      </c>
      <c r="P48" s="510">
        <f>N43/N48</f>
        <v>23.624065185846632</v>
      </c>
      <c r="Q48" s="563">
        <f>O48*P48</f>
        <v>804534.4890912741</v>
      </c>
      <c r="R48" s="564"/>
      <c r="S48" s="894" t="s">
        <v>275</v>
      </c>
      <c r="T48" s="510">
        <f>AE28</f>
        <v>0.88045811914121597</v>
      </c>
      <c r="U48" s="892">
        <f>$AC$13</f>
        <v>34055.717454304911</v>
      </c>
      <c r="V48" s="510">
        <f>T43/T48</f>
        <v>28.394309117604116</v>
      </c>
      <c r="W48" s="563">
        <f>U48*V48</f>
        <v>966988.56861931959</v>
      </c>
      <c r="X48" s="468"/>
      <c r="Y48" s="490"/>
      <c r="Z48" s="491"/>
      <c r="AA48" s="492"/>
      <c r="AB48" s="492"/>
      <c r="AC48" s="492"/>
    </row>
    <row r="49" spans="1:31" s="523" customFormat="1" x14ac:dyDescent="0.2">
      <c r="A49" s="894" t="s">
        <v>276</v>
      </c>
      <c r="B49" s="510"/>
      <c r="C49" s="892">
        <f>$AC$13</f>
        <v>34055.717454304911</v>
      </c>
      <c r="D49" s="510">
        <f>D48*$AB$8</f>
        <v>3.4754634359947429</v>
      </c>
      <c r="E49" s="563">
        <f>C49*D49</f>
        <v>118359.40079900468</v>
      </c>
      <c r="F49" s="564"/>
      <c r="G49" s="894" t="s">
        <v>276</v>
      </c>
      <c r="H49" s="510"/>
      <c r="I49" s="892">
        <f>$AC$13</f>
        <v>34055.717454304911</v>
      </c>
      <c r="J49" s="510">
        <f>J48*$AB$8</f>
        <v>3.8157692307692312</v>
      </c>
      <c r="K49" s="563">
        <f>I49*J49</f>
        <v>129948.75879390733</v>
      </c>
      <c r="L49" s="895"/>
      <c r="M49" s="894" t="s">
        <v>276</v>
      </c>
      <c r="N49" s="510"/>
      <c r="O49" s="892">
        <f>$AC$13</f>
        <v>34055.717454304911</v>
      </c>
      <c r="P49" s="510">
        <f>P48*$AB$8</f>
        <v>4.633951247992993</v>
      </c>
      <c r="Q49" s="563">
        <f>O49*P49</f>
        <v>157812.53439867299</v>
      </c>
      <c r="R49" s="564"/>
      <c r="S49" s="894" t="s">
        <v>276</v>
      </c>
      <c r="T49" s="510"/>
      <c r="U49" s="892">
        <f>$AC$13</f>
        <v>34055.717454304911</v>
      </c>
      <c r="V49" s="510">
        <f>V48*$AB$8</f>
        <v>5.5696529422992693</v>
      </c>
      <c r="W49" s="563">
        <f>U49*V49</f>
        <v>189678.52692148194</v>
      </c>
      <c r="X49" s="468"/>
      <c r="Y49" s="490"/>
      <c r="Z49" s="491"/>
      <c r="AA49" s="492"/>
      <c r="AB49" s="492"/>
      <c r="AC49" s="492"/>
    </row>
    <row r="50" spans="1:31" s="466" customFormat="1" x14ac:dyDescent="0.2">
      <c r="A50" s="893" t="s">
        <v>370</v>
      </c>
      <c r="B50" s="510"/>
      <c r="C50" s="892">
        <f>$AC$14</f>
        <v>33504.965890805717</v>
      </c>
      <c r="D50" s="510">
        <f>AB23</f>
        <v>3</v>
      </c>
      <c r="E50" s="563">
        <f>C50*D50</f>
        <v>100514.89767241715</v>
      </c>
      <c r="F50" s="564"/>
      <c r="G50" s="893" t="s">
        <v>370</v>
      </c>
      <c r="H50" s="510"/>
      <c r="I50" s="892">
        <f>$AC$14</f>
        <v>33504.965890805717</v>
      </c>
      <c r="J50" s="510">
        <f>AC23</f>
        <v>3</v>
      </c>
      <c r="K50" s="563">
        <f>I50*J50</f>
        <v>100514.89767241715</v>
      </c>
      <c r="L50" s="563"/>
      <c r="M50" s="893" t="s">
        <v>370</v>
      </c>
      <c r="N50" s="510"/>
      <c r="O50" s="892">
        <f>$AC$14</f>
        <v>33504.965890805717</v>
      </c>
      <c r="P50" s="510">
        <f>AD23</f>
        <v>3</v>
      </c>
      <c r="Q50" s="563">
        <f>O50*P50</f>
        <v>100514.89767241715</v>
      </c>
      <c r="R50" s="564"/>
      <c r="S50" s="893" t="s">
        <v>370</v>
      </c>
      <c r="T50" s="510"/>
      <c r="U50" s="892">
        <f>$AC$14</f>
        <v>33504.965890805717</v>
      </c>
      <c r="V50" s="510">
        <f>AE23</f>
        <v>4</v>
      </c>
      <c r="W50" s="563">
        <f>U50*V50</f>
        <v>134019.86356322287</v>
      </c>
      <c r="X50" s="468"/>
      <c r="Y50" s="490"/>
      <c r="Z50" s="491"/>
      <c r="AA50" s="468"/>
      <c r="AB50" s="468"/>
      <c r="AC50" s="468"/>
    </row>
    <row r="51" spans="1:31" s="487" customFormat="1" x14ac:dyDescent="0.2">
      <c r="A51" s="896" t="s">
        <v>277</v>
      </c>
      <c r="B51" s="896"/>
      <c r="C51" s="897"/>
      <c r="D51" s="898">
        <f>SUM(D46:D50)</f>
        <v>30.343512325379709</v>
      </c>
      <c r="E51" s="897">
        <f>SUM(E46:E50)</f>
        <v>1190336.1393086135</v>
      </c>
      <c r="F51" s="899"/>
      <c r="G51" s="896" t="s">
        <v>277</v>
      </c>
      <c r="H51" s="896"/>
      <c r="I51" s="897"/>
      <c r="J51" s="898">
        <f>SUM(J46:J50)</f>
        <v>32.418710407239828</v>
      </c>
      <c r="K51" s="897">
        <f>SUM(K46:K50)</f>
        <v>1261008.498846157</v>
      </c>
      <c r="L51" s="608"/>
      <c r="M51" s="896" t="s">
        <v>277</v>
      </c>
      <c r="N51" s="896"/>
      <c r="O51" s="897"/>
      <c r="P51" s="898">
        <f>SUM(P46:P50)</f>
        <v>37.40801643383962</v>
      </c>
      <c r="Q51" s="897">
        <f>SUM(Q46:Q50)</f>
        <v>1430922.8951811008</v>
      </c>
      <c r="R51" s="899"/>
      <c r="S51" s="896" t="s">
        <v>277</v>
      </c>
      <c r="T51" s="896"/>
      <c r="U51" s="897"/>
      <c r="V51" s="898">
        <f>SUM(V46:V50)</f>
        <v>45.113962059903386</v>
      </c>
      <c r="W51" s="897">
        <f>SUM(W46:W50)</f>
        <v>1715627.5399232698</v>
      </c>
      <c r="X51" s="473"/>
      <c r="Y51" s="490"/>
      <c r="Z51" s="491"/>
      <c r="AA51" s="513"/>
      <c r="AB51" s="513"/>
      <c r="AC51" s="513"/>
    </row>
    <row r="52" spans="1:31" s="487" customFormat="1" x14ac:dyDescent="0.2">
      <c r="A52" s="607"/>
      <c r="B52" s="607"/>
      <c r="C52" s="899"/>
      <c r="D52" s="900"/>
      <c r="E52" s="899"/>
      <c r="F52" s="899"/>
      <c r="G52" s="607"/>
      <c r="H52" s="607"/>
      <c r="I52" s="899"/>
      <c r="J52" s="900"/>
      <c r="K52" s="899"/>
      <c r="L52" s="608"/>
      <c r="M52" s="607"/>
      <c r="N52" s="607"/>
      <c r="O52" s="899"/>
      <c r="P52" s="900"/>
      <c r="Q52" s="899"/>
      <c r="R52" s="899"/>
      <c r="S52" s="607"/>
      <c r="T52" s="607"/>
      <c r="U52" s="899"/>
      <c r="V52" s="900"/>
      <c r="W52" s="899"/>
      <c r="X52" s="473"/>
      <c r="Y52" s="490"/>
      <c r="Z52" s="491"/>
      <c r="AA52" s="513"/>
      <c r="AB52" s="513"/>
      <c r="AC52" s="513"/>
    </row>
    <row r="53" spans="1:31" s="487" customFormat="1" x14ac:dyDescent="0.2">
      <c r="A53" s="901" t="s">
        <v>278</v>
      </c>
      <c r="B53" s="901"/>
      <c r="C53" s="902"/>
      <c r="D53" s="903" t="s">
        <v>279</v>
      </c>
      <c r="E53" s="902"/>
      <c r="F53" s="904"/>
      <c r="G53" s="901" t="s">
        <v>278</v>
      </c>
      <c r="H53" s="901"/>
      <c r="I53" s="902"/>
      <c r="J53" s="903" t="s">
        <v>279</v>
      </c>
      <c r="K53" s="902"/>
      <c r="L53" s="608"/>
      <c r="M53" s="901" t="s">
        <v>278</v>
      </c>
      <c r="N53" s="901"/>
      <c r="O53" s="902"/>
      <c r="P53" s="903" t="s">
        <v>279</v>
      </c>
      <c r="Q53" s="902"/>
      <c r="R53" s="904"/>
      <c r="S53" s="901" t="s">
        <v>278</v>
      </c>
      <c r="T53" s="901"/>
      <c r="U53" s="902"/>
      <c r="V53" s="903" t="s">
        <v>279</v>
      </c>
      <c r="W53" s="902"/>
      <c r="X53" s="544"/>
      <c r="Y53" s="616"/>
      <c r="Z53" s="491"/>
      <c r="AA53" s="513"/>
      <c r="AB53" s="513"/>
      <c r="AC53" s="513"/>
    </row>
    <row r="54" spans="1:31" s="546" customFormat="1" x14ac:dyDescent="0.2">
      <c r="A54" s="545" t="s">
        <v>280</v>
      </c>
      <c r="C54" s="567">
        <f>$AB$31</f>
        <v>0.25578770213785851</v>
      </c>
      <c r="D54" s="905"/>
      <c r="E54" s="563">
        <f>C54*E51</f>
        <v>304473.34584540006</v>
      </c>
      <c r="F54" s="906"/>
      <c r="G54" s="545" t="s">
        <v>280</v>
      </c>
      <c r="I54" s="567">
        <f>$AB$31</f>
        <v>0.25578770213785851</v>
      </c>
      <c r="J54" s="905"/>
      <c r="K54" s="563">
        <f>I54*K51</f>
        <v>322550.46629616892</v>
      </c>
      <c r="M54" s="545" t="s">
        <v>280</v>
      </c>
      <c r="O54" s="567">
        <f>$AB$31</f>
        <v>0.25578770213785851</v>
      </c>
      <c r="P54" s="905"/>
      <c r="Q54" s="563">
        <f>O54*Q51</f>
        <v>366012.47929482552</v>
      </c>
      <c r="R54" s="906"/>
      <c r="S54" s="545" t="s">
        <v>280</v>
      </c>
      <c r="U54" s="567">
        <f>$AB$31</f>
        <v>0.25578770213785851</v>
      </c>
      <c r="V54" s="905"/>
      <c r="W54" s="563">
        <f>U54*W51</f>
        <v>438836.42616140028</v>
      </c>
      <c r="X54" s="906"/>
      <c r="Y54" s="525"/>
      <c r="Z54" s="491"/>
      <c r="AA54" s="465"/>
      <c r="AB54" s="465"/>
      <c r="AC54" s="465"/>
    </row>
    <row r="55" spans="1:31" x14ac:dyDescent="0.2">
      <c r="A55" s="550" t="s">
        <v>282</v>
      </c>
      <c r="B55" s="550"/>
      <c r="C55" s="551"/>
      <c r="D55" s="552">
        <f>E55/E42</f>
        <v>341.28070437306246</v>
      </c>
      <c r="E55" s="553">
        <f>E54+E51</f>
        <v>1494809.4851540136</v>
      </c>
      <c r="F55" s="468"/>
      <c r="G55" s="550" t="s">
        <v>282</v>
      </c>
      <c r="H55" s="550"/>
      <c r="I55" s="551"/>
      <c r="J55" s="552">
        <f>K55/K42</f>
        <v>279.90436856249687</v>
      </c>
      <c r="K55" s="553">
        <f>K54+K51</f>
        <v>1583558.965142326</v>
      </c>
      <c r="M55" s="550" t="s">
        <v>282</v>
      </c>
      <c r="N55" s="550"/>
      <c r="O55" s="551"/>
      <c r="P55" s="552">
        <f>Q55/Q42</f>
        <v>246.1555307501269</v>
      </c>
      <c r="Q55" s="553">
        <f>Q54+Q51</f>
        <v>1796935.3744759264</v>
      </c>
      <c r="R55" s="544"/>
      <c r="S55" s="550" t="s">
        <v>282</v>
      </c>
      <c r="T55" s="550"/>
      <c r="U55" s="551"/>
      <c r="V55" s="552">
        <f>W55/W42</f>
        <v>236.10564011886797</v>
      </c>
      <c r="W55" s="553">
        <f>W54+W51</f>
        <v>2154463.9660846703</v>
      </c>
      <c r="X55" s="544"/>
      <c r="Y55" s="524"/>
      <c r="Z55" s="464"/>
      <c r="AA55" s="464"/>
      <c r="AB55" s="464"/>
      <c r="AC55" s="464"/>
      <c r="AD55" s="463"/>
      <c r="AE55" s="463"/>
    </row>
    <row r="56" spans="1:31" x14ac:dyDescent="0.2">
      <c r="C56" s="466"/>
      <c r="D56" s="467"/>
      <c r="E56" s="466"/>
      <c r="F56" s="468"/>
      <c r="G56" s="463"/>
      <c r="H56" s="463"/>
      <c r="M56" s="463"/>
      <c r="N56" s="463"/>
      <c r="O56" s="466"/>
      <c r="P56" s="467"/>
      <c r="Q56" s="466"/>
      <c r="R56" s="468"/>
      <c r="S56" s="463"/>
      <c r="T56" s="463"/>
      <c r="U56" s="466"/>
      <c r="V56" s="467"/>
      <c r="W56" s="466"/>
      <c r="Y56" s="500"/>
      <c r="Z56" s="464"/>
      <c r="AA56" s="464"/>
      <c r="AB56" s="464"/>
      <c r="AC56" s="464"/>
      <c r="AD56" s="463"/>
      <c r="AE56" s="463"/>
    </row>
    <row r="57" spans="1:31" x14ac:dyDescent="0.2">
      <c r="A57" s="463" t="s">
        <v>91</v>
      </c>
      <c r="C57" s="466"/>
      <c r="D57" s="510">
        <f>$AB$34</f>
        <v>19.209698401603287</v>
      </c>
      <c r="E57" s="466">
        <f>D57*E$42</f>
        <v>84138.478999022394</v>
      </c>
      <c r="F57" s="468"/>
      <c r="G57" s="463" t="s">
        <v>91</v>
      </c>
      <c r="H57" s="463"/>
      <c r="J57" s="510">
        <f>$AB$34</f>
        <v>19.209698401603287</v>
      </c>
      <c r="K57" s="466">
        <f>J57*K$42</f>
        <v>108678.86870707059</v>
      </c>
      <c r="M57" s="463" t="s">
        <v>91</v>
      </c>
      <c r="N57" s="463"/>
      <c r="O57" s="466"/>
      <c r="P57" s="510">
        <f>$AB$34</f>
        <v>19.209698401603287</v>
      </c>
      <c r="Q57" s="466">
        <f>P57*Q$42</f>
        <v>140230.79833170399</v>
      </c>
      <c r="R57" s="468"/>
      <c r="S57" s="463" t="s">
        <v>91</v>
      </c>
      <c r="T57" s="463"/>
      <c r="U57" s="466"/>
      <c r="V57" s="510">
        <f>$AB$34</f>
        <v>19.209698401603287</v>
      </c>
      <c r="W57" s="466">
        <f>V57*W$42</f>
        <v>175288.49791462999</v>
      </c>
      <c r="Y57" s="534"/>
      <c r="Z57" s="464"/>
      <c r="AA57" s="464"/>
      <c r="AB57" s="464"/>
      <c r="AC57" s="464"/>
      <c r="AD57" s="463"/>
      <c r="AE57" s="534"/>
    </row>
    <row r="58" spans="1:31" x14ac:dyDescent="0.2">
      <c r="C58" s="466"/>
      <c r="D58" s="510"/>
      <c r="E58" s="563"/>
      <c r="F58" s="564"/>
      <c r="G58" s="463"/>
      <c r="H58" s="463"/>
      <c r="J58" s="510"/>
      <c r="K58" s="563"/>
      <c r="M58" s="463"/>
      <c r="N58" s="463"/>
      <c r="O58" s="466"/>
      <c r="P58" s="510"/>
      <c r="Q58" s="563"/>
      <c r="R58" s="564"/>
      <c r="S58" s="463"/>
      <c r="T58" s="463"/>
      <c r="U58" s="466"/>
      <c r="V58" s="510"/>
      <c r="W58" s="563"/>
      <c r="X58" s="564"/>
      <c r="Y58" s="534"/>
      <c r="Z58" s="464"/>
      <c r="AA58" s="464"/>
      <c r="AB58" s="464"/>
      <c r="AC58" s="464"/>
      <c r="AD58" s="463"/>
      <c r="AE58" s="534"/>
    </row>
    <row r="59" spans="1:31" x14ac:dyDescent="0.2">
      <c r="A59" s="463" t="s">
        <v>283</v>
      </c>
      <c r="C59" s="466"/>
      <c r="D59" s="510">
        <f>$AB$37</f>
        <v>18.364580498704061</v>
      </c>
      <c r="E59" s="466">
        <f>D59*E$42</f>
        <v>80436.862584323782</v>
      </c>
      <c r="F59" s="468"/>
      <c r="G59" s="463" t="s">
        <v>283</v>
      </c>
      <c r="H59" s="463"/>
      <c r="J59" s="510">
        <f>$AB$37</f>
        <v>18.364580498704061</v>
      </c>
      <c r="K59" s="466">
        <f>J59*K$42</f>
        <v>103897.61417141823</v>
      </c>
      <c r="M59" s="463" t="s">
        <v>283</v>
      </c>
      <c r="N59" s="463"/>
      <c r="O59" s="466"/>
      <c r="P59" s="510">
        <f>$AB$37</f>
        <v>18.364580498704061</v>
      </c>
      <c r="Q59" s="466">
        <f>P59*Q$42</f>
        <v>134061.43764053966</v>
      </c>
      <c r="R59" s="468"/>
      <c r="S59" s="463" t="s">
        <v>283</v>
      </c>
      <c r="T59" s="463"/>
      <c r="U59" s="466"/>
      <c r="V59" s="510">
        <f>$AB$37</f>
        <v>18.364580498704061</v>
      </c>
      <c r="W59" s="466">
        <f>V59*W$42</f>
        <v>167576.79705067456</v>
      </c>
      <c r="Y59" s="534"/>
      <c r="Z59" s="464"/>
      <c r="AA59" s="464"/>
      <c r="AB59" s="464"/>
      <c r="AC59" s="464"/>
      <c r="AD59" s="463"/>
      <c r="AE59" s="463"/>
    </row>
    <row r="60" spans="1:31" x14ac:dyDescent="0.2">
      <c r="C60" s="466"/>
      <c r="D60" s="566">
        <f>SUM(D57:D59)</f>
        <v>37.574278900307348</v>
      </c>
      <c r="E60" s="466"/>
      <c r="F60" s="468"/>
      <c r="G60" s="463"/>
      <c r="H60" s="463"/>
      <c r="J60" s="566">
        <f>SUM(J57:J59)</f>
        <v>37.574278900307348</v>
      </c>
      <c r="M60" s="463"/>
      <c r="N60" s="463"/>
      <c r="O60" s="466"/>
      <c r="P60" s="566">
        <f>SUM(P57:P59)</f>
        <v>37.574278900307348</v>
      </c>
      <c r="Q60" s="466"/>
      <c r="R60" s="468"/>
      <c r="S60" s="463"/>
      <c r="T60" s="463"/>
      <c r="U60" s="466"/>
      <c r="V60" s="566">
        <f>SUM(V57:V59)</f>
        <v>37.574278900307348</v>
      </c>
      <c r="W60" s="466"/>
      <c r="Y60" s="534"/>
      <c r="Z60" s="464"/>
      <c r="AA60" s="464"/>
      <c r="AB60" s="464"/>
      <c r="AC60" s="464"/>
      <c r="AD60" s="463"/>
      <c r="AE60" s="463"/>
    </row>
    <row r="61" spans="1:31" x14ac:dyDescent="0.2">
      <c r="A61" s="536" t="s">
        <v>371</v>
      </c>
      <c r="B61" s="536"/>
      <c r="C61" s="537"/>
      <c r="D61" s="538"/>
      <c r="E61" s="537">
        <f>SUM(E55:E59)</f>
        <v>1659384.8267373599</v>
      </c>
      <c r="F61" s="473"/>
      <c r="G61" s="536" t="s">
        <v>371</v>
      </c>
      <c r="H61" s="536"/>
      <c r="I61" s="537"/>
      <c r="J61" s="538"/>
      <c r="K61" s="537">
        <f>SUM(K55:K59)</f>
        <v>1796135.4480208147</v>
      </c>
      <c r="M61" s="536" t="s">
        <v>371</v>
      </c>
      <c r="N61" s="536"/>
      <c r="O61" s="537"/>
      <c r="P61" s="538"/>
      <c r="Q61" s="537">
        <f>SUM(Q55:Q59)</f>
        <v>2071227.61044817</v>
      </c>
      <c r="R61" s="473"/>
      <c r="S61" s="536" t="s">
        <v>371</v>
      </c>
      <c r="T61" s="536"/>
      <c r="U61" s="537"/>
      <c r="V61" s="538"/>
      <c r="W61" s="537">
        <f>SUM(W55:W59)</f>
        <v>2497329.2610499747</v>
      </c>
      <c r="X61" s="473"/>
      <c r="Y61" s="534"/>
      <c r="Z61" s="464"/>
      <c r="AA61" s="464"/>
      <c r="AB61" s="464"/>
      <c r="AC61" s="464"/>
      <c r="AD61" s="463"/>
      <c r="AE61" s="463"/>
    </row>
    <row r="62" spans="1:31" x14ac:dyDescent="0.2">
      <c r="A62" s="463" t="s">
        <v>286</v>
      </c>
      <c r="C62" s="567">
        <f>$AB$40</f>
        <v>0.121061</v>
      </c>
      <c r="D62" s="522"/>
      <c r="E62" s="466">
        <f>C62*E61</f>
        <v>200886.78650965152</v>
      </c>
      <c r="F62" s="468"/>
      <c r="G62" s="463" t="s">
        <v>286</v>
      </c>
      <c r="H62" s="463"/>
      <c r="I62" s="567">
        <f>$AB$40</f>
        <v>0.121061</v>
      </c>
      <c r="J62" s="522"/>
      <c r="K62" s="466">
        <f>I62*K61</f>
        <v>217441.95347284785</v>
      </c>
      <c r="M62" s="463" t="s">
        <v>286</v>
      </c>
      <c r="N62" s="463"/>
      <c r="O62" s="567">
        <f>$AB$40</f>
        <v>0.121061</v>
      </c>
      <c r="P62" s="522"/>
      <c r="Q62" s="466">
        <f>O62*Q61</f>
        <v>250744.88574846592</v>
      </c>
      <c r="R62" s="468"/>
      <c r="S62" s="463" t="s">
        <v>286</v>
      </c>
      <c r="T62" s="463"/>
      <c r="U62" s="567">
        <f>$AB$40</f>
        <v>0.121061</v>
      </c>
      <c r="V62" s="522"/>
      <c r="W62" s="466">
        <f>U62*W61</f>
        <v>302329.17767197097</v>
      </c>
      <c r="Y62" s="618"/>
      <c r="Z62" s="618"/>
      <c r="AA62" s="618"/>
      <c r="AB62" s="618"/>
      <c r="AC62" s="464"/>
      <c r="AD62" s="463"/>
      <c r="AE62" s="463"/>
    </row>
    <row r="63" spans="1:31" x14ac:dyDescent="0.2">
      <c r="A63" s="1001" t="s">
        <v>541</v>
      </c>
      <c r="B63" s="1001"/>
      <c r="C63" s="1002">
        <v>6.3E-3</v>
      </c>
      <c r="D63" s="1003"/>
      <c r="E63" s="1000">
        <f>E51*C63</f>
        <v>7499.1176776442653</v>
      </c>
      <c r="F63" s="1004"/>
      <c r="G63" s="1001" t="s">
        <v>541</v>
      </c>
      <c r="H63" s="1001"/>
      <c r="I63" s="1002">
        <v>6.3E-3</v>
      </c>
      <c r="J63" s="1003"/>
      <c r="K63" s="1000">
        <f>K51*I63</f>
        <v>7944.3535427307888</v>
      </c>
      <c r="L63" s="1004"/>
      <c r="M63" s="1001" t="s">
        <v>541</v>
      </c>
      <c r="N63" s="1001"/>
      <c r="O63" s="1002">
        <v>6.3E-3</v>
      </c>
      <c r="P63" s="1003"/>
      <c r="Q63" s="1000">
        <f>Q51*O63</f>
        <v>9014.8142396409348</v>
      </c>
      <c r="R63" s="1004"/>
      <c r="S63" s="1001" t="s">
        <v>541</v>
      </c>
      <c r="T63" s="1001"/>
      <c r="U63" s="1002">
        <v>6.3E-3</v>
      </c>
      <c r="V63" s="1003"/>
      <c r="W63" s="1000">
        <f>W51*U63</f>
        <v>10808.4535015166</v>
      </c>
      <c r="Y63" s="618"/>
      <c r="Z63" s="618"/>
      <c r="AA63" s="618"/>
      <c r="AB63" s="618"/>
      <c r="AC63" s="464"/>
      <c r="AD63" s="463"/>
      <c r="AE63" s="463"/>
    </row>
    <row r="64" spans="1:31" s="487" customFormat="1" ht="15" customHeight="1" thickBot="1" x14ac:dyDescent="0.25">
      <c r="A64" s="568" t="s">
        <v>288</v>
      </c>
      <c r="B64" s="568"/>
      <c r="C64" s="569"/>
      <c r="D64" s="570"/>
      <c r="E64" s="571">
        <f>ROUND(SUM(E61:E63),2)</f>
        <v>1867770.73</v>
      </c>
      <c r="F64" s="473"/>
      <c r="G64" s="568" t="s">
        <v>288</v>
      </c>
      <c r="H64" s="568"/>
      <c r="I64" s="569"/>
      <c r="J64" s="570"/>
      <c r="K64" s="571">
        <f>ROUND(SUM(K61:K63),2)</f>
        <v>2021521.76</v>
      </c>
      <c r="M64" s="568" t="s">
        <v>288</v>
      </c>
      <c r="N64" s="568"/>
      <c r="O64" s="569"/>
      <c r="P64" s="570"/>
      <c r="Q64" s="571">
        <f>ROUND(SUM(Q61:Q63),2)</f>
        <v>2330987.31</v>
      </c>
      <c r="R64" s="473"/>
      <c r="S64" s="568" t="s">
        <v>288</v>
      </c>
      <c r="T64" s="568"/>
      <c r="U64" s="569"/>
      <c r="V64" s="570"/>
      <c r="W64" s="571">
        <f>ROUND(SUM(W61:W63),2)</f>
        <v>2810466.89</v>
      </c>
      <c r="X64" s="473"/>
      <c r="Y64" s="619"/>
      <c r="Z64" s="620"/>
      <c r="AA64" s="621"/>
      <c r="AB64" s="620"/>
      <c r="AC64" s="513"/>
    </row>
    <row r="65" spans="1:31" s="487" customFormat="1" ht="13.5" thickTop="1" x14ac:dyDescent="0.2">
      <c r="A65" s="541"/>
      <c r="B65" s="541"/>
      <c r="C65" s="542"/>
      <c r="D65" s="572"/>
      <c r="E65" s="542"/>
      <c r="F65" s="544"/>
      <c r="G65" s="541"/>
      <c r="H65" s="541"/>
      <c r="I65" s="542"/>
      <c r="J65" s="572"/>
      <c r="K65" s="542"/>
      <c r="M65" s="541"/>
      <c r="N65" s="541"/>
      <c r="O65" s="542"/>
      <c r="P65" s="572"/>
      <c r="Q65" s="542"/>
      <c r="R65" s="544"/>
      <c r="S65" s="541"/>
      <c r="T65" s="541"/>
      <c r="U65" s="542"/>
      <c r="V65" s="572"/>
      <c r="W65" s="542"/>
      <c r="X65" s="544"/>
      <c r="Y65" s="561"/>
      <c r="Z65" s="561"/>
      <c r="AA65" s="561"/>
      <c r="AB65" s="622"/>
      <c r="AC65" s="513"/>
    </row>
    <row r="66" spans="1:31" s="577" customFormat="1" ht="13.15" customHeight="1" x14ac:dyDescent="0.2">
      <c r="A66" s="574" t="s">
        <v>289</v>
      </c>
      <c r="B66" s="574"/>
      <c r="C66" s="575"/>
      <c r="D66" s="575"/>
      <c r="E66" s="576">
        <f>E64/E42</f>
        <v>426.43167351598174</v>
      </c>
      <c r="F66" s="578"/>
      <c r="G66" s="574" t="s">
        <v>289</v>
      </c>
      <c r="H66" s="574"/>
      <c r="I66" s="575"/>
      <c r="J66" s="575"/>
      <c r="K66" s="576">
        <f>K64/K42</f>
        <v>357.31714714980114</v>
      </c>
      <c r="M66" s="574" t="s">
        <v>289</v>
      </c>
      <c r="N66" s="574"/>
      <c r="O66" s="575"/>
      <c r="P66" s="575"/>
      <c r="Q66" s="576">
        <f>Q64/Q42</f>
        <v>319.31333013698628</v>
      </c>
      <c r="S66" s="574" t="s">
        <v>289</v>
      </c>
      <c r="T66" s="574"/>
      <c r="U66" s="575"/>
      <c r="V66" s="575"/>
      <c r="W66" s="576">
        <f>W64/W42</f>
        <v>307.99637150684936</v>
      </c>
      <c r="Y66" s="561"/>
      <c r="Z66" s="561"/>
      <c r="AA66" s="561"/>
      <c r="AB66" s="561"/>
      <c r="AC66" s="623"/>
    </row>
    <row r="67" spans="1:31" s="577" customFormat="1" ht="13.5" thickBot="1" x14ac:dyDescent="0.25">
      <c r="A67" s="574" t="s">
        <v>290</v>
      </c>
      <c r="B67" s="574"/>
      <c r="C67" s="579" t="e">
        <f>AB41</f>
        <v>#REF!</v>
      </c>
      <c r="D67" s="575"/>
      <c r="E67" s="576"/>
      <c r="F67" s="578"/>
      <c r="G67" s="574" t="s">
        <v>290</v>
      </c>
      <c r="H67" s="574"/>
      <c r="I67" s="579" t="e">
        <f>AB41</f>
        <v>#REF!</v>
      </c>
      <c r="J67" s="575"/>
      <c r="K67" s="576"/>
      <c r="M67" s="574" t="s">
        <v>290</v>
      </c>
      <c r="N67" s="574"/>
      <c r="O67" s="579" t="e">
        <f>AB41</f>
        <v>#REF!</v>
      </c>
      <c r="P67" s="575"/>
      <c r="Q67" s="576"/>
      <c r="R67" s="464"/>
      <c r="S67" s="574" t="s">
        <v>290</v>
      </c>
      <c r="T67" s="574"/>
      <c r="U67" s="579" t="e">
        <f>AB41</f>
        <v>#REF!</v>
      </c>
      <c r="V67" s="575"/>
      <c r="W67" s="576"/>
      <c r="X67" s="464"/>
      <c r="Y67" s="561"/>
      <c r="Z67" s="561"/>
      <c r="AA67" s="561"/>
      <c r="AB67" s="561"/>
      <c r="AC67" s="623"/>
    </row>
    <row r="68" spans="1:31" ht="13.5" thickBot="1" x14ac:dyDescent="0.25">
      <c r="A68" s="581" t="s">
        <v>292</v>
      </c>
      <c r="B68" s="531"/>
      <c r="C68" s="582">
        <v>0.9</v>
      </c>
      <c r="D68" s="478"/>
      <c r="E68" s="584" t="e">
        <f>E$64*(C$67+1)/(E$42*C68)</f>
        <v>#REF!</v>
      </c>
      <c r="G68" s="581" t="s">
        <v>292</v>
      </c>
      <c r="H68" s="531"/>
      <c r="I68" s="582">
        <v>0.9</v>
      </c>
      <c r="J68" s="478"/>
      <c r="K68" s="584" t="e">
        <f>K$64*(I$67+1)/(K$42*I68)</f>
        <v>#REF!</v>
      </c>
      <c r="M68" s="581" t="s">
        <v>292</v>
      </c>
      <c r="N68" s="531"/>
      <c r="O68" s="582">
        <v>0.9</v>
      </c>
      <c r="P68" s="478"/>
      <c r="Q68" s="584" t="e">
        <f>Q$64*(O$67+1)/(Q$42*O68)</f>
        <v>#REF!</v>
      </c>
      <c r="R68" s="468"/>
      <c r="S68" s="581" t="s">
        <v>292</v>
      </c>
      <c r="T68" s="531"/>
      <c r="U68" s="582">
        <v>0.9</v>
      </c>
      <c r="V68" s="478"/>
      <c r="W68" s="584" t="e">
        <f>W$64*(U$67+1)/(W$42*U68)</f>
        <v>#REF!</v>
      </c>
      <c r="X68" s="576"/>
      <c r="Y68" s="561"/>
      <c r="Z68" s="622"/>
      <c r="AA68" s="622"/>
      <c r="AB68" s="622"/>
      <c r="AC68" s="464"/>
      <c r="AD68" s="463"/>
      <c r="AE68" s="463"/>
    </row>
    <row r="69" spans="1:31" ht="13.5" thickBot="1" x14ac:dyDescent="0.25">
      <c r="A69" s="585"/>
      <c r="B69" s="464"/>
      <c r="C69" s="586">
        <v>0.85</v>
      </c>
      <c r="D69" s="468"/>
      <c r="E69" s="584" t="e">
        <f t="shared" ref="E69:E76" si="4">E$64*(C$67+1)/(E$42*C69)</f>
        <v>#REF!</v>
      </c>
      <c r="G69" s="585"/>
      <c r="H69" s="464"/>
      <c r="I69" s="586">
        <v>0.85</v>
      </c>
      <c r="J69" s="468"/>
      <c r="K69" s="584" t="e">
        <f t="shared" ref="K69:K76" si="5">K$64*(I$67+1)/(K$42*I69)</f>
        <v>#REF!</v>
      </c>
      <c r="M69" s="585"/>
      <c r="N69" s="464"/>
      <c r="O69" s="586">
        <v>0.85</v>
      </c>
      <c r="P69" s="468"/>
      <c r="Q69" s="584" t="e">
        <f t="shared" ref="Q69:Q76" si="6">Q$64*(O$67+1)/(Q$42*O69)</f>
        <v>#REF!</v>
      </c>
      <c r="R69" s="468"/>
      <c r="S69" s="585"/>
      <c r="T69" s="464"/>
      <c r="U69" s="586">
        <v>0.85</v>
      </c>
      <c r="V69" s="468"/>
      <c r="W69" s="584" t="e">
        <f t="shared" ref="W69:W76" si="7">W$64*(U$67+1)/(W$42*U69)</f>
        <v>#REF!</v>
      </c>
      <c r="X69" s="576"/>
      <c r="Y69" s="624"/>
      <c r="Z69" s="624"/>
      <c r="AA69" s="624"/>
      <c r="AB69" s="624"/>
      <c r="AC69" s="464"/>
      <c r="AD69" s="463"/>
      <c r="AE69" s="463"/>
    </row>
    <row r="70" spans="1:31" ht="13.5" thickBot="1" x14ac:dyDescent="0.25">
      <c r="A70" s="585"/>
      <c r="B70" s="464"/>
      <c r="C70" s="586">
        <v>0.8</v>
      </c>
      <c r="D70" s="468"/>
      <c r="E70" s="584" t="e">
        <f t="shared" si="4"/>
        <v>#REF!</v>
      </c>
      <c r="G70" s="585"/>
      <c r="H70" s="464"/>
      <c r="I70" s="586">
        <v>0.8</v>
      </c>
      <c r="J70" s="468"/>
      <c r="K70" s="584" t="e">
        <f t="shared" si="5"/>
        <v>#REF!</v>
      </c>
      <c r="M70" s="585"/>
      <c r="N70" s="464"/>
      <c r="O70" s="586">
        <v>0.8</v>
      </c>
      <c r="P70" s="468"/>
      <c r="Q70" s="584" t="e">
        <f t="shared" si="6"/>
        <v>#REF!</v>
      </c>
      <c r="R70" s="468"/>
      <c r="S70" s="585"/>
      <c r="T70" s="464"/>
      <c r="U70" s="586">
        <v>0.8</v>
      </c>
      <c r="V70" s="468"/>
      <c r="W70" s="584" t="e">
        <f t="shared" si="7"/>
        <v>#REF!</v>
      </c>
      <c r="X70" s="576"/>
      <c r="Y70" s="619"/>
      <c r="Z70" s="620"/>
      <c r="AA70" s="621"/>
      <c r="AB70" s="620"/>
      <c r="AC70" s="464"/>
      <c r="AD70" s="463"/>
      <c r="AE70" s="463"/>
    </row>
    <row r="71" spans="1:31" ht="13.5" thickBot="1" x14ac:dyDescent="0.25">
      <c r="A71" s="585"/>
      <c r="B71" s="464"/>
      <c r="C71" s="586">
        <v>0.75</v>
      </c>
      <c r="D71" s="468"/>
      <c r="E71" s="584" t="e">
        <f t="shared" si="4"/>
        <v>#REF!</v>
      </c>
      <c r="G71" s="585"/>
      <c r="H71" s="464"/>
      <c r="I71" s="586">
        <v>0.75</v>
      </c>
      <c r="J71" s="468"/>
      <c r="K71" s="584" t="e">
        <f t="shared" si="5"/>
        <v>#REF!</v>
      </c>
      <c r="M71" s="585"/>
      <c r="N71" s="464"/>
      <c r="O71" s="586">
        <v>0.75</v>
      </c>
      <c r="P71" s="468"/>
      <c r="Q71" s="584" t="e">
        <f t="shared" si="6"/>
        <v>#REF!</v>
      </c>
      <c r="R71" s="468"/>
      <c r="S71" s="585"/>
      <c r="T71" s="464"/>
      <c r="U71" s="586">
        <v>0.75</v>
      </c>
      <c r="V71" s="468"/>
      <c r="W71" s="584" t="e">
        <f t="shared" si="7"/>
        <v>#REF!</v>
      </c>
      <c r="X71" s="576"/>
      <c r="Y71" s="561"/>
      <c r="Z71" s="561"/>
      <c r="AA71" s="561"/>
      <c r="AB71" s="561"/>
      <c r="AC71" s="464"/>
      <c r="AD71" s="463"/>
      <c r="AE71" s="463"/>
    </row>
    <row r="72" spans="1:31" ht="13.5" thickBot="1" x14ac:dyDescent="0.25">
      <c r="A72" s="585"/>
      <c r="B72" s="464"/>
      <c r="C72" s="586">
        <v>0.7</v>
      </c>
      <c r="D72" s="468"/>
      <c r="E72" s="584" t="e">
        <f t="shared" si="4"/>
        <v>#REF!</v>
      </c>
      <c r="G72" s="585"/>
      <c r="H72" s="464"/>
      <c r="I72" s="586">
        <v>0.7</v>
      </c>
      <c r="J72" s="468"/>
      <c r="K72" s="584" t="e">
        <f t="shared" si="5"/>
        <v>#REF!</v>
      </c>
      <c r="M72" s="585"/>
      <c r="N72" s="464"/>
      <c r="O72" s="586">
        <v>0.7</v>
      </c>
      <c r="P72" s="468"/>
      <c r="Q72" s="584" t="e">
        <f t="shared" si="6"/>
        <v>#REF!</v>
      </c>
      <c r="R72" s="468"/>
      <c r="S72" s="585"/>
      <c r="T72" s="464"/>
      <c r="U72" s="586">
        <v>0.7</v>
      </c>
      <c r="V72" s="468"/>
      <c r="W72" s="584" t="e">
        <f t="shared" si="7"/>
        <v>#REF!</v>
      </c>
      <c r="X72" s="576"/>
      <c r="Y72" s="561"/>
      <c r="Z72" s="561"/>
      <c r="AA72" s="561"/>
      <c r="AB72" s="561"/>
      <c r="AC72" s="464"/>
      <c r="AD72" s="463"/>
      <c r="AE72" s="463"/>
    </row>
    <row r="73" spans="1:31" ht="13.5" thickBot="1" x14ac:dyDescent="0.25">
      <c r="A73" s="585"/>
      <c r="B73" s="464"/>
      <c r="C73" s="586">
        <v>0.65</v>
      </c>
      <c r="D73" s="468"/>
      <c r="E73" s="584" t="e">
        <f t="shared" si="4"/>
        <v>#REF!</v>
      </c>
      <c r="G73" s="585"/>
      <c r="H73" s="464"/>
      <c r="I73" s="586">
        <v>0.65</v>
      </c>
      <c r="J73" s="468"/>
      <c r="K73" s="584" t="e">
        <f t="shared" si="5"/>
        <v>#REF!</v>
      </c>
      <c r="M73" s="585"/>
      <c r="N73" s="464"/>
      <c r="O73" s="586">
        <v>0.65</v>
      </c>
      <c r="P73" s="468"/>
      <c r="Q73" s="584" t="e">
        <f t="shared" si="6"/>
        <v>#REF!</v>
      </c>
      <c r="R73" s="468"/>
      <c r="S73" s="585"/>
      <c r="T73" s="464"/>
      <c r="U73" s="586">
        <v>0.65</v>
      </c>
      <c r="V73" s="468"/>
      <c r="W73" s="584" t="e">
        <f t="shared" si="7"/>
        <v>#REF!</v>
      </c>
      <c r="X73" s="576"/>
      <c r="Z73" s="464"/>
      <c r="AA73" s="464"/>
      <c r="AB73" s="464"/>
      <c r="AC73" s="464"/>
      <c r="AD73" s="463"/>
      <c r="AE73" s="463"/>
    </row>
    <row r="74" spans="1:31" ht="13.5" thickBot="1" x14ac:dyDescent="0.25">
      <c r="A74" s="585"/>
      <c r="B74" s="464"/>
      <c r="C74" s="586">
        <v>0.6</v>
      </c>
      <c r="D74" s="468"/>
      <c r="E74" s="584" t="e">
        <f t="shared" si="4"/>
        <v>#REF!</v>
      </c>
      <c r="G74" s="585"/>
      <c r="H74" s="464"/>
      <c r="I74" s="586">
        <v>0.6</v>
      </c>
      <c r="J74" s="468"/>
      <c r="K74" s="584" t="e">
        <f t="shared" si="5"/>
        <v>#REF!</v>
      </c>
      <c r="M74" s="585"/>
      <c r="N74" s="464"/>
      <c r="O74" s="586">
        <v>0.6</v>
      </c>
      <c r="P74" s="468"/>
      <c r="Q74" s="584" t="e">
        <f t="shared" si="6"/>
        <v>#REF!</v>
      </c>
      <c r="R74" s="468"/>
      <c r="S74" s="585"/>
      <c r="T74" s="464"/>
      <c r="U74" s="586">
        <v>0.6</v>
      </c>
      <c r="V74" s="468"/>
      <c r="W74" s="584" t="e">
        <f t="shared" si="7"/>
        <v>#REF!</v>
      </c>
      <c r="X74" s="576"/>
      <c r="Y74" s="591"/>
      <c r="Z74" s="579"/>
      <c r="AA74" s="464"/>
      <c r="AB74" s="464"/>
      <c r="AC74" s="464"/>
      <c r="AD74" s="463"/>
      <c r="AE74" s="463"/>
    </row>
    <row r="75" spans="1:31" ht="13.5" thickBot="1" x14ac:dyDescent="0.25">
      <c r="A75" s="585"/>
      <c r="B75" s="464"/>
      <c r="C75" s="586">
        <v>0.55000000000000004</v>
      </c>
      <c r="D75" s="468"/>
      <c r="E75" s="584" t="e">
        <f t="shared" si="4"/>
        <v>#REF!</v>
      </c>
      <c r="G75" s="585"/>
      <c r="H75" s="464"/>
      <c r="I75" s="586">
        <v>0.55000000000000004</v>
      </c>
      <c r="J75" s="468"/>
      <c r="K75" s="584" t="e">
        <f t="shared" si="5"/>
        <v>#REF!</v>
      </c>
      <c r="M75" s="585"/>
      <c r="N75" s="464"/>
      <c r="O75" s="586">
        <v>0.55000000000000004</v>
      </c>
      <c r="P75" s="468"/>
      <c r="Q75" s="584" t="e">
        <f t="shared" si="6"/>
        <v>#REF!</v>
      </c>
      <c r="R75" s="468"/>
      <c r="S75" s="585"/>
      <c r="T75" s="464"/>
      <c r="U75" s="586">
        <v>0.55000000000000004</v>
      </c>
      <c r="V75" s="468"/>
      <c r="W75" s="584" t="e">
        <f t="shared" si="7"/>
        <v>#REF!</v>
      </c>
      <c r="X75" s="576"/>
      <c r="Z75" s="594"/>
      <c r="AA75" s="464"/>
      <c r="AB75" s="513"/>
      <c r="AC75" s="607"/>
      <c r="AD75" s="608"/>
      <c r="AE75" s="608"/>
    </row>
    <row r="76" spans="1:31" ht="13.5" thickBot="1" x14ac:dyDescent="0.25">
      <c r="A76" s="596"/>
      <c r="B76" s="597"/>
      <c r="C76" s="598">
        <v>0.5</v>
      </c>
      <c r="D76" s="599"/>
      <c r="E76" s="584" t="e">
        <f t="shared" si="4"/>
        <v>#REF!</v>
      </c>
      <c r="G76" s="596"/>
      <c r="H76" s="597"/>
      <c r="I76" s="598">
        <v>0.5</v>
      </c>
      <c r="J76" s="599"/>
      <c r="K76" s="584" t="e">
        <f t="shared" si="5"/>
        <v>#REF!</v>
      </c>
      <c r="M76" s="596"/>
      <c r="N76" s="597"/>
      <c r="O76" s="598">
        <v>0.5</v>
      </c>
      <c r="P76" s="599"/>
      <c r="Q76" s="584" t="e">
        <f t="shared" si="6"/>
        <v>#REF!</v>
      </c>
      <c r="R76" s="468"/>
      <c r="S76" s="596"/>
      <c r="T76" s="597"/>
      <c r="U76" s="598">
        <v>0.5</v>
      </c>
      <c r="V76" s="599"/>
      <c r="W76" s="584" t="e">
        <f t="shared" si="7"/>
        <v>#REF!</v>
      </c>
      <c r="X76" s="576"/>
      <c r="Y76" s="625"/>
      <c r="Z76" s="594"/>
      <c r="AA76" s="464"/>
      <c r="AB76" s="464"/>
      <c r="AC76" s="513"/>
      <c r="AD76" s="487"/>
      <c r="AE76" s="487"/>
    </row>
    <row r="77" spans="1:31" x14ac:dyDescent="0.2">
      <c r="G77" s="463"/>
      <c r="H77" s="463"/>
      <c r="I77" s="463"/>
      <c r="J77" s="463"/>
      <c r="K77" s="463"/>
      <c r="M77" s="463"/>
      <c r="N77" s="463"/>
      <c r="O77" s="463"/>
      <c r="P77" s="463"/>
      <c r="Q77" s="463"/>
      <c r="R77" s="463"/>
      <c r="S77" s="463"/>
      <c r="T77" s="463"/>
      <c r="U77" s="463"/>
      <c r="V77" s="463"/>
      <c r="W77" s="463"/>
      <c r="X77" s="463"/>
      <c r="Y77" s="625"/>
      <c r="Z77" s="606"/>
      <c r="AA77" s="607"/>
      <c r="AB77" s="464"/>
      <c r="AC77" s="464"/>
      <c r="AD77" s="463"/>
      <c r="AE77" s="463"/>
    </row>
    <row r="78" spans="1:31" ht="13.5" thickBot="1" x14ac:dyDescent="0.25">
      <c r="A78" s="468"/>
      <c r="B78" s="469"/>
      <c r="C78" s="465"/>
      <c r="D78" s="466"/>
      <c r="E78" s="467"/>
      <c r="F78" s="468"/>
      <c r="G78" s="468"/>
      <c r="H78" s="469"/>
      <c r="I78" s="465"/>
      <c r="J78" s="466"/>
      <c r="K78" s="467"/>
      <c r="L78" s="464"/>
      <c r="M78" s="463"/>
      <c r="Q78" s="463"/>
      <c r="S78" s="463"/>
      <c r="W78" s="463"/>
      <c r="X78" s="215"/>
      <c r="Y78" s="605"/>
      <c r="Z78" s="606"/>
      <c r="AA78" s="607"/>
      <c r="AB78" s="464"/>
      <c r="AC78" s="464"/>
      <c r="AD78" s="463"/>
      <c r="AE78" s="463"/>
    </row>
    <row r="79" spans="1:31" ht="13.5" thickBot="1" x14ac:dyDescent="0.25">
      <c r="A79" s="1140" t="s">
        <v>298</v>
      </c>
      <c r="B79" s="1141"/>
      <c r="AB79" s="592"/>
      <c r="AC79" s="468"/>
      <c r="AD79" s="463"/>
      <c r="AE79" s="463"/>
    </row>
    <row r="80" spans="1:31" x14ac:dyDescent="0.2">
      <c r="A80" s="469"/>
      <c r="B80" s="465"/>
      <c r="C80" s="470" t="s">
        <v>255</v>
      </c>
      <c r="D80" s="471"/>
      <c r="E80" s="472"/>
      <c r="F80" s="473"/>
      <c r="I80" s="470" t="s">
        <v>256</v>
      </c>
      <c r="J80" s="471"/>
      <c r="K80" s="472"/>
      <c r="M80" s="617"/>
      <c r="N80" s="465"/>
      <c r="O80" s="615" t="s">
        <v>257</v>
      </c>
      <c r="P80" s="614"/>
      <c r="Q80" s="473"/>
      <c r="R80" s="473"/>
      <c r="S80" s="469"/>
      <c r="T80" s="465"/>
      <c r="U80" s="470" t="s">
        <v>258</v>
      </c>
      <c r="V80" s="471"/>
      <c r="W80" s="472"/>
      <c r="X80" s="473"/>
      <c r="Y80" s="592"/>
      <c r="AA80" s="464"/>
      <c r="AB80" s="464"/>
      <c r="AC80" s="464"/>
      <c r="AD80" s="463"/>
      <c r="AE80" s="463"/>
    </row>
    <row r="81" spans="1:31" s="487" customFormat="1" x14ac:dyDescent="0.2">
      <c r="A81" s="480" t="s">
        <v>261</v>
      </c>
      <c r="B81" s="481" t="s">
        <v>339</v>
      </c>
      <c r="C81" s="482" t="s">
        <v>262</v>
      </c>
      <c r="D81" s="483">
        <v>365</v>
      </c>
      <c r="E81" s="484">
        <f>D81*B82</f>
        <v>4380</v>
      </c>
      <c r="F81" s="485"/>
      <c r="G81" s="480" t="s">
        <v>261</v>
      </c>
      <c r="H81" s="486" t="s">
        <v>340</v>
      </c>
      <c r="I81" s="482" t="s">
        <v>262</v>
      </c>
      <c r="J81" s="483">
        <v>365</v>
      </c>
      <c r="K81" s="484">
        <f>H82*J81</f>
        <v>5657.5</v>
      </c>
      <c r="L81" s="513"/>
      <c r="M81" s="738" t="s">
        <v>261</v>
      </c>
      <c r="N81" s="488" t="s">
        <v>263</v>
      </c>
      <c r="O81" s="626" t="s">
        <v>262</v>
      </c>
      <c r="P81" s="483">
        <v>365</v>
      </c>
      <c r="Q81" s="485">
        <f>N82*P81</f>
        <v>7300</v>
      </c>
      <c r="R81" s="485"/>
      <c r="S81" s="480" t="s">
        <v>261</v>
      </c>
      <c r="T81" s="488" t="s">
        <v>264</v>
      </c>
      <c r="U81" s="482" t="s">
        <v>262</v>
      </c>
      <c r="V81" s="483">
        <v>365</v>
      </c>
      <c r="W81" s="484">
        <f>T82*V81</f>
        <v>9125</v>
      </c>
      <c r="X81" s="485"/>
      <c r="Y81" s="513"/>
      <c r="Z81" s="513"/>
      <c r="AA81" s="513"/>
      <c r="AB81" s="513"/>
      <c r="AC81" s="513"/>
    </row>
    <row r="82" spans="1:31" s="487" customFormat="1" x14ac:dyDescent="0.2">
      <c r="A82" s="480"/>
      <c r="B82" s="488">
        <v>12</v>
      </c>
      <c r="C82" s="482"/>
      <c r="D82" s="483"/>
      <c r="E82" s="484"/>
      <c r="F82" s="485"/>
      <c r="G82" s="480"/>
      <c r="H82" s="488">
        <v>15.5</v>
      </c>
      <c r="I82" s="482"/>
      <c r="J82" s="483"/>
      <c r="K82" s="484"/>
      <c r="L82" s="513"/>
      <c r="M82" s="738"/>
      <c r="N82" s="488">
        <v>20</v>
      </c>
      <c r="O82" s="626"/>
      <c r="P82" s="483"/>
      <c r="Q82" s="485"/>
      <c r="R82" s="485"/>
      <c r="S82" s="480"/>
      <c r="T82" s="488">
        <v>25</v>
      </c>
      <c r="U82" s="482"/>
      <c r="V82" s="483"/>
      <c r="W82" s="484"/>
      <c r="X82" s="485"/>
      <c r="Y82" s="513"/>
      <c r="Z82" s="513"/>
      <c r="AA82" s="513"/>
      <c r="AB82" s="513"/>
      <c r="AC82" s="513"/>
    </row>
    <row r="83" spans="1:31" s="487" customFormat="1" x14ac:dyDescent="0.2">
      <c r="A83" s="480"/>
      <c r="B83" s="488"/>
      <c r="C83" s="494"/>
      <c r="D83" s="483"/>
      <c r="E83" s="484"/>
      <c r="F83" s="485"/>
      <c r="G83" s="480"/>
      <c r="H83" s="488"/>
      <c r="I83" s="482"/>
      <c r="J83" s="483"/>
      <c r="K83" s="484"/>
      <c r="L83" s="513"/>
      <c r="M83" s="738"/>
      <c r="N83" s="488"/>
      <c r="O83" s="626"/>
      <c r="P83" s="483"/>
      <c r="Q83" s="485"/>
      <c r="R83" s="485"/>
      <c r="S83" s="480"/>
      <c r="T83" s="488"/>
      <c r="U83" s="482"/>
      <c r="V83" s="483"/>
      <c r="W83" s="484"/>
      <c r="X83" s="485"/>
      <c r="Y83" s="513"/>
      <c r="Z83" s="614"/>
      <c r="AA83" s="513"/>
      <c r="AB83" s="513"/>
      <c r="AC83" s="513"/>
    </row>
    <row r="84" spans="1:31" s="501" customFormat="1" ht="28.5" customHeight="1" x14ac:dyDescent="0.2">
      <c r="A84" s="496"/>
      <c r="B84" s="497" t="s">
        <v>269</v>
      </c>
      <c r="C84" s="498" t="s">
        <v>341</v>
      </c>
      <c r="D84" s="499" t="s">
        <v>270</v>
      </c>
      <c r="E84" s="498" t="s">
        <v>342</v>
      </c>
      <c r="F84" s="500"/>
      <c r="G84" s="496"/>
      <c r="H84" s="497" t="s">
        <v>269</v>
      </c>
      <c r="I84" s="498" t="s">
        <v>341</v>
      </c>
      <c r="J84" s="499" t="s">
        <v>270</v>
      </c>
      <c r="K84" s="498" t="s">
        <v>342</v>
      </c>
      <c r="L84" s="505"/>
      <c r="M84" s="739"/>
      <c r="N84" s="627" t="s">
        <v>269</v>
      </c>
      <c r="O84" s="500" t="s">
        <v>341</v>
      </c>
      <c r="P84" s="628" t="s">
        <v>270</v>
      </c>
      <c r="Q84" s="500" t="s">
        <v>342</v>
      </c>
      <c r="R84" s="500"/>
      <c r="S84" s="496"/>
      <c r="T84" s="497" t="s">
        <v>269</v>
      </c>
      <c r="U84" s="498" t="s">
        <v>341</v>
      </c>
      <c r="V84" s="499" t="s">
        <v>270</v>
      </c>
      <c r="W84" s="498" t="s">
        <v>342</v>
      </c>
      <c r="X84" s="500"/>
      <c r="Y84" s="615"/>
      <c r="Z84" s="615"/>
      <c r="AA84" s="615"/>
      <c r="AB84" s="615"/>
      <c r="AC84" s="505"/>
    </row>
    <row r="85" spans="1:31" s="466" customFormat="1" x14ac:dyDescent="0.2">
      <c r="A85" s="507" t="s">
        <v>272</v>
      </c>
      <c r="B85" s="891"/>
      <c r="C85" s="892">
        <f>$AC$11</f>
        <v>65368.626426372299</v>
      </c>
      <c r="D85" s="510">
        <f>AB18</f>
        <v>2.15</v>
      </c>
      <c r="E85" s="563">
        <f>C85*D85</f>
        <v>140542.54681670043</v>
      </c>
      <c r="F85" s="564"/>
      <c r="G85" s="893" t="s">
        <v>272</v>
      </c>
      <c r="H85" s="891"/>
      <c r="I85" s="892">
        <f>$AC$11</f>
        <v>65368.626426372299</v>
      </c>
      <c r="J85" s="510">
        <f>AC18</f>
        <v>2.15</v>
      </c>
      <c r="K85" s="563">
        <f>I85*J85</f>
        <v>140542.54681670043</v>
      </c>
      <c r="L85" s="564"/>
      <c r="M85" s="910" t="s">
        <v>272</v>
      </c>
      <c r="N85" s="911"/>
      <c r="O85" s="906">
        <f>$AC$11</f>
        <v>65368.626426372299</v>
      </c>
      <c r="P85" s="594">
        <f>AD18</f>
        <v>2.15</v>
      </c>
      <c r="Q85" s="564">
        <f>O85*P85</f>
        <v>140542.54681670043</v>
      </c>
      <c r="R85" s="564"/>
      <c r="S85" s="893" t="s">
        <v>272</v>
      </c>
      <c r="T85" s="891"/>
      <c r="U85" s="892">
        <f>$AC$11</f>
        <v>65368.626426372299</v>
      </c>
      <c r="V85" s="510">
        <f>AE18</f>
        <v>2.15</v>
      </c>
      <c r="W85" s="563">
        <f>U85*V85</f>
        <v>140542.54681670043</v>
      </c>
      <c r="X85" s="468"/>
      <c r="Y85" s="491"/>
      <c r="Z85" s="468"/>
      <c r="AA85" s="468"/>
      <c r="AB85" s="468"/>
      <c r="AC85" s="468"/>
    </row>
    <row r="86" spans="1:31" s="466" customFormat="1" x14ac:dyDescent="0.2">
      <c r="A86" s="507" t="s">
        <v>273</v>
      </c>
      <c r="B86" s="891"/>
      <c r="C86" s="892">
        <f>$AC$12</f>
        <v>56879.606800509006</v>
      </c>
      <c r="D86" s="510">
        <f>AB19</f>
        <v>4</v>
      </c>
      <c r="E86" s="563">
        <f>C86*D86</f>
        <v>227518.42720203602</v>
      </c>
      <c r="F86" s="564"/>
      <c r="G86" s="893" t="s">
        <v>273</v>
      </c>
      <c r="H86" s="891"/>
      <c r="I86" s="892">
        <f>$AC$12</f>
        <v>56879.606800509006</v>
      </c>
      <c r="J86" s="510">
        <f>$AC$19</f>
        <v>4</v>
      </c>
      <c r="K86" s="563">
        <f>I86*J86</f>
        <v>227518.42720203602</v>
      </c>
      <c r="L86" s="564"/>
      <c r="M86" s="910" t="s">
        <v>273</v>
      </c>
      <c r="N86" s="911"/>
      <c r="O86" s="906">
        <f>$AC$12</f>
        <v>56879.606800509006</v>
      </c>
      <c r="P86" s="594">
        <f>AD19</f>
        <v>4</v>
      </c>
      <c r="Q86" s="564">
        <f>O86*P86</f>
        <v>227518.42720203602</v>
      </c>
      <c r="R86" s="564"/>
      <c r="S86" s="893" t="s">
        <v>273</v>
      </c>
      <c r="T86" s="891"/>
      <c r="U86" s="892">
        <f>$AC$12</f>
        <v>56879.606800509006</v>
      </c>
      <c r="V86" s="510">
        <f>AE19</f>
        <v>5</v>
      </c>
      <c r="W86" s="563">
        <f>U86*V86</f>
        <v>284398.03400254506</v>
      </c>
      <c r="X86" s="468"/>
      <c r="Y86" s="615"/>
      <c r="Z86" s="491"/>
      <c r="AA86" s="468"/>
      <c r="AB86" s="468"/>
      <c r="AC86" s="468"/>
    </row>
    <row r="87" spans="1:31" s="523" customFormat="1" x14ac:dyDescent="0.2">
      <c r="A87" s="521" t="s">
        <v>275</v>
      </c>
      <c r="B87" s="510">
        <f>$AB$28</f>
        <v>0.67727547626247397</v>
      </c>
      <c r="C87" s="892">
        <f>$AC$13</f>
        <v>34055.717454304911</v>
      </c>
      <c r="D87" s="510">
        <f>B82/B87</f>
        <v>17.718048889384963</v>
      </c>
      <c r="E87" s="563">
        <f>C87*D87</f>
        <v>603400.86681845528</v>
      </c>
      <c r="F87" s="564"/>
      <c r="G87" s="894" t="s">
        <v>275</v>
      </c>
      <c r="H87" s="510">
        <f>AC28</f>
        <v>0.79679467795585102</v>
      </c>
      <c r="I87" s="892">
        <f>$AC$13</f>
        <v>34055.717454304911</v>
      </c>
      <c r="J87" s="510">
        <f>H82/H87</f>
        <v>19.452941176470592</v>
      </c>
      <c r="K87" s="563">
        <f>I87*J87</f>
        <v>662483.86836109625</v>
      </c>
      <c r="L87" s="912"/>
      <c r="M87" s="913" t="s">
        <v>275</v>
      </c>
      <c r="N87" s="594">
        <f>AD28</f>
        <v>0.84659434532809197</v>
      </c>
      <c r="O87" s="906">
        <f>$AC$13</f>
        <v>34055.717454304911</v>
      </c>
      <c r="P87" s="594">
        <f>N82/N87</f>
        <v>23.624065185846632</v>
      </c>
      <c r="Q87" s="564">
        <f>O87*P87</f>
        <v>804534.4890912741</v>
      </c>
      <c r="R87" s="564"/>
      <c r="S87" s="894" t="s">
        <v>275</v>
      </c>
      <c r="T87" s="510">
        <f>AE28</f>
        <v>0.88045811914121597</v>
      </c>
      <c r="U87" s="892">
        <f>$AC$13</f>
        <v>34055.717454304911</v>
      </c>
      <c r="V87" s="510">
        <f>T82/T87</f>
        <v>28.394309117604116</v>
      </c>
      <c r="W87" s="563">
        <f>U87*V87</f>
        <v>966988.56861931959</v>
      </c>
      <c r="X87" s="468"/>
      <c r="Y87" s="490"/>
      <c r="Z87" s="491"/>
      <c r="AA87" s="492"/>
      <c r="AB87" s="492"/>
      <c r="AC87" s="492"/>
    </row>
    <row r="88" spans="1:31" s="523" customFormat="1" x14ac:dyDescent="0.2">
      <c r="A88" s="521" t="s">
        <v>276</v>
      </c>
      <c r="B88" s="510"/>
      <c r="C88" s="892">
        <f>$AC$13</f>
        <v>34055.717454304911</v>
      </c>
      <c r="D88" s="510">
        <f>D87*$AB$8</f>
        <v>3.4754634359947429</v>
      </c>
      <c r="E88" s="563">
        <f>C88*D88</f>
        <v>118359.40079900468</v>
      </c>
      <c r="F88" s="564"/>
      <c r="G88" s="894" t="s">
        <v>276</v>
      </c>
      <c r="H88" s="510"/>
      <c r="I88" s="892">
        <f>$AC$13</f>
        <v>34055.717454304911</v>
      </c>
      <c r="J88" s="510">
        <f>J87*$AB$8</f>
        <v>3.8157692307692312</v>
      </c>
      <c r="K88" s="563">
        <f>I88*J88</f>
        <v>129948.75879390733</v>
      </c>
      <c r="L88" s="912"/>
      <c r="M88" s="913" t="s">
        <v>276</v>
      </c>
      <c r="N88" s="594"/>
      <c r="O88" s="906">
        <f>$AC$13</f>
        <v>34055.717454304911</v>
      </c>
      <c r="P88" s="594">
        <f>P87*$AB$8</f>
        <v>4.633951247992993</v>
      </c>
      <c r="Q88" s="564">
        <f>O88*P88</f>
        <v>157812.53439867299</v>
      </c>
      <c r="R88" s="564"/>
      <c r="S88" s="894" t="s">
        <v>276</v>
      </c>
      <c r="T88" s="510"/>
      <c r="U88" s="892">
        <f>$AC$13</f>
        <v>34055.717454304911</v>
      </c>
      <c r="V88" s="510">
        <f>V87*$AB$8</f>
        <v>5.5696529422992693</v>
      </c>
      <c r="W88" s="563">
        <f>U88*V88</f>
        <v>189678.52692148194</v>
      </c>
      <c r="X88" s="468"/>
      <c r="Y88" s="490"/>
      <c r="Z88" s="491"/>
      <c r="AA88" s="492"/>
      <c r="AB88" s="492"/>
      <c r="AC88" s="492"/>
    </row>
    <row r="89" spans="1:31" s="466" customFormat="1" x14ac:dyDescent="0.2">
      <c r="A89" s="507" t="s">
        <v>370</v>
      </c>
      <c r="B89" s="510"/>
      <c r="C89" s="892">
        <f>$AC$14</f>
        <v>33504.965890805717</v>
      </c>
      <c r="D89" s="510">
        <f>AB23</f>
        <v>3</v>
      </c>
      <c r="E89" s="563">
        <f>C89*D89</f>
        <v>100514.89767241715</v>
      </c>
      <c r="F89" s="564"/>
      <c r="G89" s="893" t="s">
        <v>370</v>
      </c>
      <c r="H89" s="510"/>
      <c r="I89" s="892">
        <f>$AC$14</f>
        <v>33504.965890805717</v>
      </c>
      <c r="J89" s="510">
        <f>AC23</f>
        <v>3</v>
      </c>
      <c r="K89" s="563">
        <f>I89*J89</f>
        <v>100514.89767241715</v>
      </c>
      <c r="L89" s="564"/>
      <c r="M89" s="910" t="s">
        <v>370</v>
      </c>
      <c r="N89" s="594"/>
      <c r="O89" s="906">
        <f>$AC$14</f>
        <v>33504.965890805717</v>
      </c>
      <c r="P89" s="594">
        <f>AD23</f>
        <v>3</v>
      </c>
      <c r="Q89" s="564">
        <f>O89*P89</f>
        <v>100514.89767241715</v>
      </c>
      <c r="R89" s="564"/>
      <c r="S89" s="893" t="s">
        <v>370</v>
      </c>
      <c r="T89" s="510"/>
      <c r="U89" s="892">
        <f>$AC$14</f>
        <v>33504.965890805717</v>
      </c>
      <c r="V89" s="510">
        <f>AE23</f>
        <v>4</v>
      </c>
      <c r="W89" s="563">
        <f>U89*V89</f>
        <v>134019.86356322287</v>
      </c>
      <c r="X89" s="468"/>
      <c r="Y89" s="490"/>
      <c r="Z89" s="491"/>
      <c r="AA89" s="468"/>
      <c r="AB89" s="468"/>
      <c r="AC89" s="468"/>
    </row>
    <row r="90" spans="1:31" s="487" customFormat="1" x14ac:dyDescent="0.2">
      <c r="A90" s="536" t="s">
        <v>277</v>
      </c>
      <c r="B90" s="896"/>
      <c r="C90" s="897"/>
      <c r="D90" s="898">
        <f>SUM(D85:D89)</f>
        <v>30.343512325379709</v>
      </c>
      <c r="E90" s="897">
        <f>SUM(E85:E89)</f>
        <v>1190336.1393086135</v>
      </c>
      <c r="F90" s="899"/>
      <c r="G90" s="896" t="s">
        <v>277</v>
      </c>
      <c r="H90" s="896"/>
      <c r="I90" s="897"/>
      <c r="J90" s="898">
        <f>SUM(J85:J89)</f>
        <v>32.418710407239828</v>
      </c>
      <c r="K90" s="897">
        <f>SUM(K85:K89)</f>
        <v>1261008.498846157</v>
      </c>
      <c r="L90" s="607"/>
      <c r="M90" s="1005" t="s">
        <v>277</v>
      </c>
      <c r="N90" s="1005"/>
      <c r="O90" s="1006"/>
      <c r="P90" s="1007">
        <f>SUM(P85:P89)</f>
        <v>37.40801643383962</v>
      </c>
      <c r="Q90" s="1006">
        <f>SUM(Q85:Q89)</f>
        <v>1430922.8951811008</v>
      </c>
      <c r="R90" s="899"/>
      <c r="S90" s="896" t="s">
        <v>277</v>
      </c>
      <c r="T90" s="896"/>
      <c r="U90" s="897"/>
      <c r="V90" s="898">
        <f>SUM(V85:V89)</f>
        <v>45.113962059903386</v>
      </c>
      <c r="W90" s="897">
        <f>SUM(W85:W89)</f>
        <v>1715627.5399232698</v>
      </c>
      <c r="X90" s="473"/>
      <c r="Y90" s="490"/>
      <c r="Z90" s="491"/>
      <c r="AA90" s="513"/>
      <c r="AB90" s="513"/>
      <c r="AC90" s="513"/>
    </row>
    <row r="91" spans="1:31" s="487" customFormat="1" x14ac:dyDescent="0.2">
      <c r="A91" s="513"/>
      <c r="B91" s="607"/>
      <c r="C91" s="899"/>
      <c r="D91" s="900"/>
      <c r="E91" s="899"/>
      <c r="F91" s="899"/>
      <c r="G91" s="607"/>
      <c r="H91" s="607"/>
      <c r="I91" s="899"/>
      <c r="J91" s="900"/>
      <c r="K91" s="899"/>
      <c r="L91" s="607"/>
      <c r="M91" s="607"/>
      <c r="N91" s="607"/>
      <c r="O91" s="899"/>
      <c r="P91" s="900"/>
      <c r="Q91" s="899"/>
      <c r="R91" s="899"/>
      <c r="S91" s="607"/>
      <c r="T91" s="607"/>
      <c r="U91" s="899"/>
      <c r="V91" s="900"/>
      <c r="W91" s="899"/>
      <c r="X91" s="473"/>
      <c r="Y91" s="490"/>
      <c r="Z91" s="491"/>
      <c r="AA91" s="513"/>
      <c r="AB91" s="513"/>
      <c r="AC91" s="513"/>
    </row>
    <row r="92" spans="1:31" s="487" customFormat="1" x14ac:dyDescent="0.2">
      <c r="A92" s="541" t="s">
        <v>278</v>
      </c>
      <c r="B92" s="901"/>
      <c r="C92" s="902"/>
      <c r="D92" s="903" t="s">
        <v>279</v>
      </c>
      <c r="E92" s="902"/>
      <c r="F92" s="904"/>
      <c r="G92" s="901" t="s">
        <v>278</v>
      </c>
      <c r="H92" s="901"/>
      <c r="I92" s="902"/>
      <c r="J92" s="903" t="s">
        <v>279</v>
      </c>
      <c r="K92" s="902"/>
      <c r="L92" s="607"/>
      <c r="M92" s="914" t="s">
        <v>278</v>
      </c>
      <c r="N92" s="914"/>
      <c r="O92" s="904"/>
      <c r="P92" s="915" t="s">
        <v>279</v>
      </c>
      <c r="Q92" s="904"/>
      <c r="R92" s="904"/>
      <c r="S92" s="901" t="s">
        <v>278</v>
      </c>
      <c r="T92" s="901"/>
      <c r="U92" s="902"/>
      <c r="V92" s="903" t="s">
        <v>279</v>
      </c>
      <c r="W92" s="902"/>
      <c r="X92" s="544"/>
      <c r="Y92" s="616"/>
      <c r="Z92" s="491"/>
      <c r="AA92" s="513"/>
      <c r="AB92" s="513"/>
      <c r="AC92" s="513"/>
    </row>
    <row r="93" spans="1:31" s="469" customFormat="1" x14ac:dyDescent="0.2">
      <c r="A93" s="545" t="s">
        <v>280</v>
      </c>
      <c r="B93" s="546"/>
      <c r="C93" s="567">
        <f>$AB$31</f>
        <v>0.25578770213785851</v>
      </c>
      <c r="D93" s="905"/>
      <c r="E93" s="563">
        <f>C93*E90</f>
        <v>304473.34584540006</v>
      </c>
      <c r="F93" s="906"/>
      <c r="G93" s="545" t="s">
        <v>280</v>
      </c>
      <c r="H93" s="546"/>
      <c r="I93" s="567">
        <f>$AB$31</f>
        <v>0.25578770213785851</v>
      </c>
      <c r="J93" s="905"/>
      <c r="K93" s="563">
        <f>I93*K90</f>
        <v>322550.46629616892</v>
      </c>
      <c r="L93" s="465"/>
      <c r="M93" s="524" t="s">
        <v>280</v>
      </c>
      <c r="N93" s="465"/>
      <c r="O93" s="633">
        <f>$AB$31</f>
        <v>0.25578770213785851</v>
      </c>
      <c r="P93" s="916"/>
      <c r="Q93" s="564">
        <f>O93*Q90</f>
        <v>366012.47929482552</v>
      </c>
      <c r="R93" s="906"/>
      <c r="S93" s="545" t="s">
        <v>280</v>
      </c>
      <c r="T93" s="546"/>
      <c r="U93" s="567">
        <f>$AB$31</f>
        <v>0.25578770213785851</v>
      </c>
      <c r="V93" s="905"/>
      <c r="W93" s="563">
        <f>U93*W90</f>
        <v>438836.42616140028</v>
      </c>
      <c r="X93" s="548"/>
      <c r="Y93" s="525"/>
      <c r="Z93" s="491"/>
      <c r="AA93" s="617"/>
      <c r="AB93" s="617"/>
      <c r="AC93" s="617"/>
    </row>
    <row r="94" spans="1:31" x14ac:dyDescent="0.2">
      <c r="A94" s="550" t="s">
        <v>282</v>
      </c>
      <c r="B94" s="907"/>
      <c r="C94" s="908"/>
      <c r="D94" s="552">
        <f>E94/E81</f>
        <v>341.28070437306246</v>
      </c>
      <c r="E94" s="909">
        <f>E93+E90</f>
        <v>1494809.4851540136</v>
      </c>
      <c r="F94" s="564"/>
      <c r="G94" s="907" t="s">
        <v>282</v>
      </c>
      <c r="H94" s="907"/>
      <c r="I94" s="908"/>
      <c r="J94" s="552">
        <f>K94/K81</f>
        <v>279.90436856249687</v>
      </c>
      <c r="K94" s="909">
        <f>K93+K90</f>
        <v>1583558.965142326</v>
      </c>
      <c r="L94" s="564"/>
      <c r="M94" s="1008" t="s">
        <v>282</v>
      </c>
      <c r="N94" s="1008"/>
      <c r="O94" s="1009"/>
      <c r="P94" s="1010">
        <f>Q94/Q81</f>
        <v>246.1555307501269</v>
      </c>
      <c r="Q94" s="1011">
        <f>Q93+Q90</f>
        <v>1796935.3744759264</v>
      </c>
      <c r="R94" s="904"/>
      <c r="S94" s="907" t="s">
        <v>282</v>
      </c>
      <c r="T94" s="907"/>
      <c r="U94" s="908"/>
      <c r="V94" s="552">
        <f>W94/W81</f>
        <v>236.10564011886797</v>
      </c>
      <c r="W94" s="909">
        <f>W93+W90</f>
        <v>2154463.9660846703</v>
      </c>
      <c r="X94" s="544"/>
      <c r="Y94" s="524"/>
      <c r="Z94" s="464"/>
      <c r="AA94" s="464"/>
      <c r="AB94" s="464"/>
      <c r="AC94" s="464"/>
      <c r="AD94" s="463"/>
      <c r="AE94" s="463"/>
    </row>
    <row r="95" spans="1:31" x14ac:dyDescent="0.2">
      <c r="B95" s="545"/>
      <c r="C95" s="563"/>
      <c r="D95" s="917"/>
      <c r="E95" s="563"/>
      <c r="F95" s="564"/>
      <c r="G95" s="545"/>
      <c r="H95" s="545"/>
      <c r="I95" s="563"/>
      <c r="J95" s="917"/>
      <c r="K95" s="563"/>
      <c r="L95" s="564"/>
      <c r="M95" s="524"/>
      <c r="N95" s="524"/>
      <c r="O95" s="564"/>
      <c r="P95" s="889"/>
      <c r="Q95" s="564"/>
      <c r="R95" s="564"/>
      <c r="S95" s="545"/>
      <c r="T95" s="545"/>
      <c r="U95" s="563"/>
      <c r="V95" s="917"/>
      <c r="W95" s="563"/>
      <c r="Y95" s="500"/>
      <c r="Z95" s="464"/>
      <c r="AA95" s="464"/>
      <c r="AB95" s="464"/>
      <c r="AC95" s="464"/>
      <c r="AD95" s="463"/>
      <c r="AE95" s="463"/>
    </row>
    <row r="96" spans="1:31" x14ac:dyDescent="0.2">
      <c r="A96" s="463" t="s">
        <v>91</v>
      </c>
      <c r="B96" s="545"/>
      <c r="C96" s="563"/>
      <c r="D96" s="510">
        <f>$AB$35</f>
        <v>5.2851727610295196</v>
      </c>
      <c r="E96" s="563">
        <f>D96*E$81</f>
        <v>23149.056693309296</v>
      </c>
      <c r="F96" s="564"/>
      <c r="G96" s="545" t="s">
        <v>91</v>
      </c>
      <c r="H96" s="545"/>
      <c r="I96" s="563"/>
      <c r="J96" s="510">
        <f>$AB$35</f>
        <v>5.2851727610295196</v>
      </c>
      <c r="K96" s="563">
        <f>J96*K$81</f>
        <v>29900.864895524508</v>
      </c>
      <c r="L96" s="564"/>
      <c r="M96" s="524" t="s">
        <v>91</v>
      </c>
      <c r="N96" s="524"/>
      <c r="O96" s="564"/>
      <c r="P96" s="594">
        <f>$AB$35</f>
        <v>5.2851727610295196</v>
      </c>
      <c r="Q96" s="564">
        <f>P96*Q$81</f>
        <v>38581.761155515494</v>
      </c>
      <c r="R96" s="564"/>
      <c r="S96" s="545" t="s">
        <v>91</v>
      </c>
      <c r="T96" s="545"/>
      <c r="U96" s="563"/>
      <c r="V96" s="510">
        <f>$AB$35</f>
        <v>5.2851727610295196</v>
      </c>
      <c r="W96" s="563">
        <f>V96*W$81</f>
        <v>48227.20144439437</v>
      </c>
      <c r="Y96" s="534"/>
      <c r="Z96" s="464"/>
      <c r="AA96" s="464"/>
      <c r="AB96" s="464"/>
      <c r="AC96" s="464"/>
      <c r="AD96" s="463"/>
      <c r="AE96" s="463"/>
    </row>
    <row r="97" spans="1:31" x14ac:dyDescent="0.2">
      <c r="C97" s="466"/>
      <c r="D97" s="510"/>
      <c r="E97" s="563"/>
      <c r="F97" s="564"/>
      <c r="G97" s="463"/>
      <c r="H97" s="463"/>
      <c r="J97" s="510"/>
      <c r="K97" s="563"/>
      <c r="M97" s="464"/>
      <c r="N97" s="464"/>
      <c r="O97" s="468"/>
      <c r="P97" s="594"/>
      <c r="Q97" s="564"/>
      <c r="R97" s="564"/>
      <c r="S97" s="463"/>
      <c r="T97" s="463"/>
      <c r="U97" s="466"/>
      <c r="V97" s="510"/>
      <c r="W97" s="563"/>
      <c r="X97" s="564"/>
      <c r="Y97" s="534"/>
      <c r="Z97" s="464"/>
      <c r="AA97" s="464"/>
      <c r="AB97" s="464"/>
      <c r="AC97" s="464"/>
      <c r="AD97" s="463"/>
      <c r="AE97" s="463"/>
    </row>
    <row r="98" spans="1:31" x14ac:dyDescent="0.2">
      <c r="A98" s="463" t="s">
        <v>283</v>
      </c>
      <c r="C98" s="466"/>
      <c r="D98" s="510">
        <f>$AB$37</f>
        <v>18.364580498704061</v>
      </c>
      <c r="E98" s="466">
        <f>D98*E$81</f>
        <v>80436.862584323782</v>
      </c>
      <c r="F98" s="468"/>
      <c r="G98" s="463" t="s">
        <v>283</v>
      </c>
      <c r="H98" s="463"/>
      <c r="J98" s="510">
        <f>$AB$37</f>
        <v>18.364580498704061</v>
      </c>
      <c r="K98" s="466">
        <f>J98*K$81</f>
        <v>103897.61417141823</v>
      </c>
      <c r="M98" s="464" t="s">
        <v>283</v>
      </c>
      <c r="N98" s="464"/>
      <c r="O98" s="468"/>
      <c r="P98" s="1019">
        <f>$AB$37</f>
        <v>18.364580498704061</v>
      </c>
      <c r="Q98" s="468">
        <f>P98*Q$81</f>
        <v>134061.43764053966</v>
      </c>
      <c r="R98" s="468"/>
      <c r="S98" s="463" t="s">
        <v>283</v>
      </c>
      <c r="T98" s="463"/>
      <c r="U98" s="466"/>
      <c r="V98" s="510">
        <f>$AB$37</f>
        <v>18.364580498704061</v>
      </c>
      <c r="W98" s="466">
        <f>V98*W$81</f>
        <v>167576.79705067456</v>
      </c>
      <c r="Y98" s="534"/>
      <c r="Z98" s="464"/>
      <c r="AA98" s="464"/>
      <c r="AB98" s="464"/>
      <c r="AC98" s="464"/>
      <c r="AD98" s="463"/>
      <c r="AE98" s="463"/>
    </row>
    <row r="99" spans="1:31" x14ac:dyDescent="0.2">
      <c r="C99" s="466"/>
      <c r="D99" s="566">
        <f>SUM(D96:D98)</f>
        <v>23.649753259733579</v>
      </c>
      <c r="E99" s="466"/>
      <c r="F99" s="468"/>
      <c r="G99" s="463"/>
      <c r="H99" s="463"/>
      <c r="J99" s="566">
        <f>SUM(J96:J98)</f>
        <v>23.649753259733579</v>
      </c>
      <c r="M99" s="464"/>
      <c r="N99" s="464"/>
      <c r="O99" s="468"/>
      <c r="P99" s="741">
        <f>SUM(P96:P98)</f>
        <v>23.649753259733579</v>
      </c>
      <c r="R99" s="468"/>
      <c r="S99" s="463"/>
      <c r="T99" s="463"/>
      <c r="U99" s="466"/>
      <c r="V99" s="566">
        <f>SUM(V96:V98)</f>
        <v>23.649753259733579</v>
      </c>
      <c r="W99" s="466"/>
      <c r="Y99" s="534"/>
      <c r="Z99" s="464"/>
      <c r="AA99" s="464"/>
      <c r="AB99" s="464"/>
      <c r="AC99" s="464"/>
      <c r="AD99" s="463"/>
      <c r="AE99" s="463"/>
    </row>
    <row r="100" spans="1:31" x14ac:dyDescent="0.2">
      <c r="A100" s="536" t="s">
        <v>371</v>
      </c>
      <c r="B100" s="536"/>
      <c r="C100" s="537"/>
      <c r="D100" s="538"/>
      <c r="E100" s="537">
        <f>SUM(E94:E98)</f>
        <v>1598395.4044316467</v>
      </c>
      <c r="F100" s="473"/>
      <c r="G100" s="536" t="s">
        <v>371</v>
      </c>
      <c r="H100" s="536"/>
      <c r="I100" s="537"/>
      <c r="J100" s="538"/>
      <c r="K100" s="537">
        <f>SUM(K94:K98)</f>
        <v>1717357.4442092685</v>
      </c>
      <c r="M100" s="1012" t="s">
        <v>371</v>
      </c>
      <c r="N100" s="1012"/>
      <c r="O100" s="1013"/>
      <c r="P100" s="1014"/>
      <c r="Q100" s="1013">
        <f>SUM(Q94:Q98)</f>
        <v>1969578.5732719814</v>
      </c>
      <c r="R100" s="473"/>
      <c r="S100" s="536" t="s">
        <v>371</v>
      </c>
      <c r="T100" s="536"/>
      <c r="U100" s="537"/>
      <c r="V100" s="538"/>
      <c r="W100" s="537">
        <f>SUM(W94:W98)</f>
        <v>2370267.9645797391</v>
      </c>
      <c r="X100" s="473"/>
      <c r="Y100" s="534"/>
      <c r="Z100" s="464"/>
      <c r="AA100" s="464"/>
      <c r="AB100" s="464"/>
      <c r="AC100" s="464"/>
      <c r="AD100" s="463"/>
      <c r="AE100" s="463"/>
    </row>
    <row r="101" spans="1:31" x14ac:dyDescent="0.2">
      <c r="A101" s="463" t="s">
        <v>286</v>
      </c>
      <c r="C101" s="567">
        <f>$AB$40</f>
        <v>0.121061</v>
      </c>
      <c r="D101" s="522"/>
      <c r="E101" s="466">
        <f>C101*E100</f>
        <v>193503.34605589957</v>
      </c>
      <c r="F101" s="468"/>
      <c r="G101" s="463" t="s">
        <v>286</v>
      </c>
      <c r="H101" s="463"/>
      <c r="I101" s="567">
        <f>$AB$40</f>
        <v>0.121061</v>
      </c>
      <c r="J101" s="522"/>
      <c r="K101" s="466">
        <f>I101*K100</f>
        <v>207905.00955341826</v>
      </c>
      <c r="M101" s="464" t="s">
        <v>286</v>
      </c>
      <c r="N101" s="464"/>
      <c r="O101" s="633">
        <f>$AB$40</f>
        <v>0.121061</v>
      </c>
      <c r="P101" s="630"/>
      <c r="Q101" s="468">
        <f>O101*Q100</f>
        <v>238439.15165887936</v>
      </c>
      <c r="R101" s="468"/>
      <c r="S101" s="463" t="s">
        <v>286</v>
      </c>
      <c r="T101" s="463"/>
      <c r="U101" s="567">
        <f>$AB$40</f>
        <v>0.121061</v>
      </c>
      <c r="V101" s="522"/>
      <c r="W101" s="466">
        <f>U101*W100</f>
        <v>286947.01005998778</v>
      </c>
      <c r="Y101" s="618"/>
      <c r="Z101" s="618"/>
      <c r="AA101" s="618"/>
      <c r="AB101" s="618"/>
      <c r="AC101" s="464"/>
      <c r="AD101" s="463"/>
      <c r="AE101" s="463"/>
    </row>
    <row r="102" spans="1:31" x14ac:dyDescent="0.2">
      <c r="A102" s="1001" t="s">
        <v>541</v>
      </c>
      <c r="B102" s="1001"/>
      <c r="C102" s="1002">
        <v>6.3E-3</v>
      </c>
      <c r="D102" s="1003"/>
      <c r="E102" s="1000">
        <f>E90*C102</f>
        <v>7499.1176776442653</v>
      </c>
      <c r="F102" s="1004"/>
      <c r="G102" s="1001" t="s">
        <v>541</v>
      </c>
      <c r="H102" s="1001"/>
      <c r="I102" s="1002">
        <v>6.3E-3</v>
      </c>
      <c r="J102" s="1003"/>
      <c r="K102" s="1000">
        <f>K90*I102</f>
        <v>7944.3535427307888</v>
      </c>
      <c r="L102" s="1004"/>
      <c r="M102" s="1015" t="s">
        <v>541</v>
      </c>
      <c r="N102" s="1015"/>
      <c r="O102" s="1016">
        <v>6.3E-3</v>
      </c>
      <c r="P102" s="1017"/>
      <c r="Q102" s="1018">
        <f>Q90*O102</f>
        <v>9014.8142396409348</v>
      </c>
      <c r="R102" s="1004"/>
      <c r="S102" s="1001" t="s">
        <v>541</v>
      </c>
      <c r="T102" s="1001"/>
      <c r="U102" s="1002">
        <v>6.3E-3</v>
      </c>
      <c r="V102" s="1003"/>
      <c r="W102" s="1000">
        <f>W90*U102</f>
        <v>10808.4535015166</v>
      </c>
      <c r="Y102" s="618"/>
      <c r="Z102" s="618"/>
      <c r="AA102" s="618"/>
      <c r="AB102" s="618"/>
      <c r="AC102" s="464"/>
      <c r="AD102" s="463"/>
      <c r="AE102" s="463"/>
    </row>
    <row r="103" spans="1:31" s="487" customFormat="1" ht="15" customHeight="1" thickBot="1" x14ac:dyDescent="0.25">
      <c r="A103" s="568" t="s">
        <v>288</v>
      </c>
      <c r="B103" s="568"/>
      <c r="C103" s="569"/>
      <c r="D103" s="570"/>
      <c r="E103" s="571">
        <f>ROUND(SUM(E100:E102),2)</f>
        <v>1799397.87</v>
      </c>
      <c r="F103" s="473"/>
      <c r="G103" s="568" t="s">
        <v>288</v>
      </c>
      <c r="H103" s="568"/>
      <c r="I103" s="569"/>
      <c r="J103" s="570"/>
      <c r="K103" s="571">
        <f>ROUND(SUM(K100:K102),2)</f>
        <v>1933206.81</v>
      </c>
      <c r="L103" s="513"/>
      <c r="M103" s="1020" t="s">
        <v>288</v>
      </c>
      <c r="N103" s="1020"/>
      <c r="O103" s="1021"/>
      <c r="P103" s="1022"/>
      <c r="Q103" s="1023">
        <f>ROUND(SUM(Q100:Q102),2)</f>
        <v>2217032.54</v>
      </c>
      <c r="R103" s="473"/>
      <c r="S103" s="568" t="s">
        <v>288</v>
      </c>
      <c r="T103" s="568"/>
      <c r="U103" s="569"/>
      <c r="V103" s="570"/>
      <c r="W103" s="571">
        <f>ROUND(SUM(W100:W102),2)</f>
        <v>2668023.4300000002</v>
      </c>
      <c r="X103" s="473"/>
      <c r="Y103" s="619"/>
      <c r="Z103" s="620"/>
      <c r="AA103" s="621"/>
      <c r="AB103" s="620"/>
      <c r="AC103" s="513"/>
    </row>
    <row r="104" spans="1:31" s="487" customFormat="1" ht="13.5" thickTop="1" x14ac:dyDescent="0.2">
      <c r="A104" s="541"/>
      <c r="B104" s="541"/>
      <c r="C104" s="542"/>
      <c r="D104" s="572"/>
      <c r="E104" s="542"/>
      <c r="F104" s="544"/>
      <c r="G104" s="541"/>
      <c r="H104" s="541"/>
      <c r="I104" s="542"/>
      <c r="J104" s="572"/>
      <c r="K104" s="542"/>
      <c r="L104" s="513"/>
      <c r="M104" s="589"/>
      <c r="N104" s="589"/>
      <c r="O104" s="544"/>
      <c r="P104" s="634"/>
      <c r="Q104" s="544"/>
      <c r="R104" s="544"/>
      <c r="S104" s="541"/>
      <c r="T104" s="541"/>
      <c r="U104" s="542"/>
      <c r="V104" s="572"/>
      <c r="W104" s="542"/>
      <c r="X104" s="544"/>
      <c r="Y104" s="561"/>
      <c r="Z104" s="561"/>
      <c r="AA104" s="561"/>
      <c r="AB104" s="622"/>
      <c r="AC104" s="513"/>
    </row>
    <row r="105" spans="1:31" s="577" customFormat="1" ht="13.15" customHeight="1" x14ac:dyDescent="0.2">
      <c r="A105" s="574" t="s">
        <v>289</v>
      </c>
      <c r="B105" s="574"/>
      <c r="C105" s="575"/>
      <c r="D105" s="575"/>
      <c r="E105" s="576">
        <f>E103/E81</f>
        <v>410.82143150684936</v>
      </c>
      <c r="F105" s="578"/>
      <c r="G105" s="574" t="s">
        <v>289</v>
      </c>
      <c r="H105" s="574"/>
      <c r="I105" s="575"/>
      <c r="J105" s="575"/>
      <c r="K105" s="576">
        <f>K103/K81</f>
        <v>341.70690410958906</v>
      </c>
      <c r="L105" s="623"/>
      <c r="M105" s="575" t="s">
        <v>289</v>
      </c>
      <c r="N105" s="575"/>
      <c r="O105" s="575"/>
      <c r="P105" s="575"/>
      <c r="Q105" s="576">
        <f>Q103/Q81</f>
        <v>303.70308767123288</v>
      </c>
      <c r="S105" s="574" t="s">
        <v>289</v>
      </c>
      <c r="T105" s="574"/>
      <c r="U105" s="575"/>
      <c r="V105" s="575"/>
      <c r="W105" s="576">
        <f>W103/W81</f>
        <v>292.3861293150685</v>
      </c>
      <c r="Y105" s="561"/>
      <c r="Z105" s="561"/>
      <c r="AA105" s="561"/>
      <c r="AB105" s="561"/>
      <c r="AC105" s="623"/>
    </row>
    <row r="106" spans="1:31" s="577" customFormat="1" ht="13.5" thickBot="1" x14ac:dyDescent="0.25">
      <c r="A106" s="574" t="s">
        <v>290</v>
      </c>
      <c r="B106" s="574"/>
      <c r="C106" s="579" t="e">
        <f>C67</f>
        <v>#REF!</v>
      </c>
      <c r="D106" s="575"/>
      <c r="E106" s="576"/>
      <c r="F106" s="578"/>
      <c r="G106" s="574" t="s">
        <v>290</v>
      </c>
      <c r="H106" s="574"/>
      <c r="I106" s="579" t="e">
        <f>C106</f>
        <v>#REF!</v>
      </c>
      <c r="J106" s="575"/>
      <c r="K106" s="576"/>
      <c r="L106" s="623"/>
      <c r="M106" s="575" t="s">
        <v>290</v>
      </c>
      <c r="N106" s="575"/>
      <c r="O106" s="579" t="e">
        <f>AB41</f>
        <v>#REF!</v>
      </c>
      <c r="P106" s="575"/>
      <c r="Q106" s="576"/>
      <c r="R106" s="464"/>
      <c r="S106" s="574" t="s">
        <v>290</v>
      </c>
      <c r="T106" s="574"/>
      <c r="U106" s="579" t="e">
        <f>AB41</f>
        <v>#REF!</v>
      </c>
      <c r="V106" s="575"/>
      <c r="W106" s="576"/>
      <c r="X106" s="464"/>
      <c r="Y106" s="561"/>
      <c r="Z106" s="561"/>
      <c r="AA106" s="561"/>
      <c r="AB106" s="561"/>
      <c r="AC106" s="623"/>
    </row>
    <row r="107" spans="1:31" ht="13.5" thickBot="1" x14ac:dyDescent="0.25">
      <c r="A107" s="581" t="s">
        <v>292</v>
      </c>
      <c r="B107" s="531"/>
      <c r="C107" s="582">
        <v>0.9</v>
      </c>
      <c r="D107" s="478"/>
      <c r="E107" s="584" t="e">
        <f>E$103*(C$106+1)/(E$81*C107)</f>
        <v>#REF!</v>
      </c>
      <c r="G107" s="581" t="s">
        <v>292</v>
      </c>
      <c r="H107" s="531"/>
      <c r="I107" s="582">
        <v>0.9</v>
      </c>
      <c r="J107" s="478"/>
      <c r="K107" s="584" t="e">
        <f>K$103*(I$106+1)/(K$81*I107)</f>
        <v>#REF!</v>
      </c>
      <c r="M107" s="581" t="s">
        <v>292</v>
      </c>
      <c r="N107" s="531"/>
      <c r="O107" s="582">
        <v>0.9</v>
      </c>
      <c r="P107" s="478"/>
      <c r="Q107" s="584" t="e">
        <f>Q$103*(O$106+1)/(Q$81*O107)</f>
        <v>#REF!</v>
      </c>
      <c r="R107" s="468"/>
      <c r="S107" s="581" t="s">
        <v>292</v>
      </c>
      <c r="T107" s="531"/>
      <c r="U107" s="582">
        <v>0.9</v>
      </c>
      <c r="V107" s="478"/>
      <c r="W107" s="584" t="e">
        <f>W$103*(U$106+1)/(W$81*U107)</f>
        <v>#REF!</v>
      </c>
      <c r="X107" s="576"/>
      <c r="Y107" s="561"/>
      <c r="Z107" s="622"/>
      <c r="AA107" s="622"/>
      <c r="AB107" s="622"/>
      <c r="AC107" s="464"/>
      <c r="AD107" s="463"/>
      <c r="AE107" s="463"/>
    </row>
    <row r="108" spans="1:31" ht="13.5" thickBot="1" x14ac:dyDescent="0.25">
      <c r="A108" s="585"/>
      <c r="B108" s="464"/>
      <c r="C108" s="586">
        <v>0.85</v>
      </c>
      <c r="D108" s="468"/>
      <c r="E108" s="584" t="e">
        <f t="shared" ref="E108:E115" si="8">E$103*(C$106+1)/(E$81*C108)</f>
        <v>#REF!</v>
      </c>
      <c r="G108" s="585"/>
      <c r="H108" s="464"/>
      <c r="I108" s="586">
        <v>0.85</v>
      </c>
      <c r="J108" s="468"/>
      <c r="K108" s="584" t="e">
        <f t="shared" ref="K108:K115" si="9">K$103*(I$106+1)/(K$81*I108)</f>
        <v>#REF!</v>
      </c>
      <c r="M108" s="585"/>
      <c r="N108" s="464"/>
      <c r="O108" s="586">
        <v>0.85</v>
      </c>
      <c r="P108" s="468"/>
      <c r="Q108" s="584" t="e">
        <f t="shared" ref="Q108:Q115" si="10">Q$103*(O$106+1)/(Q$81*O108)</f>
        <v>#REF!</v>
      </c>
      <c r="R108" s="468"/>
      <c r="S108" s="585"/>
      <c r="T108" s="464"/>
      <c r="U108" s="586">
        <v>0.85</v>
      </c>
      <c r="V108" s="468"/>
      <c r="W108" s="584" t="e">
        <f t="shared" ref="W108:W115" si="11">W$103*(U$106+1)/(W$81*U108)</f>
        <v>#REF!</v>
      </c>
      <c r="X108" s="576"/>
      <c r="Y108" s="624"/>
      <c r="Z108" s="624"/>
      <c r="AA108" s="624"/>
      <c r="AB108" s="624"/>
      <c r="AC108" s="464"/>
      <c r="AD108" s="463"/>
      <c r="AE108" s="463"/>
    </row>
    <row r="109" spans="1:31" ht="13.5" thickBot="1" x14ac:dyDescent="0.25">
      <c r="A109" s="585"/>
      <c r="B109" s="464"/>
      <c r="C109" s="586">
        <v>0.8</v>
      </c>
      <c r="D109" s="468"/>
      <c r="E109" s="584" t="e">
        <f t="shared" si="8"/>
        <v>#REF!</v>
      </c>
      <c r="G109" s="585"/>
      <c r="H109" s="464"/>
      <c r="I109" s="586">
        <v>0.8</v>
      </c>
      <c r="J109" s="468"/>
      <c r="K109" s="584" t="e">
        <f t="shared" si="9"/>
        <v>#REF!</v>
      </c>
      <c r="M109" s="585"/>
      <c r="N109" s="464"/>
      <c r="O109" s="586">
        <v>0.8</v>
      </c>
      <c r="P109" s="468"/>
      <c r="Q109" s="584" t="e">
        <f t="shared" si="10"/>
        <v>#REF!</v>
      </c>
      <c r="R109" s="468"/>
      <c r="S109" s="585"/>
      <c r="T109" s="464"/>
      <c r="U109" s="586">
        <v>0.8</v>
      </c>
      <c r="V109" s="468"/>
      <c r="W109" s="584" t="e">
        <f t="shared" si="11"/>
        <v>#REF!</v>
      </c>
      <c r="X109" s="576"/>
      <c r="Y109" s="619"/>
      <c r="Z109" s="620"/>
      <c r="AA109" s="621"/>
      <c r="AB109" s="620"/>
      <c r="AC109" s="464"/>
      <c r="AD109" s="463"/>
      <c r="AE109" s="463"/>
    </row>
    <row r="110" spans="1:31" ht="13.5" thickBot="1" x14ac:dyDescent="0.25">
      <c r="A110" s="585"/>
      <c r="B110" s="464"/>
      <c r="C110" s="586">
        <v>0.75</v>
      </c>
      <c r="D110" s="468"/>
      <c r="E110" s="584" t="e">
        <f t="shared" si="8"/>
        <v>#REF!</v>
      </c>
      <c r="G110" s="585"/>
      <c r="H110" s="464"/>
      <c r="I110" s="586">
        <v>0.75</v>
      </c>
      <c r="J110" s="468"/>
      <c r="K110" s="584" t="e">
        <f t="shared" si="9"/>
        <v>#REF!</v>
      </c>
      <c r="M110" s="585"/>
      <c r="N110" s="464"/>
      <c r="O110" s="586">
        <v>0.75</v>
      </c>
      <c r="P110" s="468"/>
      <c r="Q110" s="584" t="e">
        <f t="shared" si="10"/>
        <v>#REF!</v>
      </c>
      <c r="R110" s="468"/>
      <c r="S110" s="585"/>
      <c r="T110" s="464"/>
      <c r="U110" s="586">
        <v>0.75</v>
      </c>
      <c r="V110" s="468"/>
      <c r="W110" s="584" t="e">
        <f t="shared" si="11"/>
        <v>#REF!</v>
      </c>
      <c r="X110" s="576"/>
      <c r="Y110" s="561"/>
      <c r="Z110" s="561"/>
      <c r="AA110" s="561"/>
      <c r="AB110" s="561"/>
      <c r="AC110" s="464"/>
      <c r="AD110" s="463"/>
      <c r="AE110" s="463"/>
    </row>
    <row r="111" spans="1:31" ht="13.5" thickBot="1" x14ac:dyDescent="0.25">
      <c r="A111" s="585"/>
      <c r="B111" s="464"/>
      <c r="C111" s="586">
        <v>0.7</v>
      </c>
      <c r="D111" s="468"/>
      <c r="E111" s="584" t="e">
        <f t="shared" si="8"/>
        <v>#REF!</v>
      </c>
      <c r="G111" s="585"/>
      <c r="H111" s="464"/>
      <c r="I111" s="586">
        <v>0.7</v>
      </c>
      <c r="J111" s="468"/>
      <c r="K111" s="584" t="e">
        <f t="shared" si="9"/>
        <v>#REF!</v>
      </c>
      <c r="M111" s="585"/>
      <c r="N111" s="464"/>
      <c r="O111" s="586">
        <v>0.7</v>
      </c>
      <c r="P111" s="468"/>
      <c r="Q111" s="584" t="e">
        <f t="shared" si="10"/>
        <v>#REF!</v>
      </c>
      <c r="R111" s="468"/>
      <c r="S111" s="585"/>
      <c r="T111" s="464"/>
      <c r="U111" s="586">
        <v>0.7</v>
      </c>
      <c r="V111" s="468"/>
      <c r="W111" s="584" t="e">
        <f t="shared" si="11"/>
        <v>#REF!</v>
      </c>
      <c r="X111" s="576"/>
      <c r="Y111" s="561"/>
      <c r="Z111" s="561"/>
      <c r="AA111" s="561"/>
      <c r="AB111" s="561"/>
      <c r="AC111" s="464"/>
      <c r="AD111" s="463"/>
      <c r="AE111" s="463"/>
    </row>
    <row r="112" spans="1:31" ht="13.5" thickBot="1" x14ac:dyDescent="0.25">
      <c r="A112" s="585"/>
      <c r="B112" s="464"/>
      <c r="C112" s="586">
        <v>0.65</v>
      </c>
      <c r="D112" s="468"/>
      <c r="E112" s="584" t="e">
        <f t="shared" si="8"/>
        <v>#REF!</v>
      </c>
      <c r="G112" s="585"/>
      <c r="H112" s="464"/>
      <c r="I112" s="586">
        <v>0.65</v>
      </c>
      <c r="J112" s="468"/>
      <c r="K112" s="584" t="e">
        <f t="shared" si="9"/>
        <v>#REF!</v>
      </c>
      <c r="M112" s="585"/>
      <c r="N112" s="464"/>
      <c r="O112" s="586">
        <v>0.65</v>
      </c>
      <c r="P112" s="468"/>
      <c r="Q112" s="584" t="e">
        <f t="shared" si="10"/>
        <v>#REF!</v>
      </c>
      <c r="R112" s="468"/>
      <c r="S112" s="585"/>
      <c r="T112" s="464"/>
      <c r="U112" s="586">
        <v>0.65</v>
      </c>
      <c r="V112" s="468"/>
      <c r="W112" s="584" t="e">
        <f t="shared" si="11"/>
        <v>#REF!</v>
      </c>
      <c r="X112" s="576"/>
      <c r="Z112" s="464"/>
      <c r="AA112" s="464"/>
      <c r="AB112" s="464"/>
      <c r="AC112" s="464"/>
      <c r="AD112" s="463"/>
      <c r="AE112" s="463"/>
    </row>
    <row r="113" spans="1:31" ht="13.5" thickBot="1" x14ac:dyDescent="0.25">
      <c r="A113" s="585"/>
      <c r="B113" s="464"/>
      <c r="C113" s="586">
        <v>0.6</v>
      </c>
      <c r="D113" s="468"/>
      <c r="E113" s="584" t="e">
        <f t="shared" si="8"/>
        <v>#REF!</v>
      </c>
      <c r="G113" s="585"/>
      <c r="H113" s="464"/>
      <c r="I113" s="586">
        <v>0.6</v>
      </c>
      <c r="J113" s="468"/>
      <c r="K113" s="584" t="e">
        <f t="shared" si="9"/>
        <v>#REF!</v>
      </c>
      <c r="M113" s="585"/>
      <c r="N113" s="464"/>
      <c r="O113" s="586">
        <v>0.6</v>
      </c>
      <c r="P113" s="468"/>
      <c r="Q113" s="584" t="e">
        <f t="shared" si="10"/>
        <v>#REF!</v>
      </c>
      <c r="R113" s="468"/>
      <c r="S113" s="585"/>
      <c r="T113" s="464"/>
      <c r="U113" s="586">
        <v>0.6</v>
      </c>
      <c r="V113" s="468"/>
      <c r="W113" s="584" t="e">
        <f t="shared" si="11"/>
        <v>#REF!</v>
      </c>
      <c r="X113" s="576"/>
      <c r="Y113" s="591"/>
      <c r="Z113" s="464"/>
      <c r="AA113" s="464"/>
      <c r="AB113" s="464"/>
      <c r="AC113" s="464"/>
      <c r="AD113" s="463"/>
      <c r="AE113" s="463"/>
    </row>
    <row r="114" spans="1:31" ht="13.5" thickBot="1" x14ac:dyDescent="0.25">
      <c r="A114" s="585"/>
      <c r="B114" s="464"/>
      <c r="C114" s="586">
        <v>0.55000000000000004</v>
      </c>
      <c r="D114" s="468"/>
      <c r="E114" s="584" t="e">
        <f t="shared" si="8"/>
        <v>#REF!</v>
      </c>
      <c r="G114" s="585"/>
      <c r="H114" s="464"/>
      <c r="I114" s="586">
        <v>0.55000000000000004</v>
      </c>
      <c r="J114" s="468"/>
      <c r="K114" s="584" t="e">
        <f t="shared" si="9"/>
        <v>#REF!</v>
      </c>
      <c r="M114" s="585"/>
      <c r="N114" s="464"/>
      <c r="O114" s="586">
        <v>0.55000000000000004</v>
      </c>
      <c r="P114" s="468"/>
      <c r="Q114" s="584" t="e">
        <f t="shared" si="10"/>
        <v>#REF!</v>
      </c>
      <c r="R114" s="468"/>
      <c r="S114" s="585"/>
      <c r="T114" s="464"/>
      <c r="U114" s="586">
        <v>0.55000000000000004</v>
      </c>
      <c r="V114" s="468"/>
      <c r="W114" s="584" t="e">
        <f t="shared" si="11"/>
        <v>#REF!</v>
      </c>
      <c r="X114" s="576"/>
      <c r="Z114" s="594"/>
      <c r="AA114" s="464"/>
      <c r="AB114" s="464"/>
      <c r="AC114" s="513"/>
      <c r="AD114" s="487"/>
      <c r="AE114" s="487"/>
    </row>
    <row r="115" spans="1:31" ht="13.5" thickBot="1" x14ac:dyDescent="0.25">
      <c r="A115" s="596"/>
      <c r="B115" s="597"/>
      <c r="C115" s="598">
        <v>0.5</v>
      </c>
      <c r="D115" s="599"/>
      <c r="E115" s="584" t="e">
        <f t="shared" si="8"/>
        <v>#REF!</v>
      </c>
      <c r="G115" s="596"/>
      <c r="H115" s="597"/>
      <c r="I115" s="598">
        <v>0.5</v>
      </c>
      <c r="J115" s="599"/>
      <c r="K115" s="584" t="e">
        <f t="shared" si="9"/>
        <v>#REF!</v>
      </c>
      <c r="M115" s="596"/>
      <c r="N115" s="597"/>
      <c r="O115" s="598">
        <v>0.5</v>
      </c>
      <c r="P115" s="599"/>
      <c r="Q115" s="584" t="e">
        <f t="shared" si="10"/>
        <v>#REF!</v>
      </c>
      <c r="R115" s="468"/>
      <c r="S115" s="596"/>
      <c r="T115" s="597"/>
      <c r="U115" s="598">
        <v>0.5</v>
      </c>
      <c r="V115" s="599"/>
      <c r="W115" s="584" t="e">
        <f t="shared" si="11"/>
        <v>#REF!</v>
      </c>
      <c r="X115" s="576"/>
      <c r="Y115" s="625"/>
      <c r="Z115" s="606"/>
      <c r="AA115" s="607"/>
      <c r="AB115" s="464"/>
      <c r="AC115" s="464"/>
      <c r="AD115" s="463"/>
      <c r="AE115" s="463"/>
    </row>
    <row r="116" spans="1:31" ht="13.5" thickBot="1" x14ac:dyDescent="0.25">
      <c r="A116" s="575"/>
      <c r="B116" s="464"/>
      <c r="C116" s="586"/>
      <c r="D116" s="468"/>
      <c r="E116" s="576"/>
      <c r="G116" s="575"/>
      <c r="H116" s="464"/>
      <c r="I116" s="586"/>
      <c r="J116" s="468"/>
      <c r="K116" s="576"/>
      <c r="M116" s="575"/>
      <c r="N116" s="464"/>
      <c r="O116" s="586"/>
      <c r="P116" s="468"/>
      <c r="Q116" s="576"/>
      <c r="R116" s="468"/>
      <c r="S116" s="575"/>
      <c r="T116" s="464"/>
      <c r="U116" s="586"/>
      <c r="V116" s="468"/>
      <c r="W116" s="576"/>
      <c r="X116" s="576"/>
      <c r="Y116" s="625"/>
      <c r="Z116" s="606"/>
      <c r="AA116" s="607"/>
      <c r="AB116" s="464"/>
      <c r="AC116" s="464"/>
      <c r="AD116" s="463"/>
      <c r="AE116" s="463"/>
    </row>
    <row r="117" spans="1:31" ht="13.5" thickBot="1" x14ac:dyDescent="0.25">
      <c r="A117" s="1140" t="s">
        <v>299</v>
      </c>
      <c r="B117" s="1141"/>
      <c r="AB117" s="592"/>
      <c r="AC117" s="468"/>
      <c r="AD117" s="463"/>
      <c r="AE117" s="463"/>
    </row>
    <row r="118" spans="1:31" ht="14.25" customHeight="1" x14ac:dyDescent="0.2">
      <c r="A118" s="469"/>
      <c r="B118" s="465"/>
      <c r="C118" s="470" t="s">
        <v>255</v>
      </c>
      <c r="D118" s="471"/>
      <c r="E118" s="472"/>
      <c r="F118" s="473"/>
      <c r="G118" s="1142" t="s">
        <v>256</v>
      </c>
      <c r="H118" s="1142"/>
      <c r="I118" s="1142"/>
      <c r="J118" s="1142"/>
      <c r="K118" s="1142"/>
      <c r="M118" s="469"/>
      <c r="N118" s="465"/>
      <c r="O118" s="470" t="s">
        <v>257</v>
      </c>
      <c r="P118" s="471"/>
      <c r="Q118" s="472"/>
      <c r="R118" s="473"/>
      <c r="S118" s="469"/>
      <c r="T118" s="465"/>
      <c r="U118" s="470" t="s">
        <v>258</v>
      </c>
      <c r="V118" s="471"/>
      <c r="W118" s="472"/>
      <c r="X118" s="473"/>
      <c r="Y118" s="592"/>
      <c r="AA118" s="464"/>
      <c r="AB118" s="464"/>
      <c r="AC118" s="464"/>
      <c r="AD118" s="463"/>
      <c r="AE118" s="463"/>
    </row>
    <row r="119" spans="1:31" s="487" customFormat="1" x14ac:dyDescent="0.2">
      <c r="A119" s="480" t="s">
        <v>261</v>
      </c>
      <c r="B119" s="481" t="s">
        <v>339</v>
      </c>
      <c r="C119" s="482" t="s">
        <v>262</v>
      </c>
      <c r="D119" s="483">
        <v>365</v>
      </c>
      <c r="E119" s="484">
        <f>D119*B120</f>
        <v>4380</v>
      </c>
      <c r="F119" s="485"/>
      <c r="G119" s="480" t="s">
        <v>261</v>
      </c>
      <c r="H119" s="486" t="s">
        <v>340</v>
      </c>
      <c r="I119" s="482" t="s">
        <v>262</v>
      </c>
      <c r="J119" s="483">
        <v>365</v>
      </c>
      <c r="K119" s="484">
        <f>H120*J119</f>
        <v>5657.5</v>
      </c>
      <c r="M119" s="480" t="s">
        <v>261</v>
      </c>
      <c r="N119" s="488" t="s">
        <v>263</v>
      </c>
      <c r="O119" s="482" t="s">
        <v>262</v>
      </c>
      <c r="P119" s="483">
        <v>365</v>
      </c>
      <c r="Q119" s="484">
        <f>N120*P119</f>
        <v>7300</v>
      </c>
      <c r="R119" s="485"/>
      <c r="S119" s="480" t="s">
        <v>261</v>
      </c>
      <c r="T119" s="488" t="s">
        <v>264</v>
      </c>
      <c r="U119" s="482" t="s">
        <v>262</v>
      </c>
      <c r="V119" s="483">
        <v>365</v>
      </c>
      <c r="W119" s="484">
        <f>T120*V119</f>
        <v>9125</v>
      </c>
      <c r="X119" s="485"/>
      <c r="Y119" s="513"/>
      <c r="Z119" s="513"/>
      <c r="AA119" s="513"/>
      <c r="AB119" s="513"/>
      <c r="AC119" s="513"/>
    </row>
    <row r="120" spans="1:31" s="487" customFormat="1" x14ac:dyDescent="0.2">
      <c r="A120" s="480"/>
      <c r="B120" s="488">
        <v>12</v>
      </c>
      <c r="C120" s="482"/>
      <c r="D120" s="483"/>
      <c r="E120" s="484"/>
      <c r="F120" s="485"/>
      <c r="G120" s="480"/>
      <c r="H120" s="488">
        <v>15.5</v>
      </c>
      <c r="I120" s="482"/>
      <c r="J120" s="483"/>
      <c r="K120" s="484"/>
      <c r="M120" s="480"/>
      <c r="N120" s="488">
        <v>20</v>
      </c>
      <c r="O120" s="482"/>
      <c r="P120" s="483"/>
      <c r="Q120" s="484"/>
      <c r="R120" s="485"/>
      <c r="S120" s="480"/>
      <c r="T120" s="488">
        <v>25</v>
      </c>
      <c r="U120" s="482"/>
      <c r="V120" s="483"/>
      <c r="W120" s="484"/>
      <c r="X120" s="485"/>
      <c r="Y120" s="513"/>
      <c r="Z120" s="513"/>
      <c r="AA120" s="513"/>
      <c r="AB120" s="513"/>
      <c r="AC120" s="513"/>
    </row>
    <row r="121" spans="1:31" s="487" customFormat="1" x14ac:dyDescent="0.2">
      <c r="A121" s="480"/>
      <c r="B121" s="488"/>
      <c r="C121" s="494"/>
      <c r="D121" s="483"/>
      <c r="E121" s="484"/>
      <c r="F121" s="485"/>
      <c r="G121" s="480"/>
      <c r="H121" s="488"/>
      <c r="I121" s="482"/>
      <c r="J121" s="483"/>
      <c r="K121" s="484"/>
      <c r="M121" s="480"/>
      <c r="N121" s="488"/>
      <c r="O121" s="482"/>
      <c r="P121" s="483"/>
      <c r="Q121" s="484"/>
      <c r="R121" s="485"/>
      <c r="S121" s="480"/>
      <c r="T121" s="488"/>
      <c r="U121" s="482"/>
      <c r="V121" s="483"/>
      <c r="W121" s="484"/>
      <c r="X121" s="485"/>
      <c r="Y121" s="513"/>
      <c r="Z121" s="614"/>
      <c r="AA121" s="513"/>
      <c r="AB121" s="513"/>
      <c r="AC121" s="513"/>
    </row>
    <row r="122" spans="1:31" s="501" customFormat="1" ht="28.5" customHeight="1" x14ac:dyDescent="0.2">
      <c r="A122" s="496"/>
      <c r="B122" s="497" t="s">
        <v>269</v>
      </c>
      <c r="C122" s="498" t="s">
        <v>341</v>
      </c>
      <c r="D122" s="499" t="s">
        <v>270</v>
      </c>
      <c r="E122" s="498" t="s">
        <v>342</v>
      </c>
      <c r="F122" s="500"/>
      <c r="G122" s="496"/>
      <c r="H122" s="497" t="s">
        <v>269</v>
      </c>
      <c r="I122" s="498" t="s">
        <v>341</v>
      </c>
      <c r="J122" s="499" t="s">
        <v>270</v>
      </c>
      <c r="K122" s="498" t="s">
        <v>342</v>
      </c>
      <c r="M122" s="496"/>
      <c r="N122" s="497" t="s">
        <v>269</v>
      </c>
      <c r="O122" s="498" t="s">
        <v>341</v>
      </c>
      <c r="P122" s="499" t="s">
        <v>270</v>
      </c>
      <c r="Q122" s="498" t="s">
        <v>342</v>
      </c>
      <c r="R122" s="500"/>
      <c r="S122" s="496"/>
      <c r="T122" s="497" t="s">
        <v>269</v>
      </c>
      <c r="U122" s="498" t="s">
        <v>341</v>
      </c>
      <c r="V122" s="499" t="s">
        <v>270</v>
      </c>
      <c r="W122" s="498" t="s">
        <v>342</v>
      </c>
      <c r="X122" s="500"/>
      <c r="Y122" s="615"/>
      <c r="Z122" s="615"/>
      <c r="AA122" s="615"/>
      <c r="AB122" s="615"/>
      <c r="AC122" s="505"/>
    </row>
    <row r="123" spans="1:31" s="466" customFormat="1" x14ac:dyDescent="0.2">
      <c r="A123" s="507" t="s">
        <v>272</v>
      </c>
      <c r="B123" s="891"/>
      <c r="C123" s="892">
        <f>$AC$11</f>
        <v>65368.626426372299</v>
      </c>
      <c r="D123" s="510">
        <f>AB18</f>
        <v>2.15</v>
      </c>
      <c r="E123" s="563">
        <f>C123*D123</f>
        <v>140542.54681670043</v>
      </c>
      <c r="F123" s="564"/>
      <c r="G123" s="893" t="s">
        <v>272</v>
      </c>
      <c r="H123" s="891"/>
      <c r="I123" s="892">
        <f>$AC$11</f>
        <v>65368.626426372299</v>
      </c>
      <c r="J123" s="510">
        <f>AB18</f>
        <v>2.15</v>
      </c>
      <c r="K123" s="563">
        <f>I123*J123</f>
        <v>140542.54681670043</v>
      </c>
      <c r="L123" s="563"/>
      <c r="M123" s="893" t="s">
        <v>272</v>
      </c>
      <c r="N123" s="891"/>
      <c r="O123" s="892">
        <f>$AC$11</f>
        <v>65368.626426372299</v>
      </c>
      <c r="P123" s="510">
        <f>AB18</f>
        <v>2.15</v>
      </c>
      <c r="Q123" s="466">
        <f>O123*P123</f>
        <v>140542.54681670043</v>
      </c>
      <c r="R123" s="468"/>
      <c r="S123" s="893" t="s">
        <v>272</v>
      </c>
      <c r="T123" s="891"/>
      <c r="U123" s="892">
        <f>$AC$11</f>
        <v>65368.626426372299</v>
      </c>
      <c r="V123" s="510">
        <f>AB18</f>
        <v>2.15</v>
      </c>
      <c r="W123" s="563">
        <f>U123*V123</f>
        <v>140542.54681670043</v>
      </c>
      <c r="X123" s="468"/>
      <c r="Y123" s="491"/>
      <c r="Z123" s="468"/>
      <c r="AA123" s="468"/>
      <c r="AB123" s="468"/>
      <c r="AC123" s="468"/>
    </row>
    <row r="124" spans="1:31" s="466" customFormat="1" x14ac:dyDescent="0.2">
      <c r="A124" s="507" t="s">
        <v>273</v>
      </c>
      <c r="B124" s="891"/>
      <c r="C124" s="892">
        <f>$AC$12</f>
        <v>56879.606800509006</v>
      </c>
      <c r="D124" s="510">
        <f>AB19</f>
        <v>4</v>
      </c>
      <c r="E124" s="563">
        <f>C124*D124</f>
        <v>227518.42720203602</v>
      </c>
      <c r="F124" s="564"/>
      <c r="G124" s="893" t="s">
        <v>273</v>
      </c>
      <c r="H124" s="891"/>
      <c r="I124" s="892">
        <f>$AC$12</f>
        <v>56879.606800509006</v>
      </c>
      <c r="J124" s="510">
        <f>$AC$19</f>
        <v>4</v>
      </c>
      <c r="K124" s="563">
        <f>I124*J124</f>
        <v>227518.42720203602</v>
      </c>
      <c r="L124" s="563"/>
      <c r="M124" s="893" t="s">
        <v>273</v>
      </c>
      <c r="N124" s="891"/>
      <c r="O124" s="892">
        <f>$AC$12</f>
        <v>56879.606800509006</v>
      </c>
      <c r="P124" s="510">
        <f>AB19</f>
        <v>4</v>
      </c>
      <c r="Q124" s="466">
        <f>O124*P124</f>
        <v>227518.42720203602</v>
      </c>
      <c r="R124" s="468"/>
      <c r="S124" s="893" t="s">
        <v>273</v>
      </c>
      <c r="T124" s="891"/>
      <c r="U124" s="892">
        <f>$AC$12</f>
        <v>56879.606800509006</v>
      </c>
      <c r="V124" s="510">
        <f>AB19</f>
        <v>4</v>
      </c>
      <c r="W124" s="563">
        <f>U124*V124</f>
        <v>227518.42720203602</v>
      </c>
      <c r="X124" s="468"/>
      <c r="Y124" s="615"/>
      <c r="Z124" s="491"/>
      <c r="AA124" s="468"/>
      <c r="AB124" s="468"/>
      <c r="AC124" s="468"/>
    </row>
    <row r="125" spans="1:31" s="523" customFormat="1" x14ac:dyDescent="0.2">
      <c r="A125" s="521" t="s">
        <v>275</v>
      </c>
      <c r="B125" s="510">
        <f>$AB$28</f>
        <v>0.67727547626247397</v>
      </c>
      <c r="C125" s="892">
        <f>$AC$13</f>
        <v>34055.717454304911</v>
      </c>
      <c r="D125" s="510">
        <f>B120/B125</f>
        <v>17.718048889384963</v>
      </c>
      <c r="E125" s="563">
        <f>C125*D125</f>
        <v>603400.86681845528</v>
      </c>
      <c r="F125" s="564"/>
      <c r="G125" s="894" t="s">
        <v>275</v>
      </c>
      <c r="H125" s="510">
        <f>AC28</f>
        <v>0.79679467795585102</v>
      </c>
      <c r="I125" s="892">
        <f>$AC$13</f>
        <v>34055.717454304911</v>
      </c>
      <c r="J125" s="510">
        <f>H120/H125</f>
        <v>19.452941176470592</v>
      </c>
      <c r="K125" s="563">
        <f>I125*J125</f>
        <v>662483.86836109625</v>
      </c>
      <c r="L125" s="895"/>
      <c r="M125" s="894" t="s">
        <v>275</v>
      </c>
      <c r="N125" s="510">
        <f>AD28</f>
        <v>0.84659434532809197</v>
      </c>
      <c r="O125" s="892">
        <f>$AC$13</f>
        <v>34055.717454304911</v>
      </c>
      <c r="P125" s="510">
        <f>N120/N125</f>
        <v>23.624065185846632</v>
      </c>
      <c r="Q125" s="466">
        <f>O125*P125</f>
        <v>804534.4890912741</v>
      </c>
      <c r="R125" s="468"/>
      <c r="S125" s="894" t="s">
        <v>275</v>
      </c>
      <c r="T125" s="510">
        <f>AE28</f>
        <v>0.88045811914121597</v>
      </c>
      <c r="U125" s="892">
        <f>$AC$13</f>
        <v>34055.717454304911</v>
      </c>
      <c r="V125" s="510">
        <f>T120/T125</f>
        <v>28.394309117604116</v>
      </c>
      <c r="W125" s="563">
        <f>U125*V125</f>
        <v>966988.56861931959</v>
      </c>
      <c r="X125" s="468"/>
      <c r="Y125" s="490"/>
      <c r="Z125" s="491"/>
      <c r="AA125" s="492"/>
      <c r="AB125" s="492"/>
      <c r="AC125" s="492"/>
    </row>
    <row r="126" spans="1:31" s="523" customFormat="1" x14ac:dyDescent="0.2">
      <c r="A126" s="521" t="s">
        <v>276</v>
      </c>
      <c r="B126" s="510"/>
      <c r="C126" s="892">
        <f>$AC$13</f>
        <v>34055.717454304911</v>
      </c>
      <c r="D126" s="510">
        <f>D125*$AB$8</f>
        <v>3.4754634359947429</v>
      </c>
      <c r="E126" s="563">
        <f>C126*D126</f>
        <v>118359.40079900468</v>
      </c>
      <c r="F126" s="564"/>
      <c r="G126" s="894" t="s">
        <v>276</v>
      </c>
      <c r="H126" s="510"/>
      <c r="I126" s="892">
        <f>$AC$13</f>
        <v>34055.717454304911</v>
      </c>
      <c r="J126" s="510">
        <f>J125*$AB$8</f>
        <v>3.8157692307692312</v>
      </c>
      <c r="K126" s="563">
        <f>I126*J126</f>
        <v>129948.75879390733</v>
      </c>
      <c r="L126" s="895"/>
      <c r="M126" s="894" t="s">
        <v>276</v>
      </c>
      <c r="N126" s="510"/>
      <c r="O126" s="892">
        <f>$AC$13</f>
        <v>34055.717454304911</v>
      </c>
      <c r="P126" s="510">
        <f>P125*$AB$8</f>
        <v>4.633951247992993</v>
      </c>
      <c r="Q126" s="466">
        <f>O126*P126</f>
        <v>157812.53439867299</v>
      </c>
      <c r="R126" s="468"/>
      <c r="S126" s="894" t="s">
        <v>276</v>
      </c>
      <c r="T126" s="510"/>
      <c r="U126" s="892">
        <f>$AC$13</f>
        <v>34055.717454304911</v>
      </c>
      <c r="V126" s="510">
        <f>V125*$AB$8</f>
        <v>5.5696529422992693</v>
      </c>
      <c r="W126" s="563">
        <f>U126*V126</f>
        <v>189678.52692148194</v>
      </c>
      <c r="X126" s="468"/>
      <c r="Y126" s="490"/>
      <c r="Z126" s="491"/>
      <c r="AA126" s="492"/>
      <c r="AB126" s="492"/>
      <c r="AC126" s="492"/>
    </row>
    <row r="127" spans="1:31" s="466" customFormat="1" x14ac:dyDescent="0.2">
      <c r="A127" s="507" t="s">
        <v>370</v>
      </c>
      <c r="B127" s="510"/>
      <c r="C127" s="892">
        <f>$AC$14</f>
        <v>33504.965890805717</v>
      </c>
      <c r="D127" s="510">
        <f>AB22</f>
        <v>0.75</v>
      </c>
      <c r="E127" s="563">
        <f>C127*D127</f>
        <v>25128.724418104288</v>
      </c>
      <c r="F127" s="564"/>
      <c r="G127" s="893" t="s">
        <v>370</v>
      </c>
      <c r="H127" s="510"/>
      <c r="I127" s="892">
        <f>$AC$14</f>
        <v>33504.965890805717</v>
      </c>
      <c r="J127" s="510">
        <f>AC22</f>
        <v>0.9</v>
      </c>
      <c r="K127" s="563">
        <f>I127*J127</f>
        <v>30154.469301725145</v>
      </c>
      <c r="L127" s="563"/>
      <c r="M127" s="893" t="s">
        <v>370</v>
      </c>
      <c r="N127" s="510"/>
      <c r="O127" s="892">
        <f>$AC$14</f>
        <v>33504.965890805717</v>
      </c>
      <c r="P127" s="510">
        <f>AD22</f>
        <v>1</v>
      </c>
      <c r="Q127" s="466">
        <f>O127*P127</f>
        <v>33504.965890805717</v>
      </c>
      <c r="R127" s="468"/>
      <c r="S127" s="893" t="s">
        <v>370</v>
      </c>
      <c r="T127" s="510"/>
      <c r="U127" s="892">
        <f>$AC$14</f>
        <v>33504.965890805717</v>
      </c>
      <c r="V127" s="510">
        <f>$AE$22</f>
        <v>1.5</v>
      </c>
      <c r="W127" s="563">
        <f>U127*V127</f>
        <v>50257.448836208576</v>
      </c>
      <c r="X127" s="468"/>
      <c r="Y127" s="490"/>
      <c r="Z127" s="491"/>
      <c r="AA127" s="468"/>
      <c r="AB127" s="468"/>
      <c r="AC127" s="468"/>
    </row>
    <row r="128" spans="1:31" s="487" customFormat="1" x14ac:dyDescent="0.2">
      <c r="A128" s="536" t="s">
        <v>277</v>
      </c>
      <c r="B128" s="896"/>
      <c r="C128" s="897"/>
      <c r="D128" s="898">
        <f>SUM(D123:D127)</f>
        <v>28.093512325379709</v>
      </c>
      <c r="E128" s="897">
        <f>SUM(E123:E127)</f>
        <v>1114949.9660543008</v>
      </c>
      <c r="F128" s="899"/>
      <c r="G128" s="896" t="s">
        <v>277</v>
      </c>
      <c r="H128" s="896"/>
      <c r="I128" s="897"/>
      <c r="J128" s="898">
        <f>SUM(J123:J127)</f>
        <v>30.318710407239823</v>
      </c>
      <c r="K128" s="897">
        <f>SUM(K123:K127)</f>
        <v>1190648.0704754649</v>
      </c>
      <c r="L128" s="608"/>
      <c r="M128" s="896" t="s">
        <v>277</v>
      </c>
      <c r="N128" s="896"/>
      <c r="O128" s="897"/>
      <c r="P128" s="898">
        <f>SUM(P123:P127)</f>
        <v>35.40801643383962</v>
      </c>
      <c r="Q128" s="537">
        <f>SUM(Q123:Q127)</f>
        <v>1363912.9633994894</v>
      </c>
      <c r="R128" s="473"/>
      <c r="S128" s="896" t="s">
        <v>277</v>
      </c>
      <c r="T128" s="896"/>
      <c r="U128" s="897"/>
      <c r="V128" s="898">
        <f>SUM(V123:V127)</f>
        <v>41.613962059903386</v>
      </c>
      <c r="W128" s="897">
        <f>SUM(W123:W127)</f>
        <v>1574985.5183957464</v>
      </c>
      <c r="X128" s="473"/>
      <c r="Y128" s="490"/>
      <c r="Z128" s="491"/>
      <c r="AA128" s="513"/>
      <c r="AB128" s="513"/>
      <c r="AC128" s="513"/>
    </row>
    <row r="129" spans="1:31" s="487" customFormat="1" x14ac:dyDescent="0.2">
      <c r="A129" s="513"/>
      <c r="B129" s="607"/>
      <c r="C129" s="899"/>
      <c r="D129" s="900"/>
      <c r="E129" s="899"/>
      <c r="F129" s="899"/>
      <c r="G129" s="607"/>
      <c r="H129" s="607"/>
      <c r="I129" s="899"/>
      <c r="J129" s="900"/>
      <c r="K129" s="899"/>
      <c r="L129" s="608"/>
      <c r="M129" s="607"/>
      <c r="N129" s="607"/>
      <c r="O129" s="899"/>
      <c r="P129" s="900"/>
      <c r="Q129" s="473"/>
      <c r="R129" s="473"/>
      <c r="S129" s="607"/>
      <c r="T129" s="607"/>
      <c r="U129" s="899"/>
      <c r="V129" s="900"/>
      <c r="W129" s="899"/>
      <c r="X129" s="473"/>
      <c r="Y129" s="490"/>
      <c r="Z129" s="491"/>
      <c r="AA129" s="513"/>
      <c r="AB129" s="513"/>
      <c r="AC129" s="513"/>
    </row>
    <row r="130" spans="1:31" s="487" customFormat="1" x14ac:dyDescent="0.2">
      <c r="A130" s="541" t="s">
        <v>278</v>
      </c>
      <c r="B130" s="901"/>
      <c r="C130" s="902"/>
      <c r="D130" s="903" t="s">
        <v>279</v>
      </c>
      <c r="E130" s="902"/>
      <c r="F130" s="904"/>
      <c r="G130" s="901" t="s">
        <v>278</v>
      </c>
      <c r="H130" s="901"/>
      <c r="I130" s="902"/>
      <c r="J130" s="903" t="s">
        <v>279</v>
      </c>
      <c r="K130" s="902"/>
      <c r="L130" s="608"/>
      <c r="M130" s="901" t="s">
        <v>278</v>
      </c>
      <c r="N130" s="901"/>
      <c r="O130" s="902"/>
      <c r="P130" s="903" t="s">
        <v>279</v>
      </c>
      <c r="Q130" s="542"/>
      <c r="R130" s="544"/>
      <c r="S130" s="901" t="s">
        <v>278</v>
      </c>
      <c r="T130" s="901"/>
      <c r="U130" s="902"/>
      <c r="V130" s="903" t="s">
        <v>279</v>
      </c>
      <c r="W130" s="902"/>
      <c r="X130" s="544"/>
      <c r="Y130" s="616"/>
      <c r="Z130" s="491"/>
      <c r="AA130" s="513"/>
      <c r="AB130" s="513"/>
      <c r="AC130" s="513"/>
    </row>
    <row r="131" spans="1:31" s="469" customFormat="1" x14ac:dyDescent="0.2">
      <c r="A131" s="545" t="s">
        <v>280</v>
      </c>
      <c r="B131" s="546"/>
      <c r="C131" s="567">
        <f>$AB$31</f>
        <v>0.25578770213785851</v>
      </c>
      <c r="D131" s="905"/>
      <c r="E131" s="563">
        <f>C131*E128</f>
        <v>285190.48981571296</v>
      </c>
      <c r="F131" s="906"/>
      <c r="G131" s="545" t="s">
        <v>280</v>
      </c>
      <c r="H131" s="546"/>
      <c r="I131" s="567">
        <f>$AB$31</f>
        <v>0.25578770213785851</v>
      </c>
      <c r="J131" s="905"/>
      <c r="K131" s="563">
        <f>I131*K128</f>
        <v>304553.13400179421</v>
      </c>
      <c r="L131" s="546"/>
      <c r="M131" s="545" t="s">
        <v>280</v>
      </c>
      <c r="N131" s="546"/>
      <c r="O131" s="567">
        <f>$AB$31</f>
        <v>0.25578770213785851</v>
      </c>
      <c r="P131" s="905"/>
      <c r="Q131" s="466">
        <f>O131*Q128</f>
        <v>348872.16282399249</v>
      </c>
      <c r="R131" s="548"/>
      <c r="S131" s="545" t="s">
        <v>280</v>
      </c>
      <c r="T131" s="546"/>
      <c r="U131" s="567">
        <f>$AB$31</f>
        <v>0.25578770213785851</v>
      </c>
      <c r="V131" s="905"/>
      <c r="W131" s="563">
        <f>U131*W128</f>
        <v>402861.92665085185</v>
      </c>
      <c r="X131" s="548"/>
      <c r="Y131" s="525"/>
      <c r="Z131" s="491"/>
      <c r="AA131" s="617"/>
      <c r="AB131" s="617"/>
      <c r="AC131" s="617"/>
    </row>
    <row r="132" spans="1:31" x14ac:dyDescent="0.2">
      <c r="A132" s="550" t="s">
        <v>282</v>
      </c>
      <c r="B132" s="907"/>
      <c r="C132" s="908"/>
      <c r="D132" s="552">
        <f>E132/E119</f>
        <v>319.66677074657849</v>
      </c>
      <c r="E132" s="909">
        <f>E131+E128</f>
        <v>1400140.4558700137</v>
      </c>
      <c r="F132" s="564"/>
      <c r="G132" s="907" t="s">
        <v>282</v>
      </c>
      <c r="H132" s="907"/>
      <c r="I132" s="908"/>
      <c r="J132" s="552">
        <f>K132/K119</f>
        <v>264.28655845819873</v>
      </c>
      <c r="K132" s="909">
        <f>K131+K128</f>
        <v>1495201.2044772592</v>
      </c>
      <c r="L132" s="564"/>
      <c r="M132" s="907" t="s">
        <v>282</v>
      </c>
      <c r="N132" s="907"/>
      <c r="O132" s="908"/>
      <c r="P132" s="552">
        <f>Q132/Q119</f>
        <v>234.62809948266877</v>
      </c>
      <c r="Q132" s="553">
        <f>Q131+Q128</f>
        <v>1712785.126223482</v>
      </c>
      <c r="R132" s="544"/>
      <c r="S132" s="907" t="s">
        <v>282</v>
      </c>
      <c r="T132" s="907"/>
      <c r="U132" s="908"/>
      <c r="V132" s="552">
        <f>W132/W119</f>
        <v>216.75040493661348</v>
      </c>
      <c r="W132" s="909">
        <f>W131+W128</f>
        <v>1977847.4450465981</v>
      </c>
      <c r="X132" s="544"/>
      <c r="Y132" s="524"/>
      <c r="Z132" s="464"/>
      <c r="AA132" s="464"/>
      <c r="AB132" s="464"/>
      <c r="AC132" s="464"/>
      <c r="AD132" s="463"/>
      <c r="AE132" s="463"/>
    </row>
    <row r="133" spans="1:31" x14ac:dyDescent="0.2">
      <c r="C133" s="466"/>
      <c r="D133" s="467"/>
      <c r="E133" s="466"/>
      <c r="F133" s="468"/>
      <c r="G133" s="463"/>
      <c r="H133" s="463"/>
      <c r="M133" s="463"/>
      <c r="N133" s="463"/>
      <c r="O133" s="466"/>
      <c r="P133" s="467"/>
      <c r="Q133" s="466"/>
      <c r="R133" s="468"/>
      <c r="S133" s="463"/>
      <c r="T133" s="463"/>
      <c r="U133" s="466"/>
      <c r="V133" s="467"/>
      <c r="W133" s="466"/>
      <c r="Y133" s="500"/>
      <c r="Z133" s="464"/>
      <c r="AA133" s="464"/>
      <c r="AB133" s="464"/>
      <c r="AC133" s="464"/>
      <c r="AD133" s="463"/>
      <c r="AE133" s="463"/>
    </row>
    <row r="134" spans="1:31" x14ac:dyDescent="0.2">
      <c r="A134" s="463" t="s">
        <v>91</v>
      </c>
      <c r="C134" s="466"/>
      <c r="D134" s="510">
        <f>$AB$35</f>
        <v>5.2851727610295196</v>
      </c>
      <c r="E134" s="466">
        <f>D134*E$81</f>
        <v>23149.056693309296</v>
      </c>
      <c r="F134" s="468"/>
      <c r="G134" s="463" t="s">
        <v>91</v>
      </c>
      <c r="H134" s="463"/>
      <c r="J134" s="510">
        <f>$AB$35</f>
        <v>5.2851727610295196</v>
      </c>
      <c r="K134" s="466">
        <f>J134*K$81</f>
        <v>29900.864895524508</v>
      </c>
      <c r="M134" s="463" t="s">
        <v>91</v>
      </c>
      <c r="N134" s="463"/>
      <c r="O134" s="466"/>
      <c r="P134" s="510">
        <f>$AB$35</f>
        <v>5.2851727610295196</v>
      </c>
      <c r="Q134" s="466">
        <f>P134*Q$81</f>
        <v>38581.761155515494</v>
      </c>
      <c r="R134" s="468"/>
      <c r="S134" s="463" t="s">
        <v>91</v>
      </c>
      <c r="T134" s="463"/>
      <c r="U134" s="466"/>
      <c r="V134" s="510">
        <f>$AB$35</f>
        <v>5.2851727610295196</v>
      </c>
      <c r="W134" s="466">
        <f>V134*W$81</f>
        <v>48227.20144439437</v>
      </c>
      <c r="Y134" s="534"/>
      <c r="Z134" s="464"/>
      <c r="AA134" s="464"/>
      <c r="AB134" s="464"/>
      <c r="AC134" s="464"/>
      <c r="AD134" s="463"/>
      <c r="AE134" s="463"/>
    </row>
    <row r="135" spans="1:31" x14ac:dyDescent="0.2">
      <c r="C135" s="466"/>
      <c r="D135" s="510"/>
      <c r="E135" s="563"/>
      <c r="F135" s="564"/>
      <c r="G135" s="463"/>
      <c r="H135" s="463"/>
      <c r="J135" s="510"/>
      <c r="K135" s="563"/>
      <c r="M135" s="463"/>
      <c r="N135" s="463"/>
      <c r="O135" s="466"/>
      <c r="P135" s="510"/>
      <c r="Q135" s="563"/>
      <c r="R135" s="564"/>
      <c r="S135" s="463"/>
      <c r="T135" s="463"/>
      <c r="U135" s="466"/>
      <c r="V135" s="510"/>
      <c r="W135" s="563"/>
      <c r="X135" s="564"/>
      <c r="Y135" s="534"/>
      <c r="Z135" s="464"/>
      <c r="AA135" s="464"/>
      <c r="AB135" s="464"/>
      <c r="AC135" s="464"/>
      <c r="AD135" s="463"/>
      <c r="AE135" s="463"/>
    </row>
    <row r="136" spans="1:31" x14ac:dyDescent="0.2">
      <c r="A136" s="463" t="s">
        <v>283</v>
      </c>
      <c r="C136" s="466"/>
      <c r="D136" s="510">
        <f>$AB$37</f>
        <v>18.364580498704061</v>
      </c>
      <c r="E136" s="466">
        <f>D136*E$81</f>
        <v>80436.862584323782</v>
      </c>
      <c r="F136" s="468"/>
      <c r="G136" s="463" t="s">
        <v>283</v>
      </c>
      <c r="H136" s="463"/>
      <c r="J136" s="510">
        <f>$AB$37</f>
        <v>18.364580498704061</v>
      </c>
      <c r="K136" s="466">
        <f>J136*K$81</f>
        <v>103897.61417141823</v>
      </c>
      <c r="M136" s="463" t="s">
        <v>283</v>
      </c>
      <c r="N136" s="463"/>
      <c r="O136" s="466"/>
      <c r="P136" s="510">
        <f>$AB$37</f>
        <v>18.364580498704061</v>
      </c>
      <c r="Q136" s="466">
        <f>P136*Q$81</f>
        <v>134061.43764053966</v>
      </c>
      <c r="R136" s="468"/>
      <c r="S136" s="463" t="s">
        <v>283</v>
      </c>
      <c r="T136" s="463"/>
      <c r="U136" s="466"/>
      <c r="V136" s="510">
        <f>$AB$37</f>
        <v>18.364580498704061</v>
      </c>
      <c r="W136" s="466">
        <f>V136*W$81</f>
        <v>167576.79705067456</v>
      </c>
      <c r="Y136" s="534"/>
      <c r="Z136" s="464"/>
      <c r="AA136" s="464"/>
      <c r="AB136" s="464"/>
      <c r="AC136" s="464"/>
      <c r="AD136" s="463"/>
      <c r="AE136" s="463"/>
    </row>
    <row r="137" spans="1:31" x14ac:dyDescent="0.2">
      <c r="C137" s="466"/>
      <c r="D137" s="566">
        <f>SUM(D134:D136)</f>
        <v>23.649753259733579</v>
      </c>
      <c r="E137" s="466"/>
      <c r="F137" s="468"/>
      <c r="G137" s="463"/>
      <c r="H137" s="463"/>
      <c r="J137" s="566">
        <f>SUM(J134:J136)</f>
        <v>23.649753259733579</v>
      </c>
      <c r="M137" s="463"/>
      <c r="N137" s="463"/>
      <c r="O137" s="466"/>
      <c r="P137" s="566">
        <f>SUM(P134:P136)</f>
        <v>23.649753259733579</v>
      </c>
      <c r="Q137" s="466"/>
      <c r="R137" s="468"/>
      <c r="S137" s="463"/>
      <c r="T137" s="463"/>
      <c r="U137" s="466"/>
      <c r="V137" s="566">
        <f>SUM(V134:V136)</f>
        <v>23.649753259733579</v>
      </c>
      <c r="W137" s="466"/>
      <c r="Y137" s="534"/>
      <c r="Z137" s="464"/>
      <c r="AA137" s="464"/>
      <c r="AB137" s="464"/>
      <c r="AC137" s="464"/>
      <c r="AD137" s="463"/>
      <c r="AE137" s="463"/>
    </row>
    <row r="138" spans="1:31" x14ac:dyDescent="0.2">
      <c r="A138" s="536" t="s">
        <v>371</v>
      </c>
      <c r="B138" s="536"/>
      <c r="C138" s="537"/>
      <c r="D138" s="538"/>
      <c r="E138" s="537">
        <f>SUM(E132:E136)</f>
        <v>1503726.3751476468</v>
      </c>
      <c r="F138" s="473"/>
      <c r="G138" s="536" t="s">
        <v>371</v>
      </c>
      <c r="H138" s="536"/>
      <c r="I138" s="537"/>
      <c r="J138" s="538"/>
      <c r="K138" s="537">
        <f>SUM(K132:K136)</f>
        <v>1628999.6835442018</v>
      </c>
      <c r="M138" s="536" t="s">
        <v>371</v>
      </c>
      <c r="N138" s="536"/>
      <c r="O138" s="537"/>
      <c r="P138" s="538"/>
      <c r="Q138" s="537">
        <f>SUM(Q132:Q136)</f>
        <v>1885428.325019537</v>
      </c>
      <c r="R138" s="473"/>
      <c r="S138" s="536" t="s">
        <v>371</v>
      </c>
      <c r="T138" s="536"/>
      <c r="U138" s="537"/>
      <c r="V138" s="538"/>
      <c r="W138" s="537">
        <f>SUM(W132:W136)</f>
        <v>2193651.443541667</v>
      </c>
      <c r="X138" s="473"/>
      <c r="Y138" s="534"/>
      <c r="Z138" s="464"/>
      <c r="AA138" s="464"/>
      <c r="AB138" s="464"/>
      <c r="AC138" s="464"/>
      <c r="AD138" s="463"/>
      <c r="AE138" s="463"/>
    </row>
    <row r="139" spans="1:31" x14ac:dyDescent="0.2">
      <c r="A139" s="463" t="s">
        <v>286</v>
      </c>
      <c r="C139" s="567">
        <f>$AB$40</f>
        <v>0.121061</v>
      </c>
      <c r="D139" s="522"/>
      <c r="E139" s="466">
        <f>C139*E138</f>
        <v>182042.61870174928</v>
      </c>
      <c r="F139" s="468"/>
      <c r="G139" s="463" t="s">
        <v>286</v>
      </c>
      <c r="H139" s="463"/>
      <c r="I139" s="567">
        <f>$AB$40</f>
        <v>0.121061</v>
      </c>
      <c r="J139" s="522"/>
      <c r="K139" s="466">
        <f>I139*K138</f>
        <v>197208.33068954461</v>
      </c>
      <c r="M139" s="463" t="s">
        <v>286</v>
      </c>
      <c r="N139" s="463"/>
      <c r="O139" s="567">
        <f>$AB$40</f>
        <v>0.121061</v>
      </c>
      <c r="P139" s="522"/>
      <c r="Q139" s="466">
        <f>O139*Q138</f>
        <v>228251.83845519018</v>
      </c>
      <c r="R139" s="468"/>
      <c r="S139" s="463" t="s">
        <v>286</v>
      </c>
      <c r="T139" s="463"/>
      <c r="U139" s="567">
        <f>$AB$40</f>
        <v>0.121061</v>
      </c>
      <c r="V139" s="522"/>
      <c r="W139" s="466">
        <f>U139*W138</f>
        <v>265565.63740659773</v>
      </c>
      <c r="Y139" s="618"/>
      <c r="Z139" s="618"/>
      <c r="AA139" s="618"/>
      <c r="AB139" s="618"/>
      <c r="AC139" s="464"/>
      <c r="AD139" s="463"/>
      <c r="AE139" s="463"/>
    </row>
    <row r="140" spans="1:31" x14ac:dyDescent="0.2">
      <c r="A140" s="1001" t="s">
        <v>541</v>
      </c>
      <c r="B140" s="1001"/>
      <c r="C140" s="1002">
        <v>6.3E-3</v>
      </c>
      <c r="D140" s="1003"/>
      <c r="E140" s="1000">
        <f>E128*C140</f>
        <v>7024.1847861420947</v>
      </c>
      <c r="F140" s="1004"/>
      <c r="G140" s="1001" t="s">
        <v>541</v>
      </c>
      <c r="H140" s="1001"/>
      <c r="I140" s="1002">
        <v>6.3E-3</v>
      </c>
      <c r="J140" s="1003"/>
      <c r="K140" s="1000">
        <f>K128*I140</f>
        <v>7501.0828439954294</v>
      </c>
      <c r="L140" s="1004"/>
      <c r="M140" s="1001" t="s">
        <v>541</v>
      </c>
      <c r="N140" s="1001"/>
      <c r="O140" s="1002">
        <v>6.3E-3</v>
      </c>
      <c r="P140" s="1003"/>
      <c r="Q140" s="1000">
        <f>O140*Q128</f>
        <v>8592.651669416784</v>
      </c>
      <c r="R140" s="1004"/>
      <c r="S140" s="1001" t="s">
        <v>541</v>
      </c>
      <c r="T140" s="1001"/>
      <c r="U140" s="1002">
        <v>6.3E-3</v>
      </c>
      <c r="V140" s="1003"/>
      <c r="W140" s="1000">
        <f>W128*U140</f>
        <v>9922.4087658932021</v>
      </c>
      <c r="Y140" s="618"/>
      <c r="Z140" s="618"/>
      <c r="AA140" s="618"/>
      <c r="AB140" s="618"/>
      <c r="AC140" s="464"/>
      <c r="AD140" s="463"/>
      <c r="AE140" s="463"/>
    </row>
    <row r="141" spans="1:31" s="487" customFormat="1" ht="15" customHeight="1" thickBot="1" x14ac:dyDescent="0.25">
      <c r="A141" s="568" t="s">
        <v>288</v>
      </c>
      <c r="B141" s="568"/>
      <c r="C141" s="569"/>
      <c r="D141" s="570"/>
      <c r="E141" s="571">
        <f>ROUND(SUM(E138:E140),2)</f>
        <v>1692793.18</v>
      </c>
      <c r="F141" s="473"/>
      <c r="G141" s="568" t="s">
        <v>288</v>
      </c>
      <c r="H141" s="568"/>
      <c r="I141" s="569"/>
      <c r="J141" s="570"/>
      <c r="K141" s="571">
        <f>ROUND(SUM(K138:K140),2)</f>
        <v>1833709.1</v>
      </c>
      <c r="M141" s="568" t="s">
        <v>288</v>
      </c>
      <c r="N141" s="568"/>
      <c r="O141" s="569"/>
      <c r="P141" s="570"/>
      <c r="Q141" s="571">
        <f>ROUND(SUM(Q138:Q140),2)</f>
        <v>2122272.8199999998</v>
      </c>
      <c r="R141" s="473"/>
      <c r="S141" s="568" t="s">
        <v>288</v>
      </c>
      <c r="T141" s="568"/>
      <c r="U141" s="569"/>
      <c r="V141" s="570"/>
      <c r="W141" s="571">
        <f>ROUND(SUM(W138:W140),2)</f>
        <v>2469139.4900000002</v>
      </c>
      <c r="X141" s="473"/>
      <c r="Y141" s="619"/>
      <c r="Z141" s="620"/>
      <c r="AA141" s="621"/>
      <c r="AB141" s="620"/>
      <c r="AC141" s="513"/>
    </row>
    <row r="142" spans="1:31" s="487" customFormat="1" ht="13.5" thickTop="1" x14ac:dyDescent="0.2">
      <c r="A142" s="541"/>
      <c r="B142" s="541"/>
      <c r="C142" s="542"/>
      <c r="D142" s="572"/>
      <c r="E142" s="542"/>
      <c r="F142" s="544"/>
      <c r="G142" s="541"/>
      <c r="H142" s="541"/>
      <c r="I142" s="542"/>
      <c r="J142" s="572"/>
      <c r="K142" s="542"/>
      <c r="M142" s="541"/>
      <c r="N142" s="541"/>
      <c r="O142" s="542"/>
      <c r="P142" s="572"/>
      <c r="Q142" s="542"/>
      <c r="R142" s="544"/>
      <c r="S142" s="541"/>
      <c r="T142" s="541"/>
      <c r="U142" s="542"/>
      <c r="V142" s="572"/>
      <c r="W142" s="542"/>
      <c r="X142" s="544"/>
      <c r="Y142" s="561"/>
      <c r="Z142" s="561"/>
      <c r="AA142" s="561"/>
      <c r="AB142" s="622"/>
      <c r="AC142" s="513"/>
    </row>
    <row r="143" spans="1:31" s="577" customFormat="1" ht="13.15" customHeight="1" x14ac:dyDescent="0.2">
      <c r="A143" s="574" t="s">
        <v>289</v>
      </c>
      <c r="B143" s="574"/>
      <c r="C143" s="575"/>
      <c r="D143" s="575"/>
      <c r="E143" s="576">
        <f>E141/E119</f>
        <v>386.4824611872146</v>
      </c>
      <c r="F143" s="578"/>
      <c r="G143" s="574" t="s">
        <v>357</v>
      </c>
      <c r="H143" s="574"/>
      <c r="I143" s="575"/>
      <c r="J143" s="575"/>
      <c r="K143" s="576">
        <f>K141/K119</f>
        <v>324.12003535130361</v>
      </c>
      <c r="M143" s="574" t="s">
        <v>289</v>
      </c>
      <c r="N143" s="574"/>
      <c r="O143" s="575"/>
      <c r="P143" s="575"/>
      <c r="Q143" s="576">
        <f>Q141/Q119</f>
        <v>290.722304109589</v>
      </c>
      <c r="S143" s="574" t="s">
        <v>289</v>
      </c>
      <c r="T143" s="574"/>
      <c r="U143" s="575"/>
      <c r="V143" s="575"/>
      <c r="W143" s="576">
        <f>W141/W119</f>
        <v>270.59062904109589</v>
      </c>
      <c r="Y143" s="561"/>
      <c r="Z143" s="561"/>
      <c r="AA143" s="561"/>
      <c r="AB143" s="561"/>
      <c r="AC143" s="623"/>
    </row>
    <row r="144" spans="1:31" s="577" customFormat="1" ht="13.5" thickBot="1" x14ac:dyDescent="0.25">
      <c r="A144" s="574" t="s">
        <v>290</v>
      </c>
      <c r="B144" s="574"/>
      <c r="C144" s="579" t="e">
        <f>O144</f>
        <v>#REF!</v>
      </c>
      <c r="D144" s="575"/>
      <c r="E144" s="576"/>
      <c r="F144" s="578"/>
      <c r="G144" s="574" t="s">
        <v>290</v>
      </c>
      <c r="H144" s="574"/>
      <c r="I144" s="579" t="e">
        <f>U144</f>
        <v>#REF!</v>
      </c>
      <c r="J144" s="575"/>
      <c r="K144" s="635">
        <f>K143*1.0254</f>
        <v>332.35268424922674</v>
      </c>
      <c r="M144" s="574" t="s">
        <v>290</v>
      </c>
      <c r="N144" s="574"/>
      <c r="O144" s="579" t="e">
        <f>AB41</f>
        <v>#REF!</v>
      </c>
      <c r="P144" s="575"/>
      <c r="Q144" s="576"/>
      <c r="R144" s="464"/>
      <c r="S144" s="574" t="s">
        <v>290</v>
      </c>
      <c r="T144" s="574"/>
      <c r="U144" s="579" t="e">
        <f>AB41</f>
        <v>#REF!</v>
      </c>
      <c r="V144" s="575"/>
      <c r="W144" s="576"/>
      <c r="X144" s="464"/>
      <c r="Y144" s="561"/>
      <c r="Z144" s="561"/>
      <c r="AA144" s="561"/>
      <c r="AB144" s="561"/>
      <c r="AC144" s="623"/>
    </row>
    <row r="145" spans="1:31" ht="13.5" thickBot="1" x14ac:dyDescent="0.25">
      <c r="A145" s="581" t="s">
        <v>292</v>
      </c>
      <c r="B145" s="531"/>
      <c r="C145" s="582">
        <v>0.9</v>
      </c>
      <c r="D145" s="478"/>
      <c r="E145" s="584" t="e">
        <f>E$141*(C$144+1)/(E$119*C145)</f>
        <v>#REF!</v>
      </c>
      <c r="G145" s="581" t="s">
        <v>292</v>
      </c>
      <c r="H145" s="531"/>
      <c r="I145" s="582">
        <v>0.9</v>
      </c>
      <c r="J145" s="478"/>
      <c r="K145" s="584" t="e">
        <f>K$141*(I$144+1)/(K$119*I145)</f>
        <v>#REF!</v>
      </c>
      <c r="M145" s="581" t="s">
        <v>292</v>
      </c>
      <c r="N145" s="531"/>
      <c r="O145" s="582">
        <v>0.9</v>
      </c>
      <c r="P145" s="478"/>
      <c r="Q145" s="584" t="e">
        <f>Q$141*(O$144+1)/(Q$119*O145)</f>
        <v>#REF!</v>
      </c>
      <c r="R145" s="468"/>
      <c r="S145" s="581" t="s">
        <v>292</v>
      </c>
      <c r="T145" s="531"/>
      <c r="U145" s="582">
        <v>0.9</v>
      </c>
      <c r="V145" s="478"/>
      <c r="W145" s="584" t="e">
        <f>W$141*(U$144+1)/(W$119*U145)</f>
        <v>#REF!</v>
      </c>
      <c r="X145" s="576"/>
      <c r="Y145" s="561"/>
      <c r="Z145" s="622"/>
      <c r="AA145" s="622"/>
      <c r="AB145" s="622"/>
      <c r="AC145" s="464"/>
      <c r="AD145" s="463"/>
      <c r="AE145" s="463"/>
    </row>
    <row r="146" spans="1:31" ht="13.5" thickBot="1" x14ac:dyDescent="0.25">
      <c r="A146" s="585"/>
      <c r="B146" s="464"/>
      <c r="C146" s="586">
        <v>0.85</v>
      </c>
      <c r="D146" s="468"/>
      <c r="E146" s="584" t="e">
        <f t="shared" ref="E146:E153" si="12">E$141*(C$144+1)/(E$119*C146)</f>
        <v>#REF!</v>
      </c>
      <c r="G146" s="585"/>
      <c r="H146" s="464"/>
      <c r="I146" s="586">
        <v>0.85</v>
      </c>
      <c r="J146" s="468"/>
      <c r="K146" s="584" t="e">
        <f t="shared" ref="K146:K153" si="13">K$141*(I$144+1)/(K$119*I146)</f>
        <v>#REF!</v>
      </c>
      <c r="M146" s="585"/>
      <c r="N146" s="464"/>
      <c r="O146" s="586">
        <v>0.85</v>
      </c>
      <c r="P146" s="468"/>
      <c r="Q146" s="584" t="e">
        <f t="shared" ref="Q146:Q153" si="14">Q$141*(O$144+1)/(Q$119*O146)</f>
        <v>#REF!</v>
      </c>
      <c r="R146" s="468"/>
      <c r="S146" s="585"/>
      <c r="T146" s="464"/>
      <c r="U146" s="586">
        <v>0.85</v>
      </c>
      <c r="V146" s="468"/>
      <c r="W146" s="584" t="e">
        <f t="shared" ref="W146:W153" si="15">W$141*(U$144+1)/(W$119*U146)</f>
        <v>#REF!</v>
      </c>
      <c r="X146" s="576"/>
      <c r="Y146" s="624"/>
      <c r="Z146" s="624"/>
      <c r="AA146" s="624"/>
      <c r="AB146" s="624"/>
      <c r="AC146" s="464"/>
      <c r="AD146" s="463"/>
      <c r="AE146" s="463"/>
    </row>
    <row r="147" spans="1:31" ht="13.5" thickBot="1" x14ac:dyDescent="0.25">
      <c r="A147" s="585"/>
      <c r="B147" s="464"/>
      <c r="C147" s="586">
        <v>0.8</v>
      </c>
      <c r="D147" s="468"/>
      <c r="E147" s="584" t="e">
        <f t="shared" si="12"/>
        <v>#REF!</v>
      </c>
      <c r="G147" s="585"/>
      <c r="H147" s="464"/>
      <c r="I147" s="586">
        <v>0.8</v>
      </c>
      <c r="J147" s="468"/>
      <c r="K147" s="584" t="e">
        <f t="shared" si="13"/>
        <v>#REF!</v>
      </c>
      <c r="M147" s="585"/>
      <c r="N147" s="464"/>
      <c r="O147" s="586">
        <v>0.8</v>
      </c>
      <c r="P147" s="468"/>
      <c r="Q147" s="584" t="e">
        <f t="shared" si="14"/>
        <v>#REF!</v>
      </c>
      <c r="R147" s="468"/>
      <c r="S147" s="585"/>
      <c r="T147" s="464"/>
      <c r="U147" s="586">
        <v>0.8</v>
      </c>
      <c r="V147" s="468"/>
      <c r="W147" s="584" t="e">
        <f t="shared" si="15"/>
        <v>#REF!</v>
      </c>
      <c r="X147" s="576"/>
      <c r="Y147" s="619"/>
      <c r="Z147" s="620"/>
      <c r="AA147" s="621"/>
      <c r="AB147" s="620"/>
      <c r="AC147" s="464"/>
      <c r="AD147" s="463"/>
      <c r="AE147" s="463"/>
    </row>
    <row r="148" spans="1:31" ht="13.5" thickBot="1" x14ac:dyDescent="0.25">
      <c r="A148" s="585"/>
      <c r="B148" s="464"/>
      <c r="C148" s="586">
        <v>0.75</v>
      </c>
      <c r="D148" s="468"/>
      <c r="E148" s="584" t="e">
        <f t="shared" si="12"/>
        <v>#REF!</v>
      </c>
      <c r="G148" s="585"/>
      <c r="H148" s="464"/>
      <c r="I148" s="586">
        <v>0.75</v>
      </c>
      <c r="J148" s="468"/>
      <c r="K148" s="584" t="e">
        <f t="shared" si="13"/>
        <v>#REF!</v>
      </c>
      <c r="M148" s="585"/>
      <c r="N148" s="464"/>
      <c r="O148" s="586">
        <v>0.75</v>
      </c>
      <c r="P148" s="468"/>
      <c r="Q148" s="584" t="e">
        <f t="shared" si="14"/>
        <v>#REF!</v>
      </c>
      <c r="R148" s="468"/>
      <c r="S148" s="585"/>
      <c r="T148" s="464"/>
      <c r="U148" s="586">
        <v>0.75</v>
      </c>
      <c r="V148" s="468"/>
      <c r="W148" s="584" t="e">
        <f t="shared" si="15"/>
        <v>#REF!</v>
      </c>
      <c r="X148" s="576"/>
      <c r="Y148" s="561"/>
      <c r="Z148" s="561"/>
      <c r="AA148" s="561"/>
      <c r="AB148" s="561"/>
      <c r="AC148" s="464"/>
      <c r="AD148" s="463"/>
      <c r="AE148" s="463"/>
    </row>
    <row r="149" spans="1:31" ht="13.5" thickBot="1" x14ac:dyDescent="0.25">
      <c r="A149" s="585"/>
      <c r="B149" s="464"/>
      <c r="C149" s="586">
        <v>0.7</v>
      </c>
      <c r="D149" s="468"/>
      <c r="E149" s="584" t="e">
        <f t="shared" si="12"/>
        <v>#REF!</v>
      </c>
      <c r="G149" s="585"/>
      <c r="H149" s="464"/>
      <c r="I149" s="586">
        <v>0.7</v>
      </c>
      <c r="J149" s="468"/>
      <c r="K149" s="584" t="e">
        <f t="shared" si="13"/>
        <v>#REF!</v>
      </c>
      <c r="M149" s="585"/>
      <c r="N149" s="464"/>
      <c r="O149" s="586">
        <v>0.7</v>
      </c>
      <c r="P149" s="468"/>
      <c r="Q149" s="584" t="e">
        <f t="shared" si="14"/>
        <v>#REF!</v>
      </c>
      <c r="R149" s="468"/>
      <c r="S149" s="585"/>
      <c r="T149" s="464"/>
      <c r="U149" s="586">
        <v>0.7</v>
      </c>
      <c r="V149" s="468"/>
      <c r="W149" s="584" t="e">
        <f t="shared" si="15"/>
        <v>#REF!</v>
      </c>
      <c r="X149" s="576"/>
      <c r="Y149" s="561"/>
      <c r="Z149" s="561"/>
      <c r="AA149" s="561"/>
      <c r="AB149" s="561"/>
      <c r="AC149" s="464"/>
      <c r="AD149" s="463"/>
      <c r="AE149" s="463"/>
    </row>
    <row r="150" spans="1:31" ht="13.5" thickBot="1" x14ac:dyDescent="0.25">
      <c r="A150" s="585"/>
      <c r="B150" s="464"/>
      <c r="C150" s="586">
        <v>0.65</v>
      </c>
      <c r="D150" s="468"/>
      <c r="E150" s="584" t="e">
        <f t="shared" si="12"/>
        <v>#REF!</v>
      </c>
      <c r="G150" s="585"/>
      <c r="H150" s="464"/>
      <c r="I150" s="586">
        <v>0.65</v>
      </c>
      <c r="J150" s="468"/>
      <c r="K150" s="584" t="e">
        <f t="shared" si="13"/>
        <v>#REF!</v>
      </c>
      <c r="M150" s="585"/>
      <c r="N150" s="464"/>
      <c r="O150" s="586">
        <v>0.65</v>
      </c>
      <c r="P150" s="468"/>
      <c r="Q150" s="584" t="e">
        <f t="shared" si="14"/>
        <v>#REF!</v>
      </c>
      <c r="R150" s="468"/>
      <c r="S150" s="585"/>
      <c r="T150" s="464"/>
      <c r="U150" s="586">
        <v>0.65</v>
      </c>
      <c r="V150" s="468"/>
      <c r="W150" s="584" t="e">
        <f t="shared" si="15"/>
        <v>#REF!</v>
      </c>
      <c r="X150" s="576"/>
      <c r="Z150" s="464"/>
      <c r="AA150" s="464"/>
      <c r="AB150" s="464"/>
      <c r="AC150" s="464"/>
      <c r="AD150" s="463"/>
      <c r="AE150" s="463"/>
    </row>
    <row r="151" spans="1:31" ht="13.5" thickBot="1" x14ac:dyDescent="0.25">
      <c r="A151" s="585"/>
      <c r="B151" s="464"/>
      <c r="C151" s="586">
        <v>0.6</v>
      </c>
      <c r="D151" s="468"/>
      <c r="E151" s="584" t="e">
        <f t="shared" si="12"/>
        <v>#REF!</v>
      </c>
      <c r="G151" s="585"/>
      <c r="H151" s="464"/>
      <c r="I151" s="586">
        <v>0.6</v>
      </c>
      <c r="J151" s="468"/>
      <c r="K151" s="584" t="e">
        <f t="shared" si="13"/>
        <v>#REF!</v>
      </c>
      <c r="M151" s="585"/>
      <c r="N151" s="464"/>
      <c r="O151" s="586">
        <v>0.6</v>
      </c>
      <c r="P151" s="468"/>
      <c r="Q151" s="584" t="e">
        <f t="shared" si="14"/>
        <v>#REF!</v>
      </c>
      <c r="R151" s="468"/>
      <c r="S151" s="585"/>
      <c r="T151" s="464"/>
      <c r="U151" s="586">
        <v>0.6</v>
      </c>
      <c r="V151" s="468"/>
      <c r="W151" s="584" t="e">
        <f t="shared" si="15"/>
        <v>#REF!</v>
      </c>
      <c r="X151" s="576"/>
      <c r="Y151" s="591"/>
      <c r="Z151" s="579"/>
      <c r="AA151" s="464"/>
      <c r="AB151" s="464"/>
      <c r="AC151" s="464"/>
      <c r="AD151" s="463"/>
      <c r="AE151" s="463"/>
    </row>
    <row r="152" spans="1:31" ht="13.5" thickBot="1" x14ac:dyDescent="0.25">
      <c r="A152" s="585"/>
      <c r="B152" s="464"/>
      <c r="C152" s="586">
        <v>0.55000000000000004</v>
      </c>
      <c r="D152" s="468"/>
      <c r="E152" s="584" t="e">
        <f t="shared" si="12"/>
        <v>#REF!</v>
      </c>
      <c r="G152" s="585"/>
      <c r="H152" s="464"/>
      <c r="I152" s="586">
        <v>0.55000000000000004</v>
      </c>
      <c r="J152" s="468"/>
      <c r="K152" s="584" t="e">
        <f t="shared" si="13"/>
        <v>#REF!</v>
      </c>
      <c r="M152" s="585"/>
      <c r="N152" s="464"/>
      <c r="O152" s="586">
        <v>0.55000000000000004</v>
      </c>
      <c r="P152" s="468"/>
      <c r="Q152" s="584" t="e">
        <f t="shared" si="14"/>
        <v>#REF!</v>
      </c>
      <c r="R152" s="468"/>
      <c r="S152" s="585"/>
      <c r="T152" s="464"/>
      <c r="U152" s="586">
        <v>0.55000000000000004</v>
      </c>
      <c r="V152" s="468"/>
      <c r="W152" s="584" t="e">
        <f t="shared" si="15"/>
        <v>#REF!</v>
      </c>
      <c r="X152" s="576"/>
      <c r="Z152" s="608"/>
      <c r="AA152" s="608"/>
      <c r="AB152" s="463"/>
      <c r="AC152" s="463"/>
      <c r="AD152" s="463"/>
      <c r="AE152" s="463"/>
    </row>
    <row r="153" spans="1:31" ht="13.5" thickBot="1" x14ac:dyDescent="0.25">
      <c r="A153" s="596"/>
      <c r="B153" s="597"/>
      <c r="C153" s="598">
        <v>0.5</v>
      </c>
      <c r="D153" s="599"/>
      <c r="E153" s="584" t="e">
        <f t="shared" si="12"/>
        <v>#REF!</v>
      </c>
      <c r="G153" s="596"/>
      <c r="H153" s="597"/>
      <c r="I153" s="598">
        <v>0.5</v>
      </c>
      <c r="J153" s="599"/>
      <c r="K153" s="584" t="e">
        <f t="shared" si="13"/>
        <v>#REF!</v>
      </c>
      <c r="M153" s="596"/>
      <c r="N153" s="597"/>
      <c r="O153" s="598">
        <v>0.5</v>
      </c>
      <c r="P153" s="599"/>
      <c r="Q153" s="584" t="e">
        <f t="shared" si="14"/>
        <v>#REF!</v>
      </c>
      <c r="R153" s="468"/>
      <c r="S153" s="596"/>
      <c r="T153" s="597"/>
      <c r="U153" s="598">
        <v>0.5</v>
      </c>
      <c r="V153" s="599"/>
      <c r="W153" s="584" t="e">
        <f t="shared" si="15"/>
        <v>#REF!</v>
      </c>
      <c r="X153" s="576"/>
      <c r="Y153" s="625"/>
      <c r="Z153" s="463"/>
      <c r="AA153" s="463"/>
      <c r="AB153" s="608"/>
      <c r="AC153" s="608"/>
      <c r="AD153" s="608"/>
      <c r="AE153" s="608"/>
    </row>
  </sheetData>
  <mergeCells count="7">
    <mergeCell ref="A117:B117"/>
    <mergeCell ref="G118:K118"/>
    <mergeCell ref="A79:B79"/>
    <mergeCell ref="Z1:AE1"/>
    <mergeCell ref="G2:K2"/>
    <mergeCell ref="AB16:AE16"/>
    <mergeCell ref="AB26:AE26"/>
  </mergeCells>
  <printOptions horizontalCentered="1"/>
  <pageMargins left="0" right="0" top="0.5" bottom="0.64" header="0.2" footer="0.34"/>
  <pageSetup paperSize="5" scale="47" fitToHeight="2" orientation="landscape" r:id="rId1"/>
  <headerFooter alignWithMargins="0">
    <oddHeader>&amp;C&amp;"Arial,Bold Italic"&amp;20YOUTH INTERMEDIATE TERM  HIGHER NEED  RATES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149"/>
  <sheetViews>
    <sheetView topLeftCell="U1" zoomScale="85" zoomScaleNormal="85" zoomScaleSheetLayoutView="75" workbookViewId="0">
      <selection activeCell="AK12" sqref="AK12"/>
    </sheetView>
  </sheetViews>
  <sheetFormatPr defaultRowHeight="12.75" x14ac:dyDescent="0.2"/>
  <cols>
    <col min="1" max="1" width="21.5" style="463" customWidth="1"/>
    <col min="2" max="2" width="8.75" style="463" customWidth="1"/>
    <col min="3" max="3" width="8.125" style="463" bestFit="1" customWidth="1"/>
    <col min="4" max="4" width="7.625" style="463" customWidth="1"/>
    <col min="5" max="5" width="17.125" style="463" customWidth="1"/>
    <col min="6" max="7" width="11.5" style="463" customWidth="1"/>
    <col min="8" max="8" width="2.375" style="464" customWidth="1"/>
    <col min="9" max="9" width="22.125" style="469" customWidth="1"/>
    <col min="10" max="10" width="8.75" style="465" customWidth="1"/>
    <col min="11" max="11" width="10.125" style="466" customWidth="1"/>
    <col min="12" max="12" width="7.625" style="467" customWidth="1"/>
    <col min="13" max="13" width="9.375" style="466" customWidth="1"/>
    <col min="14" max="15" width="11.5" style="466" customWidth="1"/>
    <col min="16" max="16" width="2.125" style="468" customWidth="1"/>
    <col min="17" max="17" width="24.25" style="465" bestFit="1" customWidth="1"/>
    <col min="18" max="18" width="8.875" style="466" customWidth="1"/>
    <col min="19" max="19" width="8.5" style="467" bestFit="1" customWidth="1"/>
    <col min="20" max="20" width="9" style="466"/>
    <col min="21" max="21" width="9.375" style="468" customWidth="1"/>
    <col min="22" max="23" width="11.5" style="468" customWidth="1"/>
    <col min="24" max="24" width="2.625" style="469" customWidth="1"/>
    <col min="25" max="25" width="22" style="465" customWidth="1"/>
    <col min="26" max="26" width="8.875" style="466" customWidth="1"/>
    <col min="27" max="27" width="8.5" style="467" bestFit="1" customWidth="1"/>
    <col min="28" max="28" width="7.875" style="466" bestFit="1" customWidth="1"/>
    <col min="29" max="29" width="11.75" style="468" bestFit="1" customWidth="1"/>
    <col min="30" max="31" width="11.5" style="468" customWidth="1"/>
    <col min="32" max="32" width="3.5" style="468" customWidth="1"/>
    <col min="33" max="33" width="7.25" style="468" customWidth="1"/>
    <col min="34" max="34" width="27.625" style="468" bestFit="1" customWidth="1"/>
    <col min="35" max="35" width="7.25" style="468" customWidth="1"/>
    <col min="36" max="36" width="7" style="468" bestFit="1" customWidth="1"/>
    <col min="37" max="37" width="6.875" style="466" customWidth="1"/>
    <col min="38" max="38" width="7.25" style="467" customWidth="1"/>
    <col min="39" max="39" width="9" style="466"/>
    <col min="40" max="40" width="6.375" style="463" customWidth="1"/>
    <col min="41" max="41" width="7.375" style="463" bestFit="1" customWidth="1"/>
    <col min="42" max="42" width="6.375" style="463" customWidth="1"/>
    <col min="43" max="43" width="4.125" style="463" customWidth="1"/>
    <col min="44" max="44" width="4.5" style="463" customWidth="1"/>
    <col min="45" max="45" width="3.875" style="463" customWidth="1"/>
    <col min="46" max="46" width="4" style="463" customWidth="1"/>
    <col min="47" max="47" width="3.875" style="463" customWidth="1"/>
    <col min="48" max="16384" width="9" style="463"/>
  </cols>
  <sheetData>
    <row r="1" spans="1:39" ht="13.5" thickBot="1" x14ac:dyDescent="0.25">
      <c r="A1" s="462" t="s">
        <v>253</v>
      </c>
      <c r="I1" s="463"/>
      <c r="AH1" s="1143" t="s">
        <v>249</v>
      </c>
      <c r="AI1" s="1143"/>
      <c r="AJ1" s="1143"/>
      <c r="AK1" s="1143"/>
      <c r="AL1" s="1143"/>
      <c r="AM1" s="1143"/>
    </row>
    <row r="2" spans="1:39" ht="14.25" customHeight="1" x14ac:dyDescent="0.2">
      <c r="A2" s="469"/>
      <c r="B2" s="465"/>
      <c r="C2" s="470" t="s">
        <v>255</v>
      </c>
      <c r="D2" s="471"/>
      <c r="E2" s="472"/>
      <c r="F2" s="472"/>
      <c r="G2" s="472"/>
      <c r="H2" s="473"/>
      <c r="I2" s="1142" t="s">
        <v>256</v>
      </c>
      <c r="J2" s="1142"/>
      <c r="K2" s="1142"/>
      <c r="L2" s="1142"/>
      <c r="M2" s="1142"/>
      <c r="N2" s="472"/>
      <c r="O2" s="472"/>
      <c r="Q2" s="469"/>
      <c r="R2" s="465"/>
      <c r="S2" s="470" t="s">
        <v>257</v>
      </c>
      <c r="T2" s="471"/>
      <c r="U2" s="472"/>
      <c r="V2" s="473"/>
      <c r="W2" s="473"/>
      <c r="X2" s="473"/>
      <c r="Y2" s="469"/>
      <c r="Z2" s="465"/>
      <c r="AA2" s="470" t="s">
        <v>258</v>
      </c>
      <c r="AB2" s="471"/>
      <c r="AC2" s="472"/>
      <c r="AD2" s="473"/>
      <c r="AE2" s="473"/>
      <c r="AF2" s="473"/>
      <c r="AG2" s="473"/>
      <c r="AH2" s="474" t="s">
        <v>250</v>
      </c>
      <c r="AI2" s="475" t="s">
        <v>251</v>
      </c>
      <c r="AJ2" s="476" t="s">
        <v>252</v>
      </c>
      <c r="AK2" s="477"/>
      <c r="AL2" s="478"/>
      <c r="AM2" s="479"/>
    </row>
    <row r="3" spans="1:39" s="487" customFormat="1" x14ac:dyDescent="0.2">
      <c r="A3" s="480" t="s">
        <v>261</v>
      </c>
      <c r="B3" s="481" t="s">
        <v>339</v>
      </c>
      <c r="C3" s="482" t="s">
        <v>262</v>
      </c>
      <c r="D3" s="483">
        <v>365</v>
      </c>
      <c r="E3" s="484">
        <f>D3*B4</f>
        <v>4380</v>
      </c>
      <c r="F3" s="484"/>
      <c r="G3" s="484"/>
      <c r="H3" s="485"/>
      <c r="I3" s="480" t="s">
        <v>261</v>
      </c>
      <c r="J3" s="486" t="s">
        <v>340</v>
      </c>
      <c r="K3" s="482" t="s">
        <v>262</v>
      </c>
      <c r="L3" s="483">
        <v>365</v>
      </c>
      <c r="M3" s="484">
        <f>J4*L3</f>
        <v>5657.5</v>
      </c>
      <c r="N3" s="484"/>
      <c r="O3" s="484"/>
      <c r="Q3" s="480" t="s">
        <v>261</v>
      </c>
      <c r="R3" s="488" t="s">
        <v>263</v>
      </c>
      <c r="S3" s="482" t="s">
        <v>262</v>
      </c>
      <c r="T3" s="483">
        <v>365</v>
      </c>
      <c r="U3" s="484">
        <f>R4*T3</f>
        <v>7300</v>
      </c>
      <c r="V3" s="485"/>
      <c r="W3" s="485"/>
      <c r="X3" s="485"/>
      <c r="Y3" s="480" t="s">
        <v>261</v>
      </c>
      <c r="Z3" s="488" t="s">
        <v>264</v>
      </c>
      <c r="AA3" s="482" t="s">
        <v>262</v>
      </c>
      <c r="AB3" s="483">
        <v>365</v>
      </c>
      <c r="AC3" s="484">
        <f>Z4*AB3</f>
        <v>9125</v>
      </c>
      <c r="AD3" s="485"/>
      <c r="AE3" s="485"/>
      <c r="AF3" s="485"/>
      <c r="AG3" s="485"/>
      <c r="AH3" s="489" t="s">
        <v>254</v>
      </c>
      <c r="AI3" s="490">
        <v>15</v>
      </c>
      <c r="AJ3" s="490">
        <f>AI3*8</f>
        <v>120</v>
      </c>
      <c r="AK3" s="491"/>
      <c r="AL3" s="492"/>
      <c r="AM3" s="493"/>
    </row>
    <row r="4" spans="1:39" s="487" customFormat="1" x14ac:dyDescent="0.2">
      <c r="A4" s="480"/>
      <c r="B4" s="488">
        <v>12</v>
      </c>
      <c r="C4" s="482"/>
      <c r="D4" s="483"/>
      <c r="E4" s="484"/>
      <c r="F4" s="484"/>
      <c r="G4" s="484"/>
      <c r="H4" s="485"/>
      <c r="I4" s="480"/>
      <c r="J4" s="488">
        <v>15.5</v>
      </c>
      <c r="K4" s="482"/>
      <c r="L4" s="483"/>
      <c r="M4" s="484"/>
      <c r="N4" s="484"/>
      <c r="O4" s="484"/>
      <c r="Q4" s="480"/>
      <c r="R4" s="488">
        <v>20</v>
      </c>
      <c r="S4" s="482"/>
      <c r="T4" s="483"/>
      <c r="U4" s="484"/>
      <c r="V4" s="485"/>
      <c r="W4" s="485"/>
      <c r="X4" s="485"/>
      <c r="Y4" s="480"/>
      <c r="Z4" s="488">
        <v>25</v>
      </c>
      <c r="AA4" s="482"/>
      <c r="AB4" s="483"/>
      <c r="AC4" s="484"/>
      <c r="AD4" s="485"/>
      <c r="AE4" s="485"/>
      <c r="AF4" s="485"/>
      <c r="AG4" s="485"/>
      <c r="AH4" s="489" t="s">
        <v>260</v>
      </c>
      <c r="AI4" s="490">
        <v>15</v>
      </c>
      <c r="AJ4" s="490">
        <f>AI4*8</f>
        <v>120</v>
      </c>
      <c r="AK4" s="491"/>
      <c r="AL4" s="492"/>
      <c r="AM4" s="493"/>
    </row>
    <row r="5" spans="1:39" s="487" customFormat="1" x14ac:dyDescent="0.2">
      <c r="A5" s="480"/>
      <c r="B5" s="488"/>
      <c r="C5" s="494"/>
      <c r="D5" s="483"/>
      <c r="E5" s="484"/>
      <c r="F5" s="484"/>
      <c r="G5" s="484"/>
      <c r="H5" s="485"/>
      <c r="I5" s="480"/>
      <c r="J5" s="488"/>
      <c r="K5" s="482"/>
      <c r="L5" s="483"/>
      <c r="M5" s="484"/>
      <c r="N5" s="484"/>
      <c r="O5" s="484"/>
      <c r="Q5" s="480"/>
      <c r="R5" s="488"/>
      <c r="S5" s="482"/>
      <c r="T5" s="483"/>
      <c r="U5" s="484"/>
      <c r="V5" s="485"/>
      <c r="W5" s="485"/>
      <c r="X5" s="485"/>
      <c r="Y5" s="480"/>
      <c r="Z5" s="488"/>
      <c r="AA5" s="482"/>
      <c r="AB5" s="483"/>
      <c r="AC5" s="484"/>
      <c r="AD5" s="485"/>
      <c r="AE5" s="485"/>
      <c r="AF5" s="485"/>
      <c r="AG5" s="485"/>
      <c r="AH5" s="489" t="s">
        <v>266</v>
      </c>
      <c r="AI5" s="490">
        <v>13</v>
      </c>
      <c r="AJ5" s="490">
        <f>AI5*8</f>
        <v>104</v>
      </c>
      <c r="AK5" s="491"/>
      <c r="AL5" s="468"/>
      <c r="AM5" s="495"/>
    </row>
    <row r="6" spans="1:39" s="501" customFormat="1" ht="28.5" customHeight="1" x14ac:dyDescent="0.2">
      <c r="A6" s="496"/>
      <c r="B6" s="497" t="s">
        <v>269</v>
      </c>
      <c r="C6" s="498" t="s">
        <v>341</v>
      </c>
      <c r="D6" s="499" t="s">
        <v>270</v>
      </c>
      <c r="E6" s="498" t="s">
        <v>342</v>
      </c>
      <c r="F6" s="498"/>
      <c r="G6" s="498"/>
      <c r="H6" s="500"/>
      <c r="I6" s="496"/>
      <c r="J6" s="497" t="s">
        <v>269</v>
      </c>
      <c r="K6" s="498" t="s">
        <v>341</v>
      </c>
      <c r="L6" s="499" t="s">
        <v>270</v>
      </c>
      <c r="M6" s="498" t="s">
        <v>372</v>
      </c>
      <c r="N6" s="498"/>
      <c r="O6" s="498"/>
      <c r="Q6" s="496"/>
      <c r="R6" s="497" t="s">
        <v>269</v>
      </c>
      <c r="S6" s="498" t="s">
        <v>341</v>
      </c>
      <c r="T6" s="499" t="s">
        <v>270</v>
      </c>
      <c r="U6" s="498" t="s">
        <v>342</v>
      </c>
      <c r="V6" s="500"/>
      <c r="W6" s="500"/>
      <c r="X6" s="500"/>
      <c r="Y6" s="496"/>
      <c r="Z6" s="497" t="s">
        <v>269</v>
      </c>
      <c r="AA6" s="498" t="s">
        <v>341</v>
      </c>
      <c r="AB6" s="499" t="s">
        <v>270</v>
      </c>
      <c r="AC6" s="498" t="s">
        <v>342</v>
      </c>
      <c r="AD6" s="500"/>
      <c r="AE6" s="500"/>
      <c r="AF6" s="500"/>
      <c r="AG6" s="500"/>
      <c r="AH6" s="502" t="s">
        <v>267</v>
      </c>
      <c r="AI6" s="503">
        <v>8</v>
      </c>
      <c r="AJ6" s="503">
        <f>AI6*8</f>
        <v>64</v>
      </c>
      <c r="AK6" s="504"/>
      <c r="AL6" s="505"/>
      <c r="AM6" s="506"/>
    </row>
    <row r="7" spans="1:39" s="466" customFormat="1" x14ac:dyDescent="0.2">
      <c r="A7" s="507" t="s">
        <v>272</v>
      </c>
      <c r="B7" s="508"/>
      <c r="C7" s="704">
        <f>$AK$11</f>
        <v>59700.570397111915</v>
      </c>
      <c r="D7" s="510">
        <f>AJ18</f>
        <v>2.15</v>
      </c>
      <c r="E7" s="466">
        <f>C7*D7</f>
        <v>128356.22635379061</v>
      </c>
      <c r="H7" s="468"/>
      <c r="I7" s="507" t="s">
        <v>272</v>
      </c>
      <c r="J7" s="508"/>
      <c r="K7" s="704">
        <f>$AK$11</f>
        <v>59700.570397111915</v>
      </c>
      <c r="L7" s="510">
        <f>AK18</f>
        <v>2.15</v>
      </c>
      <c r="M7" s="466">
        <f>K7*L7</f>
        <v>128356.22635379061</v>
      </c>
      <c r="Q7" s="507" t="s">
        <v>272</v>
      </c>
      <c r="R7" s="508"/>
      <c r="S7" s="704">
        <f>$AK$11</f>
        <v>59700.570397111915</v>
      </c>
      <c r="T7" s="510">
        <f>AL18</f>
        <v>2.15</v>
      </c>
      <c r="U7" s="466">
        <f>S7*T7</f>
        <v>128356.22635379061</v>
      </c>
      <c r="V7" s="468"/>
      <c r="W7" s="468"/>
      <c r="X7" s="468"/>
      <c r="Y7" s="507" t="s">
        <v>272</v>
      </c>
      <c r="Z7" s="508"/>
      <c r="AA7" s="704">
        <f>$AK$11</f>
        <v>59700.570397111915</v>
      </c>
      <c r="AB7" s="510">
        <f>$AM$18</f>
        <v>2.15</v>
      </c>
      <c r="AC7" s="466">
        <f>AA7*AB7</f>
        <v>128356.22635379061</v>
      </c>
      <c r="AD7" s="468"/>
      <c r="AE7" s="468"/>
      <c r="AF7" s="468"/>
      <c r="AG7" s="468"/>
      <c r="AH7" s="489"/>
      <c r="AI7" s="511" t="s">
        <v>268</v>
      </c>
      <c r="AJ7" s="490">
        <f>SUM(AJ3:AJ6)</f>
        <v>408</v>
      </c>
      <c r="AK7" s="512"/>
      <c r="AL7" s="513"/>
      <c r="AM7" s="514"/>
    </row>
    <row r="8" spans="1:39" s="466" customFormat="1" ht="13.5" thickBot="1" x14ac:dyDescent="0.25">
      <c r="A8" s="507" t="s">
        <v>273</v>
      </c>
      <c r="B8" s="508"/>
      <c r="C8" s="704">
        <f>$AK$12</f>
        <v>51947.798987144524</v>
      </c>
      <c r="D8" s="510">
        <f>AJ19</f>
        <v>4</v>
      </c>
      <c r="E8" s="466">
        <f>C8*D8</f>
        <v>207791.1959485781</v>
      </c>
      <c r="H8" s="468"/>
      <c r="I8" s="507" t="s">
        <v>273</v>
      </c>
      <c r="J8" s="508"/>
      <c r="K8" s="704">
        <f>$AK$12</f>
        <v>51947.798987144524</v>
      </c>
      <c r="L8" s="510">
        <f>AK19</f>
        <v>4</v>
      </c>
      <c r="M8" s="466">
        <f>K8*L8</f>
        <v>207791.1959485781</v>
      </c>
      <c r="Q8" s="507" t="s">
        <v>273</v>
      </c>
      <c r="R8" s="508"/>
      <c r="S8" s="704">
        <f>$AK$12</f>
        <v>51947.798987144524</v>
      </c>
      <c r="T8" s="510">
        <f>AL19</f>
        <v>4</v>
      </c>
      <c r="U8" s="466">
        <f>S8*T8</f>
        <v>207791.1959485781</v>
      </c>
      <c r="V8" s="468"/>
      <c r="W8" s="468"/>
      <c r="X8" s="468"/>
      <c r="Y8" s="507" t="s">
        <v>273</v>
      </c>
      <c r="Z8" s="508"/>
      <c r="AA8" s="704">
        <f>$AK$12</f>
        <v>51947.798987144524</v>
      </c>
      <c r="AB8" s="510">
        <f>$AM$19</f>
        <v>5</v>
      </c>
      <c r="AC8" s="466">
        <f>AA8*AB8</f>
        <v>259738.99493572261</v>
      </c>
      <c r="AD8" s="468"/>
      <c r="AE8" s="468"/>
      <c r="AF8" s="468"/>
      <c r="AG8" s="468"/>
      <c r="AH8" s="515"/>
      <c r="AI8" s="516" t="s">
        <v>271</v>
      </c>
      <c r="AJ8" s="517">
        <f>AJ7/(52*40)</f>
        <v>0.19615384615384615</v>
      </c>
      <c r="AK8" s="518"/>
      <c r="AL8" s="519"/>
      <c r="AM8" s="520"/>
    </row>
    <row r="9" spans="1:39" s="523" customFormat="1" ht="13.5" thickBot="1" x14ac:dyDescent="0.25">
      <c r="A9" s="521" t="s">
        <v>275</v>
      </c>
      <c r="B9" s="708">
        <f>$AJ$27</f>
        <v>0.67727547626247397</v>
      </c>
      <c r="C9" s="704">
        <f>$AK$13</f>
        <v>31102.5</v>
      </c>
      <c r="D9" s="522">
        <f>B4/B9</f>
        <v>17.718048889384963</v>
      </c>
      <c r="E9" s="466">
        <f>C9*D9</f>
        <v>551075.61558209581</v>
      </c>
      <c r="F9" s="466"/>
      <c r="G9" s="466"/>
      <c r="H9" s="468"/>
      <c r="I9" s="521" t="s">
        <v>275</v>
      </c>
      <c r="J9" s="708">
        <f>AK27</f>
        <v>0.79679467795585102</v>
      </c>
      <c r="K9" s="704">
        <f>$AK$13</f>
        <v>31102.5</v>
      </c>
      <c r="L9" s="522">
        <f>J4/J9</f>
        <v>19.452941176470592</v>
      </c>
      <c r="M9" s="466">
        <f>K9*L9</f>
        <v>605035.10294117662</v>
      </c>
      <c r="N9" s="466"/>
      <c r="O9" s="466"/>
      <c r="Q9" s="521" t="s">
        <v>275</v>
      </c>
      <c r="R9" s="708">
        <f>AL27</f>
        <v>0.84659434532809197</v>
      </c>
      <c r="S9" s="704">
        <f>$AK$13</f>
        <v>31102.5</v>
      </c>
      <c r="T9" s="522">
        <f>R4/R9</f>
        <v>23.624065185846632</v>
      </c>
      <c r="U9" s="466">
        <f>S9*T9</f>
        <v>734767.48744279484</v>
      </c>
      <c r="V9" s="468"/>
      <c r="W9" s="468"/>
      <c r="X9" s="468"/>
      <c r="Y9" s="521" t="s">
        <v>275</v>
      </c>
      <c r="Z9" s="522">
        <f>$AM27</f>
        <v>0.88045811914121597</v>
      </c>
      <c r="AA9" s="704">
        <f>$AK$13</f>
        <v>31102.5</v>
      </c>
      <c r="AB9" s="522">
        <f>Z4/Z9</f>
        <v>28.394309117604116</v>
      </c>
      <c r="AC9" s="466">
        <f>AA9*AB9</f>
        <v>883133.99933028198</v>
      </c>
      <c r="AD9" s="468"/>
      <c r="AE9" s="468"/>
      <c r="AF9" s="468"/>
      <c r="AG9" s="468"/>
      <c r="AH9" s="464"/>
      <c r="AI9" s="524"/>
      <c r="AJ9" s="525"/>
      <c r="AK9" s="526"/>
      <c r="AL9" s="469"/>
      <c r="AM9" s="469"/>
    </row>
    <row r="10" spans="1:39" s="523" customFormat="1" x14ac:dyDescent="0.2">
      <c r="A10" s="521" t="s">
        <v>276</v>
      </c>
      <c r="B10" s="522"/>
      <c r="C10" s="704">
        <f>$AK$13</f>
        <v>31102.5</v>
      </c>
      <c r="D10" s="522">
        <f>D9*AJ8</f>
        <v>3.4754634359947429</v>
      </c>
      <c r="E10" s="466">
        <f>C10*D10</f>
        <v>108095.60151802649</v>
      </c>
      <c r="F10" s="466"/>
      <c r="G10" s="466"/>
      <c r="H10" s="468"/>
      <c r="I10" s="521" t="s">
        <v>276</v>
      </c>
      <c r="J10" s="527"/>
      <c r="K10" s="704">
        <f>$AK$13</f>
        <v>31102.5</v>
      </c>
      <c r="L10" s="522">
        <f>L9*$AJ$8</f>
        <v>3.8157692307692312</v>
      </c>
      <c r="M10" s="466">
        <f>K10*L10</f>
        <v>118679.96250000001</v>
      </c>
      <c r="N10" s="466"/>
      <c r="O10" s="466"/>
      <c r="Q10" s="521" t="s">
        <v>276</v>
      </c>
      <c r="R10" s="522"/>
      <c r="S10" s="704">
        <f>$AK$13</f>
        <v>31102.5</v>
      </c>
      <c r="T10" s="522">
        <f>T9*$AJ$8</f>
        <v>4.633951247992993</v>
      </c>
      <c r="U10" s="466">
        <f>S10*T10</f>
        <v>144127.46869070205</v>
      </c>
      <c r="V10" s="468"/>
      <c r="W10" s="468"/>
      <c r="X10" s="468"/>
      <c r="Y10" s="521" t="s">
        <v>276</v>
      </c>
      <c r="Z10" s="522"/>
      <c r="AA10" s="704">
        <f>$AK$13</f>
        <v>31102.5</v>
      </c>
      <c r="AB10" s="522">
        <f>AB9*$AJ$8</f>
        <v>5.5696529422992693</v>
      </c>
      <c r="AC10" s="466">
        <f>AA10*AB10</f>
        <v>173230.13063786301</v>
      </c>
      <c r="AD10" s="468"/>
      <c r="AE10" s="468"/>
      <c r="AF10" s="468"/>
      <c r="AG10" s="468"/>
      <c r="AH10" s="528"/>
      <c r="AI10" s="529"/>
      <c r="AJ10" s="529"/>
      <c r="AK10" s="530" t="s">
        <v>274</v>
      </c>
      <c r="AL10" s="531"/>
      <c r="AM10" s="532"/>
    </row>
    <row r="11" spans="1:39" s="466" customFormat="1" x14ac:dyDescent="0.2">
      <c r="A11" s="507" t="s">
        <v>370</v>
      </c>
      <c r="B11" s="522"/>
      <c r="C11" s="704">
        <f>$AK$14</f>
        <v>30600.305857957486</v>
      </c>
      <c r="D11" s="522">
        <f>AJ23</f>
        <v>3</v>
      </c>
      <c r="E11" s="466">
        <f>C11*D11</f>
        <v>91800.917573872459</v>
      </c>
      <c r="H11" s="468"/>
      <c r="I11" s="507" t="s">
        <v>370</v>
      </c>
      <c r="J11" s="522"/>
      <c r="K11" s="509">
        <f>$AK$14</f>
        <v>30600.305857957486</v>
      </c>
      <c r="L11" s="522">
        <f>AK23</f>
        <v>3</v>
      </c>
      <c r="M11" s="466">
        <f>K11*L11</f>
        <v>91800.917573872459</v>
      </c>
      <c r="Q11" s="507" t="s">
        <v>370</v>
      </c>
      <c r="R11" s="522"/>
      <c r="S11" s="704">
        <f>$AK$14</f>
        <v>30600.305857957486</v>
      </c>
      <c r="T11" s="522">
        <f>AL23</f>
        <v>3</v>
      </c>
      <c r="U11" s="466">
        <f>S11*T11</f>
        <v>91800.917573872459</v>
      </c>
      <c r="V11" s="468"/>
      <c r="W11" s="468"/>
      <c r="X11" s="468"/>
      <c r="Y11" s="507" t="s">
        <v>370</v>
      </c>
      <c r="Z11" s="522"/>
      <c r="AA11" s="704">
        <f>$AK$14</f>
        <v>30600.305857957486</v>
      </c>
      <c r="AB11" s="522">
        <f>$AM$23</f>
        <v>4</v>
      </c>
      <c r="AC11" s="466">
        <f>AA11*AB11</f>
        <v>122401.22343182995</v>
      </c>
      <c r="AD11" s="468"/>
      <c r="AE11" s="468"/>
      <c r="AF11" s="468"/>
      <c r="AG11" s="468"/>
      <c r="AH11" s="533" t="s">
        <v>272</v>
      </c>
      <c r="AI11" s="468"/>
      <c r="AK11" s="723">
        <f>'Rate Options'!AK11</f>
        <v>59700.570397111915</v>
      </c>
      <c r="AL11" s="464"/>
      <c r="AM11" s="535"/>
    </row>
    <row r="12" spans="1:39" s="487" customFormat="1" x14ac:dyDescent="0.2">
      <c r="A12" s="536" t="s">
        <v>277</v>
      </c>
      <c r="B12" s="536"/>
      <c r="C12" s="537"/>
      <c r="D12" s="538">
        <f>SUM(D7:D11)</f>
        <v>30.343512325379709</v>
      </c>
      <c r="E12" s="537">
        <f>SUM(E7:E11)</f>
        <v>1087119.5569763635</v>
      </c>
      <c r="F12" s="473"/>
      <c r="G12" s="473"/>
      <c r="H12" s="473"/>
      <c r="I12" s="536" t="s">
        <v>277</v>
      </c>
      <c r="J12" s="536"/>
      <c r="K12" s="537"/>
      <c r="L12" s="538">
        <f>SUM(L7:L11)</f>
        <v>32.418710407239828</v>
      </c>
      <c r="M12" s="537">
        <f>SUM(M7:M11)</f>
        <v>1151663.4053174178</v>
      </c>
      <c r="N12" s="473"/>
      <c r="O12" s="473"/>
      <c r="Q12" s="536" t="s">
        <v>277</v>
      </c>
      <c r="R12" s="536"/>
      <c r="S12" s="537"/>
      <c r="T12" s="538">
        <f>SUM(T7:T11)</f>
        <v>37.40801643383962</v>
      </c>
      <c r="U12" s="537">
        <f>SUM(U7:U11)</f>
        <v>1306843.296009738</v>
      </c>
      <c r="V12" s="473"/>
      <c r="W12" s="473"/>
      <c r="X12" s="473"/>
      <c r="Y12" s="536" t="s">
        <v>277</v>
      </c>
      <c r="Z12" s="536"/>
      <c r="AA12" s="537"/>
      <c r="AB12" s="538">
        <f>SUM(AB7:AB11)</f>
        <v>45.113962059903386</v>
      </c>
      <c r="AC12" s="537">
        <f>SUM(AC7:AC11)</f>
        <v>1566860.5746894879</v>
      </c>
      <c r="AD12" s="473"/>
      <c r="AE12" s="473"/>
      <c r="AF12" s="473"/>
      <c r="AG12" s="473"/>
      <c r="AH12" s="533" t="s">
        <v>273</v>
      </c>
      <c r="AI12" s="468"/>
      <c r="AK12" s="723">
        <f>'Rate Options'!AK12</f>
        <v>51947.798987144524</v>
      </c>
      <c r="AL12" s="464"/>
      <c r="AM12" s="535"/>
    </row>
    <row r="13" spans="1:39" s="487" customFormat="1" x14ac:dyDescent="0.2">
      <c r="A13" s="513"/>
      <c r="B13" s="513"/>
      <c r="C13" s="473"/>
      <c r="D13" s="539"/>
      <c r="E13" s="473"/>
      <c r="F13" s="473"/>
      <c r="G13" s="473"/>
      <c r="H13" s="473"/>
      <c r="I13" s="513"/>
      <c r="J13" s="513"/>
      <c r="K13" s="473"/>
      <c r="L13" s="539"/>
      <c r="M13" s="473"/>
      <c r="N13" s="473"/>
      <c r="O13" s="473"/>
      <c r="Q13" s="513"/>
      <c r="R13" s="513"/>
      <c r="S13" s="473"/>
      <c r="T13" s="539"/>
      <c r="U13" s="473"/>
      <c r="V13" s="473"/>
      <c r="W13" s="473"/>
      <c r="X13" s="473"/>
      <c r="Y13" s="513"/>
      <c r="Z13" s="513"/>
      <c r="AA13" s="473"/>
      <c r="AB13" s="539"/>
      <c r="AC13" s="473"/>
      <c r="AD13" s="473"/>
      <c r="AE13" s="473"/>
      <c r="AF13" s="473"/>
      <c r="AG13" s="473"/>
      <c r="AH13" s="540" t="s">
        <v>275</v>
      </c>
      <c r="AI13" s="492"/>
      <c r="AK13" s="723">
        <f>'Rate Options'!AK13</f>
        <v>31102.5</v>
      </c>
      <c r="AL13" s="464"/>
      <c r="AM13" s="535"/>
    </row>
    <row r="14" spans="1:39" s="487" customFormat="1" x14ac:dyDescent="0.2">
      <c r="A14" s="541" t="s">
        <v>278</v>
      </c>
      <c r="B14" s="541"/>
      <c r="C14" s="542"/>
      <c r="D14" s="543" t="s">
        <v>279</v>
      </c>
      <c r="E14" s="542"/>
      <c r="F14" s="542"/>
      <c r="G14" s="542"/>
      <c r="H14" s="544"/>
      <c r="I14" s="541" t="s">
        <v>278</v>
      </c>
      <c r="J14" s="541"/>
      <c r="K14" s="542"/>
      <c r="L14" s="543" t="s">
        <v>279</v>
      </c>
      <c r="M14" s="542"/>
      <c r="N14" s="542"/>
      <c r="O14" s="542"/>
      <c r="Q14" s="541" t="s">
        <v>278</v>
      </c>
      <c r="R14" s="541"/>
      <c r="S14" s="542"/>
      <c r="T14" s="543" t="s">
        <v>279</v>
      </c>
      <c r="U14" s="542"/>
      <c r="V14" s="544"/>
      <c r="W14" s="544"/>
      <c r="X14" s="544"/>
      <c r="Y14" s="541" t="s">
        <v>278</v>
      </c>
      <c r="Z14" s="541"/>
      <c r="AA14" s="542"/>
      <c r="AB14" s="543" t="s">
        <v>279</v>
      </c>
      <c r="AC14" s="542"/>
      <c r="AD14" s="544"/>
      <c r="AE14" s="544"/>
      <c r="AF14" s="544"/>
      <c r="AG14" s="544"/>
      <c r="AH14" s="533" t="s">
        <v>370</v>
      </c>
      <c r="AI14" s="468"/>
      <c r="AK14" s="723">
        <f>'Rate Options'!AK14</f>
        <v>30600.305857957486</v>
      </c>
      <c r="AL14" s="464"/>
      <c r="AM14" s="535"/>
    </row>
    <row r="15" spans="1:39" s="469" customFormat="1" x14ac:dyDescent="0.2">
      <c r="A15" s="545" t="s">
        <v>280</v>
      </c>
      <c r="B15" s="546"/>
      <c r="C15" s="705">
        <f>$AJ$30</f>
        <v>0.25578770213785851</v>
      </c>
      <c r="D15" s="547"/>
      <c r="E15" s="466">
        <f>C15*E12</f>
        <v>278071.81342811079</v>
      </c>
      <c r="F15" s="509"/>
      <c r="G15" s="509"/>
      <c r="H15" s="548"/>
      <c r="I15" s="545" t="s">
        <v>280</v>
      </c>
      <c r="J15" s="546"/>
      <c r="K15" s="705">
        <f>$AJ$30</f>
        <v>0.25578770213785851</v>
      </c>
      <c r="L15" s="547"/>
      <c r="M15" s="466">
        <f>K15*M12</f>
        <v>294581.33608240349</v>
      </c>
      <c r="N15" s="466"/>
      <c r="O15" s="466"/>
      <c r="Q15" s="545" t="s">
        <v>280</v>
      </c>
      <c r="R15" s="546"/>
      <c r="S15" s="705">
        <f>$AJ$30</f>
        <v>0.25578770213785851</v>
      </c>
      <c r="T15" s="547"/>
      <c r="U15" s="466">
        <f>S15*U12</f>
        <v>334274.44374059612</v>
      </c>
      <c r="V15" s="548"/>
      <c r="W15" s="548"/>
      <c r="X15" s="548"/>
      <c r="Y15" s="545" t="s">
        <v>280</v>
      </c>
      <c r="Z15" s="546"/>
      <c r="AA15" s="705">
        <f>$AJ$30</f>
        <v>0.25578770213785851</v>
      </c>
      <c r="AB15" s="547"/>
      <c r="AC15" s="466">
        <f>AA15*AC12</f>
        <v>400783.66597022855</v>
      </c>
      <c r="AD15" s="548"/>
      <c r="AE15" s="548"/>
      <c r="AF15" s="548"/>
      <c r="AG15" s="548"/>
      <c r="AH15" s="549"/>
      <c r="AI15" s="468"/>
      <c r="AJ15" s="534"/>
      <c r="AK15" s="464"/>
      <c r="AL15" s="464"/>
      <c r="AM15" s="535"/>
    </row>
    <row r="16" spans="1:39" x14ac:dyDescent="0.2">
      <c r="A16" s="550" t="s">
        <v>282</v>
      </c>
      <c r="B16" s="550"/>
      <c r="C16" s="551"/>
      <c r="D16" s="552">
        <f>E15/E3</f>
        <v>63.48671539454584</v>
      </c>
      <c r="E16" s="553">
        <f>E15+E12</f>
        <v>1365191.3704044744</v>
      </c>
      <c r="F16" s="468"/>
      <c r="G16" s="468"/>
      <c r="H16" s="468"/>
      <c r="I16" s="550" t="s">
        <v>282</v>
      </c>
      <c r="J16" s="550"/>
      <c r="K16" s="551"/>
      <c r="L16" s="552">
        <f>M16/M3</f>
        <v>255.63318451609746</v>
      </c>
      <c r="M16" s="553">
        <f>M15+M12</f>
        <v>1446244.7413998214</v>
      </c>
      <c r="N16" s="544"/>
      <c r="O16" s="544"/>
      <c r="Q16" s="550" t="s">
        <v>282</v>
      </c>
      <c r="R16" s="550"/>
      <c r="S16" s="551"/>
      <c r="T16" s="552">
        <f>U16/U3</f>
        <v>224.81064928086769</v>
      </c>
      <c r="U16" s="553">
        <f>U15+U12</f>
        <v>1641117.7397503341</v>
      </c>
      <c r="V16" s="544"/>
      <c r="W16" s="544"/>
      <c r="X16" s="544"/>
      <c r="Y16" s="550" t="s">
        <v>282</v>
      </c>
      <c r="Z16" s="550"/>
      <c r="AA16" s="551"/>
      <c r="AB16" s="552">
        <f>AC16/AC3</f>
        <v>215.63224555174975</v>
      </c>
      <c r="AC16" s="553">
        <f>AC15+AC12</f>
        <v>1967644.2406597165</v>
      </c>
      <c r="AD16" s="544"/>
      <c r="AE16" s="544"/>
      <c r="AF16" s="544"/>
      <c r="AG16" s="544"/>
      <c r="AH16" s="549"/>
      <c r="AJ16" s="1144" t="s">
        <v>270</v>
      </c>
      <c r="AK16" s="1144"/>
      <c r="AL16" s="1144"/>
      <c r="AM16" s="1145"/>
    </row>
    <row r="17" spans="1:41" x14ac:dyDescent="0.2">
      <c r="C17" s="466"/>
      <c r="D17" s="467"/>
      <c r="E17" s="466"/>
      <c r="F17" s="466"/>
      <c r="G17" s="466"/>
      <c r="H17" s="468"/>
      <c r="I17" s="463"/>
      <c r="J17" s="463"/>
      <c r="Q17" s="463"/>
      <c r="R17" s="463"/>
      <c r="S17" s="466"/>
      <c r="T17" s="467"/>
      <c r="U17" s="466"/>
      <c r="X17" s="468"/>
      <c r="Y17" s="463"/>
      <c r="Z17" s="463"/>
      <c r="AA17" s="466"/>
      <c r="AB17" s="467"/>
      <c r="AC17" s="466"/>
      <c r="AH17" s="554"/>
      <c r="AI17" s="555" t="s">
        <v>281</v>
      </c>
      <c r="AJ17" s="556" t="s">
        <v>339</v>
      </c>
      <c r="AK17" s="557" t="s">
        <v>340</v>
      </c>
      <c r="AL17" s="558" t="s">
        <v>263</v>
      </c>
      <c r="AM17" s="559" t="s">
        <v>303</v>
      </c>
    </row>
    <row r="18" spans="1:41" x14ac:dyDescent="0.2">
      <c r="A18" s="463" t="s">
        <v>91</v>
      </c>
      <c r="C18" s="466"/>
      <c r="D18" s="510">
        <f>$AJ$32</f>
        <v>33.069173881278537</v>
      </c>
      <c r="E18" s="466">
        <f>D18*E$3</f>
        <v>144842.9816</v>
      </c>
      <c r="F18" s="560"/>
      <c r="G18" s="560"/>
      <c r="H18" s="468"/>
      <c r="I18" s="463" t="s">
        <v>91</v>
      </c>
      <c r="J18" s="463"/>
      <c r="L18" s="510">
        <f>$AJ$32</f>
        <v>33.069173881278537</v>
      </c>
      <c r="M18" s="466">
        <f>L18*M$3</f>
        <v>187088.85123333332</v>
      </c>
      <c r="Q18" s="463" t="s">
        <v>91</v>
      </c>
      <c r="R18" s="463"/>
      <c r="S18" s="466"/>
      <c r="T18" s="510">
        <f>$AJ$32</f>
        <v>33.069173881278537</v>
      </c>
      <c r="U18" s="466">
        <f>T18*U$3</f>
        <v>241404.96933333331</v>
      </c>
      <c r="X18" s="468"/>
      <c r="Y18" s="463" t="s">
        <v>91</v>
      </c>
      <c r="Z18" s="463"/>
      <c r="AA18" s="466"/>
      <c r="AB18" s="510">
        <f>$AJ$32</f>
        <v>33.069173881278537</v>
      </c>
      <c r="AC18" s="466">
        <f>AB18*AC$3</f>
        <v>301756.21166666667</v>
      </c>
      <c r="AH18" s="533" t="s">
        <v>272</v>
      </c>
      <c r="AJ18" s="561">
        <v>2.15</v>
      </c>
      <c r="AK18" s="561">
        <v>2.15</v>
      </c>
      <c r="AL18" s="561">
        <v>2.15</v>
      </c>
      <c r="AM18" s="562">
        <v>2.15</v>
      </c>
    </row>
    <row r="19" spans="1:41" x14ac:dyDescent="0.2">
      <c r="C19" s="466"/>
      <c r="D19" s="510"/>
      <c r="E19" s="563"/>
      <c r="F19" s="563"/>
      <c r="G19" s="563"/>
      <c r="H19" s="564"/>
      <c r="I19" s="463"/>
      <c r="J19" s="463"/>
      <c r="L19" s="510"/>
      <c r="M19" s="563"/>
      <c r="N19" s="563"/>
      <c r="O19" s="563"/>
      <c r="Q19" s="463"/>
      <c r="R19" s="463"/>
      <c r="S19" s="466"/>
      <c r="T19" s="510"/>
      <c r="U19" s="563"/>
      <c r="V19" s="564"/>
      <c r="W19" s="564"/>
      <c r="X19" s="564"/>
      <c r="Y19" s="463"/>
      <c r="Z19" s="463"/>
      <c r="AA19" s="466"/>
      <c r="AB19" s="510"/>
      <c r="AC19" s="563"/>
      <c r="AD19" s="564"/>
      <c r="AE19" s="564"/>
      <c r="AF19" s="564"/>
      <c r="AG19" s="564"/>
      <c r="AH19" s="533" t="s">
        <v>273</v>
      </c>
      <c r="AJ19" s="724">
        <v>4</v>
      </c>
      <c r="AK19" s="724">
        <v>4</v>
      </c>
      <c r="AL19" s="724">
        <v>4</v>
      </c>
      <c r="AM19" s="725">
        <v>5</v>
      </c>
    </row>
    <row r="20" spans="1:41" x14ac:dyDescent="0.2">
      <c r="A20" s="463" t="s">
        <v>283</v>
      </c>
      <c r="C20" s="466"/>
      <c r="D20" s="510">
        <f>$AJ36</f>
        <v>16.772324588891873</v>
      </c>
      <c r="E20" s="466">
        <f>D20*E$3</f>
        <v>73462.781699346408</v>
      </c>
      <c r="F20" s="466"/>
      <c r="G20" s="466"/>
      <c r="H20" s="468"/>
      <c r="I20" s="463" t="s">
        <v>283</v>
      </c>
      <c r="J20" s="463"/>
      <c r="L20" s="510">
        <f>$AJ36</f>
        <v>16.772324588891873</v>
      </c>
      <c r="M20" s="466">
        <f>L20*M$3</f>
        <v>94889.426361655773</v>
      </c>
      <c r="Q20" s="463" t="s">
        <v>283</v>
      </c>
      <c r="R20" s="463"/>
      <c r="S20" s="466"/>
      <c r="T20" s="510">
        <f>$AJ36</f>
        <v>16.772324588891873</v>
      </c>
      <c r="U20" s="466">
        <f>T20*U$3</f>
        <v>122437.96949891068</v>
      </c>
      <c r="X20" s="468"/>
      <c r="Y20" s="463" t="s">
        <v>283</v>
      </c>
      <c r="Z20" s="463"/>
      <c r="AA20" s="466"/>
      <c r="AB20" s="510">
        <f>$AJ36</f>
        <v>16.772324588891873</v>
      </c>
      <c r="AC20" s="466">
        <f>AB20*AC$3</f>
        <v>153047.46187363836</v>
      </c>
      <c r="AH20" s="549"/>
      <c r="AJ20" s="561"/>
      <c r="AK20" s="561"/>
      <c r="AL20" s="561"/>
      <c r="AM20" s="565"/>
    </row>
    <row r="21" spans="1:41" x14ac:dyDescent="0.2">
      <c r="C21" s="466"/>
      <c r="D21" s="566">
        <f>SUM(D18:D20)</f>
        <v>49.841498470170407</v>
      </c>
      <c r="E21" s="466"/>
      <c r="F21" s="466"/>
      <c r="G21" s="466"/>
      <c r="H21" s="468"/>
      <c r="I21" s="463"/>
      <c r="J21" s="463"/>
      <c r="L21" s="566">
        <f>SUM(L18:L20)</f>
        <v>49.841498470170407</v>
      </c>
      <c r="Q21" s="463"/>
      <c r="R21" s="463"/>
      <c r="S21" s="466"/>
      <c r="T21" s="566">
        <f>SUM(T18:T20)</f>
        <v>49.841498470170407</v>
      </c>
      <c r="U21" s="466"/>
      <c r="X21" s="468"/>
      <c r="Y21" s="463"/>
      <c r="Z21" s="463"/>
      <c r="AA21" s="466"/>
      <c r="AB21" s="566">
        <f>SUM(AB18:AB20)</f>
        <v>49.841498470170407</v>
      </c>
      <c r="AC21" s="466"/>
      <c r="AH21" s="533" t="s">
        <v>370</v>
      </c>
      <c r="AJ21" s="561"/>
      <c r="AK21" s="561"/>
      <c r="AL21" s="561"/>
      <c r="AM21" s="565"/>
    </row>
    <row r="22" spans="1:41" x14ac:dyDescent="0.2">
      <c r="A22" s="536" t="s">
        <v>371</v>
      </c>
      <c r="B22" s="536"/>
      <c r="C22" s="537"/>
      <c r="D22" s="538"/>
      <c r="E22" s="537">
        <f>SUM(E16:E20)</f>
        <v>1583497.1337038209</v>
      </c>
      <c r="F22" s="473"/>
      <c r="G22" s="473"/>
      <c r="H22" s="473"/>
      <c r="I22" s="536" t="s">
        <v>371</v>
      </c>
      <c r="J22" s="536"/>
      <c r="K22" s="537"/>
      <c r="L22" s="538"/>
      <c r="M22" s="537">
        <f>SUM(M16:M20)</f>
        <v>1728223.0189948105</v>
      </c>
      <c r="N22" s="473"/>
      <c r="O22" s="473"/>
      <c r="Q22" s="536" t="s">
        <v>371</v>
      </c>
      <c r="R22" s="536"/>
      <c r="S22" s="537"/>
      <c r="T22" s="538"/>
      <c r="U22" s="537">
        <f>SUM(U16:U20)</f>
        <v>2004960.6785825782</v>
      </c>
      <c r="V22" s="473"/>
      <c r="W22" s="473"/>
      <c r="X22" s="473"/>
      <c r="Y22" s="536" t="s">
        <v>371</v>
      </c>
      <c r="Z22" s="536"/>
      <c r="AA22" s="537"/>
      <c r="AB22" s="538"/>
      <c r="AC22" s="537">
        <f>SUM(AC16:AC20)</f>
        <v>2422447.9142000219</v>
      </c>
      <c r="AD22" s="473"/>
      <c r="AE22" s="473"/>
      <c r="AF22" s="473"/>
      <c r="AG22" s="473"/>
      <c r="AH22" s="549" t="s">
        <v>284</v>
      </c>
      <c r="AJ22" s="724">
        <f>'Rate Options'!AJ22</f>
        <v>0.75</v>
      </c>
      <c r="AK22" s="724">
        <f>'Rate Options'!AK22</f>
        <v>0.9</v>
      </c>
      <c r="AL22" s="724">
        <f>'Rate Options'!AL22</f>
        <v>1</v>
      </c>
      <c r="AM22" s="565">
        <v>1.5</v>
      </c>
    </row>
    <row r="23" spans="1:41" x14ac:dyDescent="0.2">
      <c r="A23" s="463" t="s">
        <v>286</v>
      </c>
      <c r="C23" s="567" t="e">
        <f>$AJ$39</f>
        <v>#REF!</v>
      </c>
      <c r="D23" s="522"/>
      <c r="E23" s="466" t="e">
        <f>C23*E22</f>
        <v>#REF!</v>
      </c>
      <c r="F23" s="564"/>
      <c r="G23" s="564"/>
      <c r="H23" s="468"/>
      <c r="I23" s="463" t="s">
        <v>286</v>
      </c>
      <c r="J23" s="463"/>
      <c r="K23" s="567" t="e">
        <f>$AJ$39</f>
        <v>#REF!</v>
      </c>
      <c r="L23" s="522"/>
      <c r="M23" s="466" t="e">
        <f>K23*M22</f>
        <v>#REF!</v>
      </c>
      <c r="Q23" s="463" t="s">
        <v>286</v>
      </c>
      <c r="R23" s="463"/>
      <c r="S23" s="567" t="e">
        <f>$AJ$39</f>
        <v>#REF!</v>
      </c>
      <c r="T23" s="522"/>
      <c r="U23" s="466" t="e">
        <f>S23*U22</f>
        <v>#REF!</v>
      </c>
      <c r="X23" s="468"/>
      <c r="Y23" s="463" t="s">
        <v>286</v>
      </c>
      <c r="Z23" s="463"/>
      <c r="AA23" s="567" t="e">
        <f>$AJ$39</f>
        <v>#REF!</v>
      </c>
      <c r="AB23" s="522"/>
      <c r="AC23" s="466" t="e">
        <f>AA23*AC22</f>
        <v>#REF!</v>
      </c>
      <c r="AH23" s="549" t="s">
        <v>285</v>
      </c>
      <c r="AJ23" s="726">
        <v>3</v>
      </c>
      <c r="AK23" s="561">
        <v>3</v>
      </c>
      <c r="AL23" s="561">
        <v>3</v>
      </c>
      <c r="AM23" s="565">
        <v>4</v>
      </c>
    </row>
    <row r="24" spans="1:41" s="487" customFormat="1" ht="15" customHeight="1" thickBot="1" x14ac:dyDescent="0.25">
      <c r="A24" s="568" t="s">
        <v>288</v>
      </c>
      <c r="B24" s="568"/>
      <c r="C24" s="569"/>
      <c r="D24" s="570"/>
      <c r="E24" s="571" t="e">
        <f>ROUND(SUM(E22:E23),2)</f>
        <v>#REF!</v>
      </c>
      <c r="F24" s="473"/>
      <c r="G24" s="473"/>
      <c r="H24" s="473"/>
      <c r="I24" s="568" t="s">
        <v>288</v>
      </c>
      <c r="J24" s="568"/>
      <c r="K24" s="569"/>
      <c r="L24" s="570"/>
      <c r="M24" s="571" t="e">
        <f>ROUND(SUM(M22:M23),2)</f>
        <v>#REF!</v>
      </c>
      <c r="N24" s="473"/>
      <c r="O24" s="473"/>
      <c r="Q24" s="568" t="s">
        <v>288</v>
      </c>
      <c r="R24" s="568"/>
      <c r="S24" s="569"/>
      <c r="T24" s="570"/>
      <c r="U24" s="571" t="e">
        <f>ROUND(SUM(U22:U23),2)</f>
        <v>#REF!</v>
      </c>
      <c r="V24" s="473"/>
      <c r="W24" s="473"/>
      <c r="X24" s="473"/>
      <c r="Y24" s="568" t="s">
        <v>288</v>
      </c>
      <c r="Z24" s="568"/>
      <c r="AA24" s="569"/>
      <c r="AB24" s="570"/>
      <c r="AC24" s="571" t="e">
        <f>ROUND(SUM(AC22:AC23),2)</f>
        <v>#REF!</v>
      </c>
      <c r="AD24" s="473"/>
      <c r="AE24" s="473"/>
      <c r="AF24" s="473"/>
      <c r="AG24" s="473"/>
      <c r="AH24" s="549"/>
      <c r="AI24" s="468"/>
      <c r="AJ24" s="561"/>
      <c r="AK24" s="561"/>
      <c r="AL24" s="561"/>
      <c r="AM24" s="565"/>
    </row>
    <row r="25" spans="1:41" s="487" customFormat="1" ht="13.5" thickTop="1" x14ac:dyDescent="0.2">
      <c r="A25" s="541"/>
      <c r="B25" s="541"/>
      <c r="C25" s="542"/>
      <c r="D25" s="572"/>
      <c r="E25" s="542"/>
      <c r="F25" s="542"/>
      <c r="G25" s="542"/>
      <c r="H25" s="544"/>
      <c r="I25" s="541"/>
      <c r="J25" s="541"/>
      <c r="K25" s="542"/>
      <c r="L25" s="572"/>
      <c r="M25" s="542"/>
      <c r="N25" s="544"/>
      <c r="O25" s="544"/>
      <c r="Q25" s="541"/>
      <c r="R25" s="541"/>
      <c r="S25" s="542"/>
      <c r="T25" s="572"/>
      <c r="U25" s="542"/>
      <c r="V25" s="544"/>
      <c r="W25" s="544"/>
      <c r="X25" s="544"/>
      <c r="Y25" s="541"/>
      <c r="Z25" s="541"/>
      <c r="AA25" s="542"/>
      <c r="AB25" s="572"/>
      <c r="AC25" s="542"/>
      <c r="AD25" s="544"/>
      <c r="AE25" s="544"/>
      <c r="AF25" s="544"/>
      <c r="AG25" s="544"/>
      <c r="AH25" s="549"/>
      <c r="AI25" s="468"/>
      <c r="AJ25" s="1148" t="s">
        <v>287</v>
      </c>
      <c r="AK25" s="1148"/>
      <c r="AL25" s="1148"/>
      <c r="AM25" s="1149"/>
      <c r="AO25" s="573"/>
    </row>
    <row r="26" spans="1:41" s="577" customFormat="1" ht="13.15" customHeight="1" x14ac:dyDescent="0.2">
      <c r="A26" s="574" t="s">
        <v>289</v>
      </c>
      <c r="B26" s="574"/>
      <c r="C26" s="575"/>
      <c r="D26" s="575"/>
      <c r="E26" s="576" t="e">
        <f>E24/E3</f>
        <v>#REF!</v>
      </c>
      <c r="F26" s="577" t="s">
        <v>395</v>
      </c>
      <c r="G26" s="1128" t="s">
        <v>396</v>
      </c>
      <c r="H26" s="578"/>
      <c r="I26" s="574" t="s">
        <v>289</v>
      </c>
      <c r="J26" s="574"/>
      <c r="K26" s="575"/>
      <c r="L26" s="575"/>
      <c r="M26" s="576" t="e">
        <f>M24/M3</f>
        <v>#REF!</v>
      </c>
      <c r="O26" s="1128" t="s">
        <v>396</v>
      </c>
      <c r="Q26" s="574" t="s">
        <v>289</v>
      </c>
      <c r="R26" s="574"/>
      <c r="S26" s="575"/>
      <c r="T26" s="575"/>
      <c r="U26" s="576" t="e">
        <f>U24/U3</f>
        <v>#REF!</v>
      </c>
      <c r="W26" s="1128" t="s">
        <v>396</v>
      </c>
      <c r="Y26" s="574" t="s">
        <v>289</v>
      </c>
      <c r="Z26" s="574"/>
      <c r="AA26" s="575"/>
      <c r="AB26" s="575"/>
      <c r="AC26" s="576" t="e">
        <f>AC24/AC3</f>
        <v>#REF!</v>
      </c>
      <c r="AE26" s="1128" t="s">
        <v>396</v>
      </c>
      <c r="AH26" s="549"/>
      <c r="AI26" s="555" t="s">
        <v>281</v>
      </c>
      <c r="AJ26" s="556" t="s">
        <v>339</v>
      </c>
      <c r="AK26" s="557" t="s">
        <v>340</v>
      </c>
      <c r="AL26" s="558" t="s">
        <v>263</v>
      </c>
      <c r="AM26" s="559" t="s">
        <v>303</v>
      </c>
    </row>
    <row r="27" spans="1:41" s="577" customFormat="1" ht="13.5" thickBot="1" x14ac:dyDescent="0.25">
      <c r="A27" s="574" t="s">
        <v>290</v>
      </c>
      <c r="B27" s="574"/>
      <c r="C27" s="579">
        <f>$AK$40</f>
        <v>4.4640068153077195E-2</v>
      </c>
      <c r="D27" s="575"/>
      <c r="E27" s="576"/>
      <c r="F27" s="464"/>
      <c r="G27" s="1137"/>
      <c r="H27" s="578"/>
      <c r="I27" s="574" t="s">
        <v>290</v>
      </c>
      <c r="J27" s="574"/>
      <c r="K27" s="579">
        <f>$AK$40</f>
        <v>4.4640068153077195E-2</v>
      </c>
      <c r="L27" s="575"/>
      <c r="M27" s="576"/>
      <c r="N27" s="464" t="s">
        <v>291</v>
      </c>
      <c r="O27" s="1137"/>
      <c r="Q27" s="574" t="s">
        <v>290</v>
      </c>
      <c r="R27" s="574"/>
      <c r="S27" s="579">
        <f>$AK$40</f>
        <v>4.4640068153077195E-2</v>
      </c>
      <c r="T27" s="575"/>
      <c r="U27" s="576"/>
      <c r="V27" s="464" t="s">
        <v>291</v>
      </c>
      <c r="W27" s="1137"/>
      <c r="X27" s="464"/>
      <c r="Y27" s="574" t="s">
        <v>290</v>
      </c>
      <c r="Z27" s="574"/>
      <c r="AA27" s="579">
        <f>$AK$40</f>
        <v>4.4640068153077195E-2</v>
      </c>
      <c r="AB27" s="575"/>
      <c r="AC27" s="576"/>
      <c r="AD27" s="464" t="s">
        <v>291</v>
      </c>
      <c r="AE27" s="1137"/>
      <c r="AF27" s="464"/>
      <c r="AG27" s="464"/>
      <c r="AH27" s="580" t="s">
        <v>275</v>
      </c>
      <c r="AI27" s="468"/>
      <c r="AJ27" s="727">
        <v>0.67727547626247397</v>
      </c>
      <c r="AK27" s="724">
        <v>0.79679467795585102</v>
      </c>
      <c r="AL27" s="724">
        <v>0.84659434532809197</v>
      </c>
      <c r="AM27" s="725">
        <v>0.88045811914121597</v>
      </c>
    </row>
    <row r="28" spans="1:41" x14ac:dyDescent="0.2">
      <c r="A28" s="581" t="s">
        <v>292</v>
      </c>
      <c r="B28" s="531"/>
      <c r="C28" s="582">
        <v>0.9</v>
      </c>
      <c r="D28" s="478"/>
      <c r="E28" s="583">
        <v>480.01</v>
      </c>
      <c r="F28" s="583">
        <v>480.01</v>
      </c>
      <c r="G28" s="743" t="e">
        <f>F28*(#REF!+1)</f>
        <v>#REF!</v>
      </c>
      <c r="I28" s="581" t="s">
        <v>292</v>
      </c>
      <c r="J28" s="531"/>
      <c r="K28" s="582">
        <v>0.9</v>
      </c>
      <c r="L28" s="478"/>
      <c r="M28" s="583" t="e">
        <f t="shared" ref="M28:M36" si="0">M$24/(M$3*K28)</f>
        <v>#REF!</v>
      </c>
      <c r="N28" s="584">
        <v>405.58</v>
      </c>
      <c r="O28" s="743" t="e">
        <f>N28*(#REF!+1)</f>
        <v>#REF!</v>
      </c>
      <c r="Q28" s="581" t="s">
        <v>292</v>
      </c>
      <c r="R28" s="531"/>
      <c r="S28" s="582">
        <v>0.9</v>
      </c>
      <c r="T28" s="478"/>
      <c r="U28" s="583" t="e">
        <f t="shared" ref="U28:U36" si="1">U$24/(U$3*S28)</f>
        <v>#REF!</v>
      </c>
      <c r="V28" s="584">
        <v>364.65</v>
      </c>
      <c r="W28" s="743" t="e">
        <f>V28*(#REF!+1)</f>
        <v>#REF!</v>
      </c>
      <c r="X28" s="468"/>
      <c r="Y28" s="581" t="s">
        <v>292</v>
      </c>
      <c r="Z28" s="531"/>
      <c r="AA28" s="582">
        <v>0.9</v>
      </c>
      <c r="AB28" s="478"/>
      <c r="AC28" s="583" t="e">
        <f t="shared" ref="AC28:AC36" si="2">AC$24/(AC$3*AA28)</f>
        <v>#REF!</v>
      </c>
      <c r="AD28" s="584">
        <v>352.47</v>
      </c>
      <c r="AE28" s="743" t="e">
        <f>AD28*(#REF!+1)</f>
        <v>#REF!</v>
      </c>
      <c r="AF28" s="576"/>
      <c r="AG28" s="576"/>
      <c r="AH28" s="580"/>
      <c r="AJ28" s="561"/>
      <c r="AK28" s="561"/>
      <c r="AL28" s="561"/>
      <c r="AM28" s="565"/>
    </row>
    <row r="29" spans="1:41" x14ac:dyDescent="0.2">
      <c r="A29" s="585"/>
      <c r="B29" s="464"/>
      <c r="C29" s="586">
        <v>0.85</v>
      </c>
      <c r="D29" s="468"/>
      <c r="E29" s="576">
        <v>508.24</v>
      </c>
      <c r="F29" s="576">
        <v>508.24</v>
      </c>
      <c r="G29" s="743" t="e">
        <f>F29*(#REF!+1)</f>
        <v>#REF!</v>
      </c>
      <c r="I29" s="585"/>
      <c r="J29" s="464"/>
      <c r="K29" s="586">
        <v>0.85</v>
      </c>
      <c r="L29" s="468"/>
      <c r="M29" s="576" t="e">
        <f t="shared" si="0"/>
        <v>#REF!</v>
      </c>
      <c r="N29" s="587">
        <v>429.44</v>
      </c>
      <c r="O29" s="743" t="e">
        <f>N29*(#REF!+1)</f>
        <v>#REF!</v>
      </c>
      <c r="Q29" s="585"/>
      <c r="R29" s="464"/>
      <c r="S29" s="586">
        <v>0.85</v>
      </c>
      <c r="T29" s="468"/>
      <c r="U29" s="576" t="e">
        <f t="shared" si="1"/>
        <v>#REF!</v>
      </c>
      <c r="V29" s="587">
        <v>386.11</v>
      </c>
      <c r="W29" s="743" t="e">
        <f>V29*(#REF!+1)</f>
        <v>#REF!</v>
      </c>
      <c r="X29" s="468"/>
      <c r="Y29" s="585"/>
      <c r="Z29" s="464"/>
      <c r="AA29" s="586">
        <v>0.85</v>
      </c>
      <c r="AB29" s="468"/>
      <c r="AC29" s="576" t="e">
        <f t="shared" si="2"/>
        <v>#REF!</v>
      </c>
      <c r="AD29" s="587">
        <v>373.2</v>
      </c>
      <c r="AE29" s="743" t="e">
        <f>AD29*(#REF!+1)</f>
        <v>#REF!</v>
      </c>
      <c r="AF29" s="576"/>
      <c r="AG29" s="576"/>
      <c r="AH29" s="588" t="s">
        <v>278</v>
      </c>
      <c r="AI29" s="589"/>
      <c r="AK29" s="464"/>
      <c r="AL29" s="464"/>
      <c r="AM29" s="535"/>
    </row>
    <row r="30" spans="1:41" x14ac:dyDescent="0.2">
      <c r="A30" s="585"/>
      <c r="B30" s="464"/>
      <c r="C30" s="586">
        <v>0.8</v>
      </c>
      <c r="D30" s="468"/>
      <c r="E30" s="576">
        <v>540.01</v>
      </c>
      <c r="F30" s="576">
        <v>540.01</v>
      </c>
      <c r="G30" s="743" t="e">
        <f>F30*(#REF!+1)</f>
        <v>#REF!</v>
      </c>
      <c r="I30" s="585"/>
      <c r="J30" s="464"/>
      <c r="K30" s="586">
        <v>0.8</v>
      </c>
      <c r="L30" s="468"/>
      <c r="M30" s="576" t="e">
        <f t="shared" si="0"/>
        <v>#REF!</v>
      </c>
      <c r="N30" s="587">
        <v>456.28</v>
      </c>
      <c r="O30" s="743" t="e">
        <f>N30*(#REF!+1)</f>
        <v>#REF!</v>
      </c>
      <c r="Q30" s="585"/>
      <c r="R30" s="464"/>
      <c r="S30" s="586">
        <v>0.8</v>
      </c>
      <c r="T30" s="468"/>
      <c r="U30" s="576" t="e">
        <f t="shared" si="1"/>
        <v>#REF!</v>
      </c>
      <c r="V30" s="587">
        <v>410.24</v>
      </c>
      <c r="W30" s="743" t="e">
        <f>V30*(#REF!+1)</f>
        <v>#REF!</v>
      </c>
      <c r="X30" s="468"/>
      <c r="Y30" s="585"/>
      <c r="Z30" s="464"/>
      <c r="AA30" s="586">
        <v>0.8</v>
      </c>
      <c r="AB30" s="468"/>
      <c r="AC30" s="576" t="e">
        <f t="shared" si="2"/>
        <v>#REF!</v>
      </c>
      <c r="AD30" s="587">
        <v>396.53</v>
      </c>
      <c r="AE30" s="743" t="e">
        <f>AD30*(#REF!+1)</f>
        <v>#REF!</v>
      </c>
      <c r="AF30" s="576"/>
      <c r="AG30" s="576"/>
      <c r="AH30" s="590" t="s">
        <v>280</v>
      </c>
      <c r="AI30" s="464"/>
      <c r="AJ30" s="591">
        <f>'Rate Options'!AJ30</f>
        <v>0.25578770213785851</v>
      </c>
      <c r="AK30" s="579"/>
      <c r="AL30" s="464"/>
      <c r="AM30" s="535"/>
    </row>
    <row r="31" spans="1:41" x14ac:dyDescent="0.2">
      <c r="A31" s="585"/>
      <c r="B31" s="464"/>
      <c r="C31" s="586">
        <v>0.75</v>
      </c>
      <c r="D31" s="468"/>
      <c r="E31" s="576">
        <v>576.01</v>
      </c>
      <c r="F31" s="576">
        <v>576.01</v>
      </c>
      <c r="G31" s="743" t="e">
        <f>F31*(#REF!+1)</f>
        <v>#REF!</v>
      </c>
      <c r="I31" s="585"/>
      <c r="J31" s="464"/>
      <c r="K31" s="586">
        <v>0.75</v>
      </c>
      <c r="L31" s="468"/>
      <c r="M31" s="576" t="e">
        <f t="shared" si="0"/>
        <v>#REF!</v>
      </c>
      <c r="N31" s="587">
        <v>486.7</v>
      </c>
      <c r="O31" s="743" t="e">
        <f>N31*(#REF!+1)</f>
        <v>#REF!</v>
      </c>
      <c r="Q31" s="585"/>
      <c r="R31" s="464"/>
      <c r="S31" s="586">
        <v>0.75</v>
      </c>
      <c r="T31" s="468"/>
      <c r="U31" s="576" t="e">
        <f t="shared" si="1"/>
        <v>#REF!</v>
      </c>
      <c r="V31" s="587">
        <v>437.59</v>
      </c>
      <c r="W31" s="743" t="e">
        <f>V31*(#REF!+1)</f>
        <v>#REF!</v>
      </c>
      <c r="X31" s="468"/>
      <c r="Y31" s="585"/>
      <c r="Z31" s="464"/>
      <c r="AA31" s="586">
        <v>0.75</v>
      </c>
      <c r="AB31" s="468"/>
      <c r="AC31" s="576" t="e">
        <f t="shared" si="2"/>
        <v>#REF!</v>
      </c>
      <c r="AD31" s="587">
        <v>422.97</v>
      </c>
      <c r="AE31" s="743" t="e">
        <f>AD31*(#REF!+1)</f>
        <v>#REF!</v>
      </c>
      <c r="AF31" s="576"/>
      <c r="AG31" s="576"/>
      <c r="AH31" s="489"/>
      <c r="AI31" s="464"/>
      <c r="AK31" s="592"/>
      <c r="AL31" s="464"/>
      <c r="AM31" s="535"/>
    </row>
    <row r="32" spans="1:41" x14ac:dyDescent="0.2">
      <c r="A32" s="585"/>
      <c r="B32" s="464"/>
      <c r="C32" s="586">
        <v>0.7</v>
      </c>
      <c r="D32" s="468"/>
      <c r="E32" s="576">
        <v>617.15</v>
      </c>
      <c r="F32" s="576">
        <v>617.15</v>
      </c>
      <c r="G32" s="743" t="e">
        <f>F32*(#REF!+1)</f>
        <v>#REF!</v>
      </c>
      <c r="I32" s="585"/>
      <c r="J32" s="464"/>
      <c r="K32" s="586">
        <v>0.7</v>
      </c>
      <c r="L32" s="468"/>
      <c r="M32" s="576" t="e">
        <f t="shared" si="0"/>
        <v>#REF!</v>
      </c>
      <c r="N32" s="587">
        <v>521.46</v>
      </c>
      <c r="O32" s="743" t="e">
        <f>N32*(#REF!+1)</f>
        <v>#REF!</v>
      </c>
      <c r="Q32" s="585"/>
      <c r="R32" s="464"/>
      <c r="S32" s="586">
        <v>0.7</v>
      </c>
      <c r="T32" s="468"/>
      <c r="U32" s="576" t="e">
        <f t="shared" si="1"/>
        <v>#REF!</v>
      </c>
      <c r="V32" s="587">
        <v>468.84</v>
      </c>
      <c r="W32" s="743" t="e">
        <f>V32*(#REF!+1)</f>
        <v>#REF!</v>
      </c>
      <c r="X32" s="468"/>
      <c r="Y32" s="585"/>
      <c r="Z32" s="464"/>
      <c r="AA32" s="586">
        <v>0.7</v>
      </c>
      <c r="AB32" s="468"/>
      <c r="AC32" s="576" t="e">
        <f t="shared" si="2"/>
        <v>#REF!</v>
      </c>
      <c r="AD32" s="587">
        <v>453.18</v>
      </c>
      <c r="AE32" s="743" t="e">
        <f>AD32*(#REF!+1)</f>
        <v>#REF!</v>
      </c>
      <c r="AF32" s="576"/>
      <c r="AG32" s="576"/>
      <c r="AH32" s="489" t="s">
        <v>293</v>
      </c>
      <c r="AI32" s="464"/>
      <c r="AJ32" s="728">
        <f>'Rate Options'!AJ32</f>
        <v>33.069173881278537</v>
      </c>
      <c r="AK32" s="594"/>
      <c r="AL32" s="464"/>
      <c r="AM32" s="535"/>
    </row>
    <row r="33" spans="1:39" x14ac:dyDescent="0.2">
      <c r="A33" s="585"/>
      <c r="B33" s="464"/>
      <c r="C33" s="586">
        <v>0.65</v>
      </c>
      <c r="D33" s="468"/>
      <c r="E33" s="576">
        <v>664.63</v>
      </c>
      <c r="F33" s="576">
        <v>664.63</v>
      </c>
      <c r="G33" s="743" t="e">
        <f>F33*(#REF!+1)</f>
        <v>#REF!</v>
      </c>
      <c r="I33" s="585"/>
      <c r="J33" s="464"/>
      <c r="K33" s="586">
        <v>0.65</v>
      </c>
      <c r="L33" s="468"/>
      <c r="M33" s="576" t="e">
        <f t="shared" si="0"/>
        <v>#REF!</v>
      </c>
      <c r="N33" s="587">
        <v>561.57000000000005</v>
      </c>
      <c r="O33" s="743" t="e">
        <f>N33*(#REF!+1)</f>
        <v>#REF!</v>
      </c>
      <c r="Q33" s="585"/>
      <c r="R33" s="464"/>
      <c r="S33" s="586">
        <v>0.65</v>
      </c>
      <c r="T33" s="468"/>
      <c r="U33" s="576" t="e">
        <f t="shared" si="1"/>
        <v>#REF!</v>
      </c>
      <c r="V33" s="587">
        <v>504.91</v>
      </c>
      <c r="W33" s="743" t="e">
        <f>V33*(#REF!+1)</f>
        <v>#REF!</v>
      </c>
      <c r="X33" s="468"/>
      <c r="Y33" s="585"/>
      <c r="Z33" s="464"/>
      <c r="AA33" s="586">
        <v>0.65</v>
      </c>
      <c r="AB33" s="468"/>
      <c r="AC33" s="576" t="e">
        <f t="shared" si="2"/>
        <v>#REF!</v>
      </c>
      <c r="AD33" s="587">
        <v>488.04</v>
      </c>
      <c r="AE33" s="743" t="e">
        <f>AD33*(#REF!+1)</f>
        <v>#REF!</v>
      </c>
      <c r="AF33" s="576"/>
      <c r="AG33" s="576"/>
      <c r="AH33" s="489" t="s">
        <v>294</v>
      </c>
      <c r="AI33" s="464"/>
      <c r="AJ33" s="593">
        <f>'Rate Options'!AJ33</f>
        <v>17.544168616818876</v>
      </c>
      <c r="AK33" s="594"/>
      <c r="AL33" s="464"/>
      <c r="AM33" s="535"/>
    </row>
    <row r="34" spans="1:39" x14ac:dyDescent="0.2">
      <c r="A34" s="585"/>
      <c r="B34" s="464"/>
      <c r="C34" s="586">
        <v>0.6</v>
      </c>
      <c r="D34" s="468"/>
      <c r="E34" s="576">
        <v>720.01</v>
      </c>
      <c r="F34" s="576">
        <v>720.01</v>
      </c>
      <c r="G34" s="743" t="e">
        <f>F34*(#REF!+1)</f>
        <v>#REF!</v>
      </c>
      <c r="I34" s="585"/>
      <c r="J34" s="464"/>
      <c r="K34" s="586">
        <v>0.6</v>
      </c>
      <c r="L34" s="468"/>
      <c r="M34" s="576" t="e">
        <f t="shared" si="0"/>
        <v>#REF!</v>
      </c>
      <c r="N34" s="587">
        <v>608.38</v>
      </c>
      <c r="O34" s="743" t="e">
        <f>N34*(#REF!+1)</f>
        <v>#REF!</v>
      </c>
      <c r="Q34" s="585"/>
      <c r="R34" s="464"/>
      <c r="S34" s="586">
        <v>0.6</v>
      </c>
      <c r="T34" s="468"/>
      <c r="U34" s="576" t="e">
        <f t="shared" si="1"/>
        <v>#REF!</v>
      </c>
      <c r="V34" s="587">
        <v>546.99</v>
      </c>
      <c r="W34" s="743" t="e">
        <f>V34*(#REF!+1)</f>
        <v>#REF!</v>
      </c>
      <c r="X34" s="468"/>
      <c r="Y34" s="585"/>
      <c r="Z34" s="464"/>
      <c r="AA34" s="586">
        <v>0.6</v>
      </c>
      <c r="AB34" s="468"/>
      <c r="AC34" s="576" t="e">
        <f t="shared" si="2"/>
        <v>#REF!</v>
      </c>
      <c r="AD34" s="587">
        <v>528.71</v>
      </c>
      <c r="AE34" s="743" t="e">
        <f>AD34*(#REF!+1)</f>
        <v>#REF!</v>
      </c>
      <c r="AF34" s="576"/>
      <c r="AG34" s="576"/>
      <c r="AH34" s="489" t="s">
        <v>295</v>
      </c>
      <c r="AI34" s="464"/>
      <c r="AJ34" s="593">
        <f>'Rate Options'!AJ34</f>
        <v>4.8269348195899369</v>
      </c>
      <c r="AK34" s="594"/>
      <c r="AL34" s="464"/>
      <c r="AM34" s="595"/>
    </row>
    <row r="35" spans="1:39" x14ac:dyDescent="0.2">
      <c r="A35" s="585"/>
      <c r="B35" s="464"/>
      <c r="C35" s="586">
        <v>0.55000000000000004</v>
      </c>
      <c r="D35" s="468"/>
      <c r="E35" s="576">
        <v>785.47</v>
      </c>
      <c r="F35" s="576">
        <v>785.47</v>
      </c>
      <c r="G35" s="743" t="e">
        <f>F35*(#REF!+1)</f>
        <v>#REF!</v>
      </c>
      <c r="I35" s="585"/>
      <c r="J35" s="464"/>
      <c r="K35" s="586">
        <v>0.55000000000000004</v>
      </c>
      <c r="L35" s="468"/>
      <c r="M35" s="576" t="e">
        <f t="shared" si="0"/>
        <v>#REF!</v>
      </c>
      <c r="N35" s="587">
        <v>663.68</v>
      </c>
      <c r="O35" s="743" t="e">
        <f>N35*(#REF!+1)</f>
        <v>#REF!</v>
      </c>
      <c r="Q35" s="585"/>
      <c r="R35" s="464"/>
      <c r="S35" s="586">
        <v>0.55000000000000004</v>
      </c>
      <c r="T35" s="468"/>
      <c r="U35" s="576" t="e">
        <f t="shared" si="1"/>
        <v>#REF!</v>
      </c>
      <c r="V35" s="587">
        <v>596.71</v>
      </c>
      <c r="W35" s="743" t="e">
        <f>V35*(#REF!+1)</f>
        <v>#REF!</v>
      </c>
      <c r="X35" s="468"/>
      <c r="Y35" s="585"/>
      <c r="Z35" s="464"/>
      <c r="AA35" s="586">
        <v>0.55000000000000004</v>
      </c>
      <c r="AB35" s="468"/>
      <c r="AC35" s="576" t="e">
        <f t="shared" si="2"/>
        <v>#REF!</v>
      </c>
      <c r="AD35" s="587">
        <v>576.78</v>
      </c>
      <c r="AE35" s="743" t="e">
        <f>AD35*(#REF!+1)</f>
        <v>#REF!</v>
      </c>
      <c r="AF35" s="576"/>
      <c r="AG35" s="576"/>
      <c r="AH35" s="489"/>
      <c r="AI35" s="464"/>
      <c r="AJ35" s="593"/>
      <c r="AK35" s="594"/>
      <c r="AL35" s="464"/>
      <c r="AM35" s="595"/>
    </row>
    <row r="36" spans="1:39" ht="13.5" thickBot="1" x14ac:dyDescent="0.25">
      <c r="A36" s="596"/>
      <c r="B36" s="597"/>
      <c r="C36" s="598">
        <v>0.5</v>
      </c>
      <c r="D36" s="599"/>
      <c r="E36" s="600">
        <v>864.02</v>
      </c>
      <c r="F36" s="600">
        <v>864.02</v>
      </c>
      <c r="G36" s="743" t="e">
        <f>F36*(#REF!+1)</f>
        <v>#REF!</v>
      </c>
      <c r="I36" s="596"/>
      <c r="J36" s="597"/>
      <c r="K36" s="598">
        <v>0.5</v>
      </c>
      <c r="L36" s="599"/>
      <c r="M36" s="600" t="e">
        <f t="shared" si="0"/>
        <v>#REF!</v>
      </c>
      <c r="N36" s="601">
        <v>730.05</v>
      </c>
      <c r="O36" s="743" t="e">
        <f>N36*(#REF!+1)</f>
        <v>#REF!</v>
      </c>
      <c r="Q36" s="596"/>
      <c r="R36" s="597"/>
      <c r="S36" s="598">
        <v>0.5</v>
      </c>
      <c r="T36" s="599"/>
      <c r="U36" s="600" t="e">
        <f t="shared" si="1"/>
        <v>#REF!</v>
      </c>
      <c r="V36" s="601">
        <v>656.38</v>
      </c>
      <c r="W36" s="743" t="e">
        <f>V36*(#REF!+1)</f>
        <v>#REF!</v>
      </c>
      <c r="X36" s="468"/>
      <c r="Y36" s="596"/>
      <c r="Z36" s="597"/>
      <c r="AA36" s="598">
        <v>0.5</v>
      </c>
      <c r="AB36" s="599"/>
      <c r="AC36" s="600" t="e">
        <f t="shared" si="2"/>
        <v>#REF!</v>
      </c>
      <c r="AD36" s="601">
        <v>634.46</v>
      </c>
      <c r="AE36" s="743" t="e">
        <f>AD36*(#REF!+1)</f>
        <v>#REF!</v>
      </c>
      <c r="AF36" s="576"/>
      <c r="AG36" s="576"/>
      <c r="AH36" s="489" t="s">
        <v>283</v>
      </c>
      <c r="AI36" s="464"/>
      <c r="AJ36" s="729">
        <f>'Rate Options'!AJ36</f>
        <v>16.772324588891873</v>
      </c>
      <c r="AK36" s="594"/>
      <c r="AL36" s="464"/>
      <c r="AM36" s="595"/>
    </row>
    <row r="37" spans="1:39" x14ac:dyDescent="0.2">
      <c r="I37" s="463"/>
      <c r="J37" s="463"/>
      <c r="K37" s="463"/>
      <c r="L37" s="463"/>
      <c r="M37" s="463"/>
      <c r="N37" s="463"/>
      <c r="O37" s="463"/>
      <c r="Q37" s="463"/>
      <c r="R37" s="463"/>
      <c r="S37" s="463"/>
      <c r="T37" s="463"/>
      <c r="U37" s="463"/>
      <c r="V37" s="463"/>
      <c r="W37" s="463"/>
      <c r="X37" s="463"/>
      <c r="Y37" s="463"/>
      <c r="Z37" s="463"/>
      <c r="AA37" s="463"/>
      <c r="AB37" s="463"/>
      <c r="AC37" s="463"/>
      <c r="AD37" s="463"/>
      <c r="AE37" s="463"/>
      <c r="AF37" s="463"/>
      <c r="AG37" s="463"/>
      <c r="AH37" s="602"/>
      <c r="AI37" s="603"/>
      <c r="AJ37" s="730"/>
      <c r="AK37" s="594"/>
      <c r="AL37" s="464"/>
      <c r="AM37" s="535"/>
    </row>
    <row r="38" spans="1:39" ht="13.5" thickBot="1" x14ac:dyDescent="0.25">
      <c r="AH38" s="549"/>
      <c r="AI38" s="604"/>
      <c r="AJ38" s="731"/>
      <c r="AK38" s="732"/>
      <c r="AL38" s="607"/>
      <c r="AM38" s="535"/>
    </row>
    <row r="39" spans="1:39" ht="13.5" thickBot="1" x14ac:dyDescent="0.25">
      <c r="A39" s="462" t="s">
        <v>297</v>
      </c>
      <c r="V39" s="608"/>
      <c r="W39" s="608"/>
      <c r="AD39" s="608"/>
      <c r="AE39" s="608"/>
      <c r="AF39" s="608"/>
      <c r="AG39" s="608"/>
      <c r="AH39" s="489" t="s">
        <v>286</v>
      </c>
      <c r="AI39" s="464"/>
      <c r="AJ39" s="591" t="e">
        <f>'Rate Options'!AJ42</f>
        <v>#REF!</v>
      </c>
      <c r="AK39" s="609"/>
      <c r="AL39" s="607"/>
      <c r="AM39" s="535"/>
    </row>
    <row r="40" spans="1:39" ht="13.5" thickBot="1" x14ac:dyDescent="0.25">
      <c r="A40" s="469"/>
      <c r="B40" s="465"/>
      <c r="C40" s="470" t="s">
        <v>255</v>
      </c>
      <c r="D40" s="471"/>
      <c r="E40" s="472"/>
      <c r="F40" s="472"/>
      <c r="G40" s="472"/>
      <c r="H40" s="473"/>
      <c r="K40" s="470" t="s">
        <v>256</v>
      </c>
      <c r="L40" s="471"/>
      <c r="M40" s="472"/>
      <c r="N40" s="472"/>
      <c r="O40" s="472"/>
      <c r="Q40" s="469"/>
      <c r="R40" s="465"/>
      <c r="S40" s="470" t="s">
        <v>257</v>
      </c>
      <c r="T40" s="471"/>
      <c r="U40" s="472"/>
      <c r="V40" s="473"/>
      <c r="W40" s="473"/>
      <c r="X40" s="473"/>
      <c r="Y40" s="469"/>
      <c r="Z40" s="465"/>
      <c r="AA40" s="470" t="s">
        <v>258</v>
      </c>
      <c r="AB40" s="471"/>
      <c r="AC40" s="472"/>
      <c r="AD40" s="473"/>
      <c r="AE40" s="473"/>
      <c r="AF40" s="473"/>
      <c r="AG40" s="467"/>
      <c r="AH40" s="610" t="s">
        <v>296</v>
      </c>
      <c r="AI40" s="611"/>
      <c r="AJ40" s="733"/>
      <c r="AK40" s="734">
        <f>'Rate Options'!AK43</f>
        <v>4.4640068153077195E-2</v>
      </c>
      <c r="AL40" s="612"/>
      <c r="AM40" s="613"/>
    </row>
    <row r="41" spans="1:39" s="487" customFormat="1" x14ac:dyDescent="0.2">
      <c r="A41" s="480" t="s">
        <v>261</v>
      </c>
      <c r="B41" s="481" t="s">
        <v>339</v>
      </c>
      <c r="C41" s="482" t="s">
        <v>262</v>
      </c>
      <c r="D41" s="483">
        <v>365</v>
      </c>
      <c r="E41" s="484">
        <f>D41*B42</f>
        <v>4380</v>
      </c>
      <c r="F41" s="484"/>
      <c r="G41" s="484"/>
      <c r="H41" s="485"/>
      <c r="I41" s="480" t="s">
        <v>261</v>
      </c>
      <c r="J41" s="486" t="s">
        <v>340</v>
      </c>
      <c r="K41" s="482" t="s">
        <v>262</v>
      </c>
      <c r="L41" s="483">
        <v>365</v>
      </c>
      <c r="M41" s="484">
        <f>J42*L41</f>
        <v>5657.5</v>
      </c>
      <c r="N41" s="484"/>
      <c r="O41" s="484"/>
      <c r="Q41" s="480" t="s">
        <v>261</v>
      </c>
      <c r="R41" s="488" t="s">
        <v>263</v>
      </c>
      <c r="S41" s="482" t="s">
        <v>262</v>
      </c>
      <c r="T41" s="483">
        <v>365</v>
      </c>
      <c r="U41" s="484">
        <f>R42*T41</f>
        <v>7300</v>
      </c>
      <c r="V41" s="485"/>
      <c r="W41" s="485"/>
      <c r="X41" s="485"/>
      <c r="Y41" s="480" t="s">
        <v>261</v>
      </c>
      <c r="Z41" s="488" t="s">
        <v>264</v>
      </c>
      <c r="AA41" s="482" t="s">
        <v>262</v>
      </c>
      <c r="AB41" s="483">
        <v>365</v>
      </c>
      <c r="AC41" s="484">
        <f>Z42*AB41</f>
        <v>9125</v>
      </c>
      <c r="AD41" s="485"/>
      <c r="AE41" s="485"/>
      <c r="AF41" s="485"/>
    </row>
    <row r="42" spans="1:39" s="487" customFormat="1" x14ac:dyDescent="0.2">
      <c r="A42" s="480"/>
      <c r="B42" s="488">
        <v>12</v>
      </c>
      <c r="C42" s="482"/>
      <c r="D42" s="483"/>
      <c r="E42" s="484"/>
      <c r="F42" s="484"/>
      <c r="G42" s="484"/>
      <c r="H42" s="485"/>
      <c r="I42" s="480"/>
      <c r="J42" s="488">
        <v>15.5</v>
      </c>
      <c r="K42" s="482"/>
      <c r="L42" s="483"/>
      <c r="M42" s="484"/>
      <c r="N42" s="484"/>
      <c r="O42" s="484"/>
      <c r="Q42" s="480"/>
      <c r="R42" s="488">
        <v>20</v>
      </c>
      <c r="S42" s="482"/>
      <c r="T42" s="483"/>
      <c r="U42" s="484"/>
      <c r="V42" s="485"/>
      <c r="W42" s="485"/>
      <c r="X42" s="485"/>
      <c r="Y42" s="480"/>
      <c r="Z42" s="488">
        <v>25</v>
      </c>
      <c r="AA42" s="482"/>
      <c r="AB42" s="483"/>
      <c r="AC42" s="484"/>
      <c r="AD42" s="485"/>
      <c r="AE42" s="485"/>
      <c r="AF42" s="485"/>
    </row>
    <row r="43" spans="1:39" s="487" customFormat="1" x14ac:dyDescent="0.2">
      <c r="A43" s="480"/>
      <c r="B43" s="488"/>
      <c r="C43" s="494"/>
      <c r="D43" s="483"/>
      <c r="E43" s="484"/>
      <c r="F43" s="484"/>
      <c r="G43" s="484"/>
      <c r="H43" s="485"/>
      <c r="I43" s="480"/>
      <c r="J43" s="488"/>
      <c r="K43" s="482"/>
      <c r="L43" s="483"/>
      <c r="M43" s="484"/>
      <c r="N43" s="484"/>
      <c r="O43" s="484"/>
      <c r="Q43" s="480"/>
      <c r="R43" s="488"/>
      <c r="S43" s="482"/>
      <c r="T43" s="483"/>
      <c r="U43" s="484"/>
      <c r="V43" s="485"/>
      <c r="W43" s="485"/>
      <c r="X43" s="485"/>
      <c r="Y43" s="480"/>
      <c r="Z43" s="488"/>
      <c r="AA43" s="482"/>
      <c r="AB43" s="483"/>
      <c r="AC43" s="484"/>
      <c r="AD43" s="485"/>
      <c r="AE43" s="485"/>
      <c r="AF43" s="485"/>
      <c r="AG43" s="513"/>
      <c r="AH43" s="614"/>
      <c r="AI43" s="513"/>
      <c r="AJ43" s="513"/>
      <c r="AK43" s="513"/>
    </row>
    <row r="44" spans="1:39" s="501" customFormat="1" ht="28.5" customHeight="1" x14ac:dyDescent="0.2">
      <c r="A44" s="496"/>
      <c r="B44" s="497" t="s">
        <v>269</v>
      </c>
      <c r="C44" s="498" t="s">
        <v>341</v>
      </c>
      <c r="D44" s="499" t="s">
        <v>270</v>
      </c>
      <c r="E44" s="498" t="s">
        <v>342</v>
      </c>
      <c r="F44" s="498"/>
      <c r="G44" s="498"/>
      <c r="H44" s="500"/>
      <c r="I44" s="496"/>
      <c r="J44" s="497" t="s">
        <v>269</v>
      </c>
      <c r="K44" s="498" t="s">
        <v>341</v>
      </c>
      <c r="L44" s="499" t="s">
        <v>270</v>
      </c>
      <c r="M44" s="498" t="s">
        <v>342</v>
      </c>
      <c r="N44" s="498"/>
      <c r="O44" s="498"/>
      <c r="Q44" s="496"/>
      <c r="R44" s="497" t="s">
        <v>269</v>
      </c>
      <c r="S44" s="498" t="s">
        <v>341</v>
      </c>
      <c r="T44" s="499" t="s">
        <v>270</v>
      </c>
      <c r="U44" s="498" t="s">
        <v>342</v>
      </c>
      <c r="V44" s="500"/>
      <c r="W44" s="500"/>
      <c r="X44" s="500"/>
      <c r="Y44" s="496"/>
      <c r="Z44" s="497" t="s">
        <v>269</v>
      </c>
      <c r="AA44" s="498" t="s">
        <v>341</v>
      </c>
      <c r="AB44" s="499" t="s">
        <v>270</v>
      </c>
      <c r="AC44" s="498" t="s">
        <v>342</v>
      </c>
      <c r="AD44" s="500"/>
      <c r="AE44" s="500"/>
      <c r="AF44" s="500"/>
      <c r="AG44" s="615"/>
      <c r="AH44" s="615"/>
      <c r="AI44" s="615"/>
      <c r="AJ44" s="615"/>
      <c r="AK44" s="505"/>
    </row>
    <row r="45" spans="1:39" s="466" customFormat="1" x14ac:dyDescent="0.2">
      <c r="A45" s="507" t="s">
        <v>272</v>
      </c>
      <c r="B45" s="508"/>
      <c r="C45" s="704">
        <f>$AK$11</f>
        <v>59700.570397111915</v>
      </c>
      <c r="D45" s="510">
        <f>AJ18</f>
        <v>2.15</v>
      </c>
      <c r="E45" s="466">
        <f>C45*D45</f>
        <v>128356.22635379061</v>
      </c>
      <c r="H45" s="468"/>
      <c r="I45" s="507" t="s">
        <v>272</v>
      </c>
      <c r="J45" s="508"/>
      <c r="K45" s="704">
        <f>$AK$11</f>
        <v>59700.570397111915</v>
      </c>
      <c r="L45" s="510">
        <f>AK18</f>
        <v>2.15</v>
      </c>
      <c r="M45" s="466">
        <f>K45*L45</f>
        <v>128356.22635379061</v>
      </c>
      <c r="Q45" s="507" t="s">
        <v>272</v>
      </c>
      <c r="R45" s="508"/>
      <c r="S45" s="704">
        <f>$AK$11</f>
        <v>59700.570397111915</v>
      </c>
      <c r="T45" s="510">
        <f>AL18</f>
        <v>2.15</v>
      </c>
      <c r="U45" s="466">
        <f>S45*T45</f>
        <v>128356.22635379061</v>
      </c>
      <c r="V45" s="468"/>
      <c r="W45" s="468"/>
      <c r="X45" s="468"/>
      <c r="Y45" s="507" t="s">
        <v>272</v>
      </c>
      <c r="Z45" s="508"/>
      <c r="AA45" s="704">
        <f>$AK$11</f>
        <v>59700.570397111915</v>
      </c>
      <c r="AB45" s="510">
        <f>AM18</f>
        <v>2.15</v>
      </c>
      <c r="AC45" s="466">
        <f>AA45*AB45</f>
        <v>128356.22635379061</v>
      </c>
      <c r="AD45" s="468"/>
      <c r="AE45" s="468"/>
      <c r="AF45" s="468"/>
      <c r="AG45" s="491"/>
      <c r="AH45" s="468"/>
      <c r="AI45" s="468"/>
      <c r="AJ45" s="468"/>
      <c r="AK45" s="468"/>
    </row>
    <row r="46" spans="1:39" s="466" customFormat="1" x14ac:dyDescent="0.2">
      <c r="A46" s="507" t="s">
        <v>273</v>
      </c>
      <c r="B46" s="508"/>
      <c r="C46" s="704">
        <f>$AK$12</f>
        <v>51947.798987144524</v>
      </c>
      <c r="D46" s="510">
        <f>AJ19</f>
        <v>4</v>
      </c>
      <c r="E46" s="466">
        <f>C46*D46</f>
        <v>207791.1959485781</v>
      </c>
      <c r="H46" s="468"/>
      <c r="I46" s="507" t="s">
        <v>273</v>
      </c>
      <c r="J46" s="508"/>
      <c r="K46" s="704">
        <f>$AK$12</f>
        <v>51947.798987144524</v>
      </c>
      <c r="L46" s="510">
        <f>AK19</f>
        <v>4</v>
      </c>
      <c r="M46" s="466">
        <f>K46*L46</f>
        <v>207791.1959485781</v>
      </c>
      <c r="Q46" s="507" t="s">
        <v>273</v>
      </c>
      <c r="R46" s="508"/>
      <c r="S46" s="704">
        <f>$AK$12</f>
        <v>51947.798987144524</v>
      </c>
      <c r="T46" s="510">
        <f>AL19</f>
        <v>4</v>
      </c>
      <c r="U46" s="466">
        <f>S46*T46</f>
        <v>207791.1959485781</v>
      </c>
      <c r="V46" s="468"/>
      <c r="W46" s="468"/>
      <c r="X46" s="468"/>
      <c r="Y46" s="507" t="s">
        <v>273</v>
      </c>
      <c r="Z46" s="508"/>
      <c r="AA46" s="704">
        <f>$AK$12</f>
        <v>51947.798987144524</v>
      </c>
      <c r="AB46" s="510">
        <f>AM19</f>
        <v>5</v>
      </c>
      <c r="AC46" s="466">
        <f>AA46*AB46</f>
        <v>259738.99493572261</v>
      </c>
      <c r="AD46" s="468"/>
      <c r="AE46" s="468"/>
      <c r="AF46" s="468"/>
      <c r="AG46" s="615"/>
      <c r="AH46" s="491"/>
      <c r="AI46" s="468"/>
      <c r="AJ46" s="468"/>
      <c r="AK46" s="468"/>
    </row>
    <row r="47" spans="1:39" s="523" customFormat="1" x14ac:dyDescent="0.2">
      <c r="A47" s="521" t="s">
        <v>275</v>
      </c>
      <c r="B47" s="708">
        <f>$AJ$27</f>
        <v>0.67727547626247397</v>
      </c>
      <c r="C47" s="704">
        <f>$AK$13</f>
        <v>31102.5</v>
      </c>
      <c r="D47" s="522">
        <f>B42/B47</f>
        <v>17.718048889384963</v>
      </c>
      <c r="E47" s="466">
        <f>C47*D47</f>
        <v>551075.61558209581</v>
      </c>
      <c r="F47" s="466"/>
      <c r="G47" s="466"/>
      <c r="H47" s="468"/>
      <c r="I47" s="521" t="s">
        <v>275</v>
      </c>
      <c r="J47" s="708">
        <f>AK27</f>
        <v>0.79679467795585102</v>
      </c>
      <c r="K47" s="704">
        <f>$AK$13</f>
        <v>31102.5</v>
      </c>
      <c r="L47" s="522">
        <f>J42/J47</f>
        <v>19.452941176470592</v>
      </c>
      <c r="M47" s="466">
        <f>K47*L47</f>
        <v>605035.10294117662</v>
      </c>
      <c r="N47" s="466"/>
      <c r="O47" s="466"/>
      <c r="Q47" s="521" t="s">
        <v>275</v>
      </c>
      <c r="R47" s="708">
        <f>AL27</f>
        <v>0.84659434532809197</v>
      </c>
      <c r="S47" s="704">
        <f>$AK$13</f>
        <v>31102.5</v>
      </c>
      <c r="T47" s="522">
        <f>R42/R47</f>
        <v>23.624065185846632</v>
      </c>
      <c r="U47" s="466">
        <f>S47*T47</f>
        <v>734767.48744279484</v>
      </c>
      <c r="V47" s="468"/>
      <c r="W47" s="468"/>
      <c r="X47" s="468"/>
      <c r="Y47" s="521" t="s">
        <v>275</v>
      </c>
      <c r="Z47" s="522">
        <f>AM27</f>
        <v>0.88045811914121597</v>
      </c>
      <c r="AA47" s="704">
        <f>$AK$13</f>
        <v>31102.5</v>
      </c>
      <c r="AB47" s="522">
        <f>Z42/Z47</f>
        <v>28.394309117604116</v>
      </c>
      <c r="AC47" s="466">
        <f>AA47*AB47</f>
        <v>883133.99933028198</v>
      </c>
      <c r="AD47" s="468"/>
      <c r="AE47" s="468"/>
      <c r="AF47" s="468"/>
      <c r="AG47" s="490"/>
      <c r="AH47" s="491"/>
      <c r="AI47" s="492"/>
      <c r="AJ47" s="492"/>
      <c r="AK47" s="492"/>
    </row>
    <row r="48" spans="1:39" s="523" customFormat="1" x14ac:dyDescent="0.2">
      <c r="A48" s="521" t="s">
        <v>276</v>
      </c>
      <c r="B48" s="522"/>
      <c r="C48" s="704">
        <f>$AK$13</f>
        <v>31102.5</v>
      </c>
      <c r="D48" s="522">
        <f>D47*$AJ$8</f>
        <v>3.4754634359947429</v>
      </c>
      <c r="E48" s="466">
        <f>C48*D48</f>
        <v>108095.60151802649</v>
      </c>
      <c r="F48" s="466"/>
      <c r="G48" s="466"/>
      <c r="H48" s="468"/>
      <c r="I48" s="521" t="s">
        <v>276</v>
      </c>
      <c r="J48" s="522"/>
      <c r="K48" s="704">
        <f>$AK$13</f>
        <v>31102.5</v>
      </c>
      <c r="L48" s="522">
        <f>L47*$AJ$8</f>
        <v>3.8157692307692312</v>
      </c>
      <c r="M48" s="466">
        <f>K48*L48</f>
        <v>118679.96250000001</v>
      </c>
      <c r="N48" s="466"/>
      <c r="O48" s="466"/>
      <c r="Q48" s="521" t="s">
        <v>276</v>
      </c>
      <c r="R48" s="522"/>
      <c r="S48" s="704">
        <f>$AK$13</f>
        <v>31102.5</v>
      </c>
      <c r="T48" s="522">
        <f>T47*$AJ$8</f>
        <v>4.633951247992993</v>
      </c>
      <c r="U48" s="466">
        <f>S48*T48</f>
        <v>144127.46869070205</v>
      </c>
      <c r="V48" s="468"/>
      <c r="W48" s="468"/>
      <c r="X48" s="468"/>
      <c r="Y48" s="521" t="s">
        <v>276</v>
      </c>
      <c r="Z48" s="522"/>
      <c r="AA48" s="704">
        <f>$AK$13</f>
        <v>31102.5</v>
      </c>
      <c r="AB48" s="522">
        <f>AB47*$AJ$8</f>
        <v>5.5696529422992693</v>
      </c>
      <c r="AC48" s="466">
        <f>AA48*AB48</f>
        <v>173230.13063786301</v>
      </c>
      <c r="AD48" s="468"/>
      <c r="AE48" s="468"/>
      <c r="AF48" s="468"/>
      <c r="AG48" s="490"/>
      <c r="AH48" s="491"/>
      <c r="AI48" s="492"/>
      <c r="AJ48" s="492"/>
      <c r="AK48" s="492"/>
    </row>
    <row r="49" spans="1:39" s="466" customFormat="1" x14ac:dyDescent="0.2">
      <c r="A49" s="507" t="s">
        <v>370</v>
      </c>
      <c r="B49" s="522"/>
      <c r="C49" s="509">
        <f>$AK$14</f>
        <v>30600.305857957486</v>
      </c>
      <c r="D49" s="522">
        <f>AJ23</f>
        <v>3</v>
      </c>
      <c r="E49" s="466">
        <f>C49*D49</f>
        <v>91800.917573872459</v>
      </c>
      <c r="H49" s="468"/>
      <c r="I49" s="507" t="s">
        <v>370</v>
      </c>
      <c r="J49" s="522"/>
      <c r="K49" s="704">
        <f>$AK$14</f>
        <v>30600.305857957486</v>
      </c>
      <c r="L49" s="522">
        <f>AK23</f>
        <v>3</v>
      </c>
      <c r="M49" s="466">
        <f>K49*L49</f>
        <v>91800.917573872459</v>
      </c>
      <c r="Q49" s="507" t="s">
        <v>370</v>
      </c>
      <c r="R49" s="522"/>
      <c r="S49" s="704">
        <f>$AK$14</f>
        <v>30600.305857957486</v>
      </c>
      <c r="T49" s="522">
        <f>AL23</f>
        <v>3</v>
      </c>
      <c r="U49" s="466">
        <f>S49*T49</f>
        <v>91800.917573872459</v>
      </c>
      <c r="V49" s="468"/>
      <c r="W49" s="468"/>
      <c r="X49" s="468"/>
      <c r="Y49" s="507" t="s">
        <v>370</v>
      </c>
      <c r="Z49" s="522"/>
      <c r="AA49" s="704">
        <f>$AK$14</f>
        <v>30600.305857957486</v>
      </c>
      <c r="AB49" s="522">
        <f>AM23</f>
        <v>4</v>
      </c>
      <c r="AC49" s="466">
        <f>AA49*AB49</f>
        <v>122401.22343182995</v>
      </c>
      <c r="AD49" s="468"/>
      <c r="AE49" s="468"/>
      <c r="AF49" s="468"/>
      <c r="AG49" s="490"/>
      <c r="AH49" s="491"/>
      <c r="AI49" s="468"/>
      <c r="AJ49" s="468"/>
      <c r="AK49" s="468"/>
    </row>
    <row r="50" spans="1:39" s="487" customFormat="1" x14ac:dyDescent="0.2">
      <c r="A50" s="536" t="s">
        <v>277</v>
      </c>
      <c r="B50" s="536"/>
      <c r="C50" s="537"/>
      <c r="D50" s="538">
        <f>SUM(D45:D49)</f>
        <v>30.343512325379709</v>
      </c>
      <c r="E50" s="537">
        <f>SUM(E45:E49)</f>
        <v>1087119.5569763635</v>
      </c>
      <c r="F50" s="473"/>
      <c r="G50" s="473"/>
      <c r="H50" s="473"/>
      <c r="I50" s="536" t="s">
        <v>277</v>
      </c>
      <c r="J50" s="536"/>
      <c r="K50" s="537"/>
      <c r="L50" s="538">
        <f>SUM(L45:L49)</f>
        <v>32.418710407239828</v>
      </c>
      <c r="M50" s="537">
        <f>SUM(M45:M49)</f>
        <v>1151663.4053174178</v>
      </c>
      <c r="N50" s="473"/>
      <c r="O50" s="473"/>
      <c r="Q50" s="536" t="s">
        <v>277</v>
      </c>
      <c r="R50" s="536"/>
      <c r="S50" s="537"/>
      <c r="T50" s="538">
        <f>SUM(T45:T49)</f>
        <v>37.40801643383962</v>
      </c>
      <c r="U50" s="537">
        <f>SUM(U45:U49)</f>
        <v>1306843.296009738</v>
      </c>
      <c r="V50" s="473"/>
      <c r="W50" s="473"/>
      <c r="X50" s="473"/>
      <c r="Y50" s="536" t="s">
        <v>277</v>
      </c>
      <c r="Z50" s="536"/>
      <c r="AA50" s="537"/>
      <c r="AB50" s="538">
        <f>SUM(AB45:AB49)</f>
        <v>45.113962059903386</v>
      </c>
      <c r="AC50" s="537">
        <f>SUM(AC45:AC49)</f>
        <v>1566860.5746894879</v>
      </c>
      <c r="AD50" s="473"/>
      <c r="AE50" s="473"/>
      <c r="AF50" s="473"/>
      <c r="AG50" s="490"/>
      <c r="AH50" s="491"/>
      <c r="AI50" s="513"/>
      <c r="AJ50" s="513"/>
      <c r="AK50" s="513"/>
    </row>
    <row r="51" spans="1:39" s="487" customFormat="1" x14ac:dyDescent="0.2">
      <c r="A51" s="513"/>
      <c r="B51" s="513"/>
      <c r="C51" s="473"/>
      <c r="D51" s="539"/>
      <c r="E51" s="473"/>
      <c r="F51" s="473"/>
      <c r="G51" s="473"/>
      <c r="H51" s="473"/>
      <c r="I51" s="513"/>
      <c r="J51" s="513"/>
      <c r="K51" s="473"/>
      <c r="L51" s="539"/>
      <c r="M51" s="473"/>
      <c r="N51" s="473"/>
      <c r="O51" s="473"/>
      <c r="Q51" s="513"/>
      <c r="R51" s="513"/>
      <c r="S51" s="473"/>
      <c r="T51" s="539"/>
      <c r="U51" s="473"/>
      <c r="V51" s="473"/>
      <c r="W51" s="473"/>
      <c r="X51" s="473"/>
      <c r="Y51" s="513"/>
      <c r="Z51" s="513"/>
      <c r="AA51" s="473"/>
      <c r="AB51" s="539"/>
      <c r="AC51" s="473"/>
      <c r="AD51" s="473"/>
      <c r="AE51" s="473"/>
      <c r="AF51" s="473"/>
      <c r="AG51" s="490"/>
      <c r="AH51" s="491"/>
      <c r="AI51" s="513"/>
      <c r="AJ51" s="513"/>
      <c r="AK51" s="513"/>
    </row>
    <row r="52" spans="1:39" s="487" customFormat="1" x14ac:dyDescent="0.2">
      <c r="A52" s="541" t="s">
        <v>278</v>
      </c>
      <c r="B52" s="541"/>
      <c r="C52" s="542"/>
      <c r="D52" s="543" t="s">
        <v>279</v>
      </c>
      <c r="E52" s="542"/>
      <c r="F52" s="542"/>
      <c r="G52" s="542"/>
      <c r="H52" s="544"/>
      <c r="I52" s="541" t="s">
        <v>278</v>
      </c>
      <c r="J52" s="541"/>
      <c r="K52" s="542"/>
      <c r="L52" s="543" t="s">
        <v>279</v>
      </c>
      <c r="M52" s="542"/>
      <c r="N52" s="542"/>
      <c r="O52" s="542"/>
      <c r="Q52" s="541" t="s">
        <v>278</v>
      </c>
      <c r="R52" s="541"/>
      <c r="S52" s="542"/>
      <c r="T52" s="543" t="s">
        <v>279</v>
      </c>
      <c r="U52" s="542"/>
      <c r="V52" s="544"/>
      <c r="W52" s="544"/>
      <c r="X52" s="544"/>
      <c r="Y52" s="541" t="s">
        <v>278</v>
      </c>
      <c r="Z52" s="541"/>
      <c r="AA52" s="542"/>
      <c r="AB52" s="543" t="s">
        <v>279</v>
      </c>
      <c r="AC52" s="542"/>
      <c r="AD52" s="544"/>
      <c r="AE52" s="544"/>
      <c r="AF52" s="544"/>
      <c r="AG52" s="616"/>
      <c r="AH52" s="491"/>
      <c r="AI52" s="513"/>
      <c r="AJ52" s="513"/>
      <c r="AK52" s="513"/>
    </row>
    <row r="53" spans="1:39" s="469" customFormat="1" x14ac:dyDescent="0.2">
      <c r="A53" s="545" t="s">
        <v>280</v>
      </c>
      <c r="B53" s="546"/>
      <c r="C53" s="705">
        <f>$AJ$30</f>
        <v>0.25578770213785851</v>
      </c>
      <c r="D53" s="547"/>
      <c r="E53" s="466">
        <f>C53*E50</f>
        <v>278071.81342811079</v>
      </c>
      <c r="F53" s="509"/>
      <c r="G53" s="509"/>
      <c r="H53" s="548"/>
      <c r="I53" s="545" t="s">
        <v>280</v>
      </c>
      <c r="J53" s="546"/>
      <c r="K53" s="705">
        <f>$AJ$30</f>
        <v>0.25578770213785851</v>
      </c>
      <c r="L53" s="547"/>
      <c r="M53" s="466">
        <f>K53*M50</f>
        <v>294581.33608240349</v>
      </c>
      <c r="N53" s="466"/>
      <c r="O53" s="466"/>
      <c r="Q53" s="545" t="s">
        <v>280</v>
      </c>
      <c r="R53" s="546"/>
      <c r="S53" s="705">
        <f>$AJ$30</f>
        <v>0.25578770213785851</v>
      </c>
      <c r="T53" s="547"/>
      <c r="U53" s="466">
        <f>S53*U50</f>
        <v>334274.44374059612</v>
      </c>
      <c r="V53" s="548"/>
      <c r="W53" s="548"/>
      <c r="X53" s="548"/>
      <c r="Y53" s="545" t="s">
        <v>280</v>
      </c>
      <c r="Z53" s="546"/>
      <c r="AA53" s="705">
        <f>$AJ$30</f>
        <v>0.25578770213785851</v>
      </c>
      <c r="AB53" s="547"/>
      <c r="AC53" s="466">
        <f>AA53*AC50</f>
        <v>400783.66597022855</v>
      </c>
      <c r="AD53" s="548"/>
      <c r="AE53" s="548"/>
      <c r="AF53" s="548"/>
      <c r="AG53" s="525"/>
      <c r="AH53" s="491"/>
      <c r="AI53" s="617"/>
      <c r="AJ53" s="617"/>
      <c r="AK53" s="617"/>
    </row>
    <row r="54" spans="1:39" x14ac:dyDescent="0.2">
      <c r="A54" s="550" t="s">
        <v>282</v>
      </c>
      <c r="B54" s="550"/>
      <c r="C54" s="551"/>
      <c r="D54" s="552">
        <f>E54/E41</f>
        <v>311.68752748960605</v>
      </c>
      <c r="E54" s="553">
        <f>E53+E50</f>
        <v>1365191.3704044744</v>
      </c>
      <c r="F54" s="468"/>
      <c r="G54" s="468"/>
      <c r="H54" s="468"/>
      <c r="I54" s="550" t="s">
        <v>282</v>
      </c>
      <c r="J54" s="550"/>
      <c r="K54" s="551"/>
      <c r="L54" s="552">
        <f>M54/M41</f>
        <v>255.63318451609746</v>
      </c>
      <c r="M54" s="553">
        <f>M53+M50</f>
        <v>1446244.7413998214</v>
      </c>
      <c r="N54" s="544"/>
      <c r="O54" s="544"/>
      <c r="Q54" s="550" t="s">
        <v>282</v>
      </c>
      <c r="R54" s="550"/>
      <c r="S54" s="551"/>
      <c r="T54" s="552">
        <f>U54/U41</f>
        <v>224.81064928086769</v>
      </c>
      <c r="U54" s="553">
        <f>U53+U50</f>
        <v>1641117.7397503341</v>
      </c>
      <c r="V54" s="544"/>
      <c r="W54" s="544"/>
      <c r="X54" s="544"/>
      <c r="Y54" s="550" t="s">
        <v>282</v>
      </c>
      <c r="Z54" s="550"/>
      <c r="AA54" s="551"/>
      <c r="AB54" s="552">
        <f>AC54/AC41</f>
        <v>215.63224555174975</v>
      </c>
      <c r="AC54" s="553">
        <f>AC53+AC50</f>
        <v>1967644.2406597165</v>
      </c>
      <c r="AD54" s="544"/>
      <c r="AE54" s="544"/>
      <c r="AF54" s="544"/>
      <c r="AG54" s="524"/>
      <c r="AH54" s="464"/>
      <c r="AI54" s="464"/>
      <c r="AJ54" s="464"/>
      <c r="AK54" s="464"/>
      <c r="AL54" s="463"/>
      <c r="AM54" s="463"/>
    </row>
    <row r="55" spans="1:39" x14ac:dyDescent="0.2">
      <c r="C55" s="466"/>
      <c r="D55" s="467"/>
      <c r="E55" s="466"/>
      <c r="F55" s="466"/>
      <c r="G55" s="466"/>
      <c r="H55" s="468"/>
      <c r="I55" s="463"/>
      <c r="J55" s="463"/>
      <c r="Q55" s="463"/>
      <c r="R55" s="463"/>
      <c r="S55" s="466"/>
      <c r="T55" s="467"/>
      <c r="U55" s="466"/>
      <c r="X55" s="468"/>
      <c r="Y55" s="463"/>
      <c r="Z55" s="463"/>
      <c r="AA55" s="466"/>
      <c r="AB55" s="467"/>
      <c r="AC55" s="466"/>
      <c r="AG55" s="500"/>
      <c r="AH55" s="464"/>
      <c r="AI55" s="464"/>
      <c r="AJ55" s="464"/>
      <c r="AK55" s="464"/>
      <c r="AL55" s="463"/>
      <c r="AM55" s="463"/>
    </row>
    <row r="56" spans="1:39" x14ac:dyDescent="0.2">
      <c r="A56" s="463" t="s">
        <v>91</v>
      </c>
      <c r="C56" s="466"/>
      <c r="D56" s="510">
        <f>$AJ$33</f>
        <v>17.544168616818876</v>
      </c>
      <c r="E56" s="466">
        <f>D56*E$41</f>
        <v>76843.458541666681</v>
      </c>
      <c r="F56" s="560"/>
      <c r="G56" s="560"/>
      <c r="H56" s="468"/>
      <c r="I56" s="463" t="s">
        <v>91</v>
      </c>
      <c r="J56" s="463"/>
      <c r="L56" s="510">
        <f>$AJ$33</f>
        <v>17.544168616818876</v>
      </c>
      <c r="M56" s="466">
        <f>L56*M$41</f>
        <v>99256.133949652794</v>
      </c>
      <c r="Q56" s="463" t="s">
        <v>91</v>
      </c>
      <c r="R56" s="463"/>
      <c r="S56" s="466"/>
      <c r="T56" s="510">
        <f>$AJ$33</f>
        <v>17.544168616818876</v>
      </c>
      <c r="U56" s="466">
        <f>T56*U$41</f>
        <v>128072.43090277779</v>
      </c>
      <c r="X56" s="468"/>
      <c r="Y56" s="463" t="s">
        <v>91</v>
      </c>
      <c r="Z56" s="463"/>
      <c r="AA56" s="466"/>
      <c r="AB56" s="510">
        <f>$AJ$33</f>
        <v>17.544168616818876</v>
      </c>
      <c r="AC56" s="466">
        <f>AB56*AC$41</f>
        <v>160090.53862847225</v>
      </c>
      <c r="AG56" s="534"/>
      <c r="AH56" s="464"/>
      <c r="AI56" s="464"/>
      <c r="AJ56" s="464"/>
      <c r="AK56" s="464"/>
      <c r="AL56" s="463"/>
      <c r="AM56" s="534"/>
    </row>
    <row r="57" spans="1:39" x14ac:dyDescent="0.2">
      <c r="C57" s="466"/>
      <c r="D57" s="510"/>
      <c r="E57" s="563"/>
      <c r="F57" s="563"/>
      <c r="G57" s="563"/>
      <c r="H57" s="564"/>
      <c r="I57" s="463"/>
      <c r="J57" s="463"/>
      <c r="L57" s="510"/>
      <c r="M57" s="563"/>
      <c r="N57" s="563"/>
      <c r="O57" s="563"/>
      <c r="Q57" s="463"/>
      <c r="R57" s="463"/>
      <c r="S57" s="466"/>
      <c r="T57" s="510"/>
      <c r="U57" s="563"/>
      <c r="V57" s="564"/>
      <c r="W57" s="564"/>
      <c r="X57" s="564"/>
      <c r="Y57" s="463"/>
      <c r="Z57" s="463"/>
      <c r="AA57" s="466"/>
      <c r="AB57" s="510"/>
      <c r="AC57" s="563"/>
      <c r="AD57" s="564"/>
      <c r="AE57" s="564"/>
      <c r="AF57" s="564"/>
      <c r="AG57" s="534"/>
      <c r="AH57" s="464"/>
      <c r="AI57" s="464"/>
      <c r="AJ57" s="464"/>
      <c r="AK57" s="464"/>
      <c r="AL57" s="463"/>
      <c r="AM57" s="534"/>
    </row>
    <row r="58" spans="1:39" x14ac:dyDescent="0.2">
      <c r="A58" s="463" t="s">
        <v>283</v>
      </c>
      <c r="C58" s="466"/>
      <c r="D58" s="510">
        <f>$AJ$36</f>
        <v>16.772324588891873</v>
      </c>
      <c r="E58" s="466">
        <f>D58*E$41</f>
        <v>73462.781699346408</v>
      </c>
      <c r="F58" s="466"/>
      <c r="G58" s="466"/>
      <c r="H58" s="468"/>
      <c r="I58" s="463" t="s">
        <v>283</v>
      </c>
      <c r="J58" s="463"/>
      <c r="L58" s="510">
        <f>$AJ$36</f>
        <v>16.772324588891873</v>
      </c>
      <c r="M58" s="466">
        <f>L58*M$41</f>
        <v>94889.426361655773</v>
      </c>
      <c r="Q58" s="463" t="s">
        <v>283</v>
      </c>
      <c r="R58" s="463"/>
      <c r="S58" s="466"/>
      <c r="T58" s="510">
        <f>$AJ$36</f>
        <v>16.772324588891873</v>
      </c>
      <c r="U58" s="466">
        <f>T58*U$41</f>
        <v>122437.96949891068</v>
      </c>
      <c r="X58" s="468"/>
      <c r="Y58" s="463" t="s">
        <v>283</v>
      </c>
      <c r="Z58" s="463"/>
      <c r="AA58" s="466"/>
      <c r="AB58" s="510">
        <f>$AJ$36</f>
        <v>16.772324588891873</v>
      </c>
      <c r="AC58" s="466">
        <f>AB58*AC$41</f>
        <v>153047.46187363836</v>
      </c>
      <c r="AG58" s="534"/>
      <c r="AH58" s="464"/>
      <c r="AI58" s="464"/>
      <c r="AJ58" s="464"/>
      <c r="AK58" s="464"/>
      <c r="AL58" s="463"/>
      <c r="AM58" s="463"/>
    </row>
    <row r="59" spans="1:39" x14ac:dyDescent="0.2">
      <c r="C59" s="466"/>
      <c r="D59" s="566">
        <f>SUM(D56:D58)</f>
        <v>34.316493205710749</v>
      </c>
      <c r="E59" s="466"/>
      <c r="F59" s="466"/>
      <c r="G59" s="466"/>
      <c r="H59" s="468"/>
      <c r="I59" s="463"/>
      <c r="J59" s="463"/>
      <c r="L59" s="566">
        <f>SUM(L56:L58)</f>
        <v>34.316493205710749</v>
      </c>
      <c r="Q59" s="463"/>
      <c r="R59" s="463"/>
      <c r="S59" s="466"/>
      <c r="T59" s="566">
        <f>SUM(T56:T58)</f>
        <v>34.316493205710749</v>
      </c>
      <c r="U59" s="466"/>
      <c r="X59" s="468"/>
      <c r="Y59" s="463"/>
      <c r="Z59" s="463"/>
      <c r="AA59" s="466"/>
      <c r="AB59" s="566">
        <f>SUM(AB56:AB58)</f>
        <v>34.316493205710749</v>
      </c>
      <c r="AC59" s="466"/>
      <c r="AG59" s="534"/>
      <c r="AH59" s="464"/>
      <c r="AI59" s="464"/>
      <c r="AJ59" s="464"/>
      <c r="AK59" s="464"/>
      <c r="AL59" s="463"/>
      <c r="AM59" s="463"/>
    </row>
    <row r="60" spans="1:39" x14ac:dyDescent="0.2">
      <c r="A60" s="536" t="s">
        <v>371</v>
      </c>
      <c r="B60" s="536"/>
      <c r="C60" s="537"/>
      <c r="D60" s="538"/>
      <c r="E60" s="537">
        <f>SUM(E54:E58)</f>
        <v>1515497.6106454874</v>
      </c>
      <c r="F60" s="473"/>
      <c r="G60" s="473"/>
      <c r="H60" s="473"/>
      <c r="I60" s="536" t="s">
        <v>371</v>
      </c>
      <c r="J60" s="536"/>
      <c r="K60" s="537"/>
      <c r="L60" s="538"/>
      <c r="M60" s="537">
        <f>SUM(M54:M58)</f>
        <v>1640390.30171113</v>
      </c>
      <c r="N60" s="473"/>
      <c r="O60" s="473"/>
      <c r="Q60" s="536" t="s">
        <v>371</v>
      </c>
      <c r="R60" s="536"/>
      <c r="S60" s="537"/>
      <c r="T60" s="538"/>
      <c r="U60" s="537">
        <f>SUM(U54:U58)</f>
        <v>1891628.1401520225</v>
      </c>
      <c r="V60" s="473"/>
      <c r="W60" s="473"/>
      <c r="X60" s="473"/>
      <c r="Y60" s="536" t="s">
        <v>371</v>
      </c>
      <c r="Z60" s="536"/>
      <c r="AA60" s="537"/>
      <c r="AB60" s="538"/>
      <c r="AC60" s="537">
        <f>SUM(AC54:AC58)</f>
        <v>2280782.241161827</v>
      </c>
      <c r="AD60" s="473"/>
      <c r="AE60" s="473"/>
      <c r="AF60" s="473"/>
      <c r="AG60" s="534"/>
      <c r="AH60" s="464"/>
      <c r="AI60" s="464"/>
      <c r="AJ60" s="464"/>
      <c r="AK60" s="464"/>
      <c r="AL60" s="463"/>
      <c r="AM60" s="463"/>
    </row>
    <row r="61" spans="1:39" x14ac:dyDescent="0.2">
      <c r="A61" s="463" t="s">
        <v>286</v>
      </c>
      <c r="C61" s="567" t="e">
        <f>$AJ$39</f>
        <v>#REF!</v>
      </c>
      <c r="D61" s="522"/>
      <c r="E61" s="466" t="e">
        <f>C61*E60</f>
        <v>#REF!</v>
      </c>
      <c r="F61" s="564"/>
      <c r="G61" s="564"/>
      <c r="H61" s="468"/>
      <c r="I61" s="463" t="s">
        <v>286</v>
      </c>
      <c r="J61" s="463"/>
      <c r="K61" s="567" t="e">
        <f>$AJ$39</f>
        <v>#REF!</v>
      </c>
      <c r="L61" s="522"/>
      <c r="M61" s="466" t="e">
        <f>K61*M60</f>
        <v>#REF!</v>
      </c>
      <c r="Q61" s="463" t="s">
        <v>286</v>
      </c>
      <c r="R61" s="463"/>
      <c r="S61" s="567" t="e">
        <f>$AJ$39</f>
        <v>#REF!</v>
      </c>
      <c r="T61" s="522"/>
      <c r="U61" s="466" t="e">
        <f>S61*U60</f>
        <v>#REF!</v>
      </c>
      <c r="X61" s="468"/>
      <c r="Y61" s="463" t="s">
        <v>286</v>
      </c>
      <c r="Z61" s="463"/>
      <c r="AA61" s="567" t="e">
        <f>$AJ$39</f>
        <v>#REF!</v>
      </c>
      <c r="AB61" s="522"/>
      <c r="AC61" s="466" t="e">
        <f>AA61*AC60</f>
        <v>#REF!</v>
      </c>
      <c r="AG61" s="618"/>
      <c r="AH61" s="618"/>
      <c r="AI61" s="618"/>
      <c r="AJ61" s="618"/>
      <c r="AK61" s="464"/>
      <c r="AL61" s="463"/>
      <c r="AM61" s="463"/>
    </row>
    <row r="62" spans="1:39" s="487" customFormat="1" ht="15" customHeight="1" thickBot="1" x14ac:dyDescent="0.25">
      <c r="A62" s="568" t="s">
        <v>288</v>
      </c>
      <c r="B62" s="568"/>
      <c r="C62" s="569"/>
      <c r="D62" s="570"/>
      <c r="E62" s="571" t="e">
        <f>ROUND(SUM(E60:E61),2)</f>
        <v>#REF!</v>
      </c>
      <c r="F62" s="473"/>
      <c r="G62" s="473"/>
      <c r="H62" s="473"/>
      <c r="I62" s="568" t="s">
        <v>288</v>
      </c>
      <c r="J62" s="568"/>
      <c r="K62" s="569"/>
      <c r="L62" s="570"/>
      <c r="M62" s="571" t="e">
        <f>ROUND(SUM(M60:M61),2)</f>
        <v>#REF!</v>
      </c>
      <c r="N62" s="473"/>
      <c r="O62" s="473"/>
      <c r="Q62" s="568" t="s">
        <v>288</v>
      </c>
      <c r="R62" s="568"/>
      <c r="S62" s="569"/>
      <c r="T62" s="570"/>
      <c r="U62" s="571" t="e">
        <f>ROUND(SUM(U60:U61),2)</f>
        <v>#REF!</v>
      </c>
      <c r="V62" s="473"/>
      <c r="W62" s="473"/>
      <c r="X62" s="473"/>
      <c r="Y62" s="568" t="s">
        <v>288</v>
      </c>
      <c r="Z62" s="568"/>
      <c r="AA62" s="569"/>
      <c r="AB62" s="570"/>
      <c r="AC62" s="571" t="e">
        <f>ROUND(SUM(AC60:AC61),2)</f>
        <v>#REF!</v>
      </c>
      <c r="AD62" s="473"/>
      <c r="AE62" s="473"/>
      <c r="AF62" s="473"/>
      <c r="AG62" s="619"/>
      <c r="AH62" s="620"/>
      <c r="AI62" s="621"/>
      <c r="AJ62" s="620"/>
      <c r="AK62" s="513"/>
    </row>
    <row r="63" spans="1:39" s="487" customFormat="1" ht="13.5" thickTop="1" x14ac:dyDescent="0.2">
      <c r="A63" s="541"/>
      <c r="B63" s="541"/>
      <c r="C63" s="542"/>
      <c r="D63" s="572"/>
      <c r="E63" s="542"/>
      <c r="F63" s="542"/>
      <c r="G63" s="542"/>
      <c r="H63" s="544"/>
      <c r="I63" s="541"/>
      <c r="J63" s="541"/>
      <c r="K63" s="542"/>
      <c r="L63" s="572"/>
      <c r="M63" s="542"/>
      <c r="N63" s="542"/>
      <c r="O63" s="542"/>
      <c r="Q63" s="541"/>
      <c r="R63" s="541"/>
      <c r="S63" s="542"/>
      <c r="T63" s="572"/>
      <c r="U63" s="542"/>
      <c r="V63" s="544"/>
      <c r="W63" s="544"/>
      <c r="X63" s="544"/>
      <c r="Y63" s="541"/>
      <c r="Z63" s="541"/>
      <c r="AA63" s="542"/>
      <c r="AB63" s="572"/>
      <c r="AC63" s="542"/>
      <c r="AD63" s="544"/>
      <c r="AE63" s="544"/>
      <c r="AF63" s="544"/>
      <c r="AG63" s="561"/>
      <c r="AH63" s="561"/>
      <c r="AI63" s="561"/>
      <c r="AJ63" s="622"/>
      <c r="AK63" s="513"/>
    </row>
    <row r="64" spans="1:39" s="577" customFormat="1" ht="13.15" customHeight="1" x14ac:dyDescent="0.2">
      <c r="A64" s="574" t="s">
        <v>289</v>
      </c>
      <c r="B64" s="574"/>
      <c r="C64" s="575"/>
      <c r="D64" s="575"/>
      <c r="E64" s="576" t="e">
        <f>E62/E41</f>
        <v>#REF!</v>
      </c>
      <c r="G64" s="1128" t="s">
        <v>396</v>
      </c>
      <c r="H64" s="578"/>
      <c r="I64" s="574" t="s">
        <v>289</v>
      </c>
      <c r="J64" s="574"/>
      <c r="K64" s="575"/>
      <c r="L64" s="575"/>
      <c r="M64" s="576" t="e">
        <f>M62/M41</f>
        <v>#REF!</v>
      </c>
      <c r="O64" s="1128" t="s">
        <v>396</v>
      </c>
      <c r="Q64" s="574" t="s">
        <v>289</v>
      </c>
      <c r="R64" s="574"/>
      <c r="S64" s="575"/>
      <c r="T64" s="575"/>
      <c r="U64" s="576" t="e">
        <f>U62/U41</f>
        <v>#REF!</v>
      </c>
      <c r="W64" s="1128" t="s">
        <v>396</v>
      </c>
      <c r="Y64" s="574" t="s">
        <v>289</v>
      </c>
      <c r="Z64" s="574"/>
      <c r="AA64" s="575"/>
      <c r="AB64" s="575"/>
      <c r="AC64" s="576" t="e">
        <f>AC62/AC41</f>
        <v>#REF!</v>
      </c>
      <c r="AE64" s="1128" t="s">
        <v>396</v>
      </c>
      <c r="AG64" s="561"/>
      <c r="AH64" s="561"/>
      <c r="AI64" s="561"/>
      <c r="AJ64" s="561"/>
      <c r="AK64" s="623"/>
    </row>
    <row r="65" spans="1:39" s="577" customFormat="1" ht="13.5" thickBot="1" x14ac:dyDescent="0.25">
      <c r="A65" s="574" t="s">
        <v>290</v>
      </c>
      <c r="B65" s="574"/>
      <c r="C65" s="579">
        <f>$AK$40</f>
        <v>4.4640068153077195E-2</v>
      </c>
      <c r="D65" s="575"/>
      <c r="E65" s="576"/>
      <c r="F65" s="464" t="s">
        <v>291</v>
      </c>
      <c r="G65" s="1137"/>
      <c r="H65" s="578"/>
      <c r="I65" s="574" t="s">
        <v>290</v>
      </c>
      <c r="J65" s="574"/>
      <c r="K65" s="579">
        <f>$AK$40</f>
        <v>4.4640068153077195E-2</v>
      </c>
      <c r="L65" s="575"/>
      <c r="M65" s="576"/>
      <c r="N65" s="464" t="s">
        <v>291</v>
      </c>
      <c r="O65" s="1137"/>
      <c r="Q65" s="574" t="s">
        <v>290</v>
      </c>
      <c r="R65" s="574"/>
      <c r="S65" s="579">
        <f>$AK$40</f>
        <v>4.4640068153077195E-2</v>
      </c>
      <c r="T65" s="575"/>
      <c r="U65" s="576"/>
      <c r="V65" s="464" t="s">
        <v>291</v>
      </c>
      <c r="W65" s="1137"/>
      <c r="X65" s="464"/>
      <c r="Y65" s="574" t="s">
        <v>290</v>
      </c>
      <c r="Z65" s="574"/>
      <c r="AA65" s="579">
        <f>$AK$40</f>
        <v>4.4640068153077195E-2</v>
      </c>
      <c r="AB65" s="575"/>
      <c r="AC65" s="576"/>
      <c r="AD65" s="464" t="s">
        <v>291</v>
      </c>
      <c r="AE65" s="1137"/>
      <c r="AF65" s="464"/>
      <c r="AG65" s="561"/>
      <c r="AH65" s="561"/>
      <c r="AI65" s="561"/>
      <c r="AJ65" s="561"/>
      <c r="AK65" s="623"/>
    </row>
    <row r="66" spans="1:39" x14ac:dyDescent="0.2">
      <c r="A66" s="581" t="s">
        <v>292</v>
      </c>
      <c r="B66" s="531"/>
      <c r="C66" s="582">
        <v>0.9</v>
      </c>
      <c r="D66" s="478"/>
      <c r="E66" s="583" t="e">
        <f t="shared" ref="E66:E74" si="3">E$62/(E$41*C66)</f>
        <v>#REF!</v>
      </c>
      <c r="F66" s="584">
        <v>459.39</v>
      </c>
      <c r="G66" s="743" t="e">
        <f>F66*(#REF!+1)</f>
        <v>#REF!</v>
      </c>
      <c r="I66" s="581" t="s">
        <v>292</v>
      </c>
      <c r="J66" s="531"/>
      <c r="K66" s="582">
        <v>0.9</v>
      </c>
      <c r="L66" s="478"/>
      <c r="M66" s="583" t="e">
        <f t="shared" ref="M66:M74" si="4">M$62/(M$41*K66)</f>
        <v>#REF!</v>
      </c>
      <c r="N66" s="584">
        <v>384.97</v>
      </c>
      <c r="O66" s="743" t="e">
        <f>N66*(#REF!+1)</f>
        <v>#REF!</v>
      </c>
      <c r="Q66" s="581" t="s">
        <v>292</v>
      </c>
      <c r="R66" s="531"/>
      <c r="S66" s="582">
        <v>0.9</v>
      </c>
      <c r="T66" s="478"/>
      <c r="U66" s="583" t="e">
        <f t="shared" ref="U66:U74" si="5">U$62/(U$41*S66)</f>
        <v>#REF!</v>
      </c>
      <c r="V66" s="584">
        <v>344.04</v>
      </c>
      <c r="W66" s="743" t="e">
        <f>V66*(#REF!+1)</f>
        <v>#REF!</v>
      </c>
      <c r="X66" s="468"/>
      <c r="Y66" s="581" t="s">
        <v>292</v>
      </c>
      <c r="Z66" s="531"/>
      <c r="AA66" s="582">
        <v>0.9</v>
      </c>
      <c r="AB66" s="478"/>
      <c r="AC66" s="583" t="e">
        <f t="shared" ref="AC66:AC74" si="6">AC$62/(AC$41*AA66)</f>
        <v>#REF!</v>
      </c>
      <c r="AD66" s="584">
        <v>331.86</v>
      </c>
      <c r="AE66" s="743" t="e">
        <f>AD66*(#REF!+1)</f>
        <v>#REF!</v>
      </c>
      <c r="AF66" s="576"/>
      <c r="AG66" s="561"/>
      <c r="AH66" s="622"/>
      <c r="AI66" s="622"/>
      <c r="AJ66" s="622"/>
      <c r="AK66" s="464"/>
      <c r="AL66" s="463"/>
      <c r="AM66" s="463"/>
    </row>
    <row r="67" spans="1:39" x14ac:dyDescent="0.2">
      <c r="A67" s="585"/>
      <c r="B67" s="464"/>
      <c r="C67" s="586">
        <v>0.85</v>
      </c>
      <c r="D67" s="468"/>
      <c r="E67" s="576" t="e">
        <f t="shared" si="3"/>
        <v>#REF!</v>
      </c>
      <c r="F67" s="587">
        <v>486.41</v>
      </c>
      <c r="G67" s="743" t="e">
        <f>F67*(#REF!+1)</f>
        <v>#REF!</v>
      </c>
      <c r="I67" s="585"/>
      <c r="J67" s="464"/>
      <c r="K67" s="586">
        <v>0.85</v>
      </c>
      <c r="L67" s="468"/>
      <c r="M67" s="576" t="e">
        <f t="shared" si="4"/>
        <v>#REF!</v>
      </c>
      <c r="N67" s="587">
        <v>407.61</v>
      </c>
      <c r="O67" s="743" t="e">
        <f>N67*(#REF!+1)</f>
        <v>#REF!</v>
      </c>
      <c r="Q67" s="585"/>
      <c r="R67" s="464"/>
      <c r="S67" s="586">
        <v>0.85</v>
      </c>
      <c r="T67" s="468"/>
      <c r="U67" s="576" t="e">
        <f t="shared" si="5"/>
        <v>#REF!</v>
      </c>
      <c r="V67" s="587">
        <v>364.29</v>
      </c>
      <c r="W67" s="743" t="e">
        <f>V67*(#REF!+1)</f>
        <v>#REF!</v>
      </c>
      <c r="X67" s="468"/>
      <c r="Y67" s="585"/>
      <c r="Z67" s="464"/>
      <c r="AA67" s="586">
        <v>0.85</v>
      </c>
      <c r="AB67" s="468"/>
      <c r="AC67" s="576" t="e">
        <f t="shared" si="6"/>
        <v>#REF!</v>
      </c>
      <c r="AD67" s="587">
        <v>351.38</v>
      </c>
      <c r="AE67" s="743" t="e">
        <f>AD67*(#REF!+1)</f>
        <v>#REF!</v>
      </c>
      <c r="AF67" s="576"/>
      <c r="AG67" s="624"/>
      <c r="AH67" s="624"/>
      <c r="AI67" s="624"/>
      <c r="AJ67" s="624"/>
      <c r="AK67" s="464"/>
      <c r="AL67" s="463"/>
      <c r="AM67" s="463"/>
    </row>
    <row r="68" spans="1:39" x14ac:dyDescent="0.2">
      <c r="A68" s="585"/>
      <c r="B68" s="464"/>
      <c r="C68" s="586">
        <v>0.8</v>
      </c>
      <c r="D68" s="468"/>
      <c r="E68" s="576" t="e">
        <f t="shared" si="3"/>
        <v>#REF!</v>
      </c>
      <c r="F68" s="587">
        <v>516.82000000000005</v>
      </c>
      <c r="G68" s="743" t="e">
        <f>F68*(#REF!+1)</f>
        <v>#REF!</v>
      </c>
      <c r="I68" s="585"/>
      <c r="J68" s="464"/>
      <c r="K68" s="586">
        <v>0.8</v>
      </c>
      <c r="L68" s="468"/>
      <c r="M68" s="576" t="e">
        <f t="shared" si="4"/>
        <v>#REF!</v>
      </c>
      <c r="N68" s="587">
        <v>433.09</v>
      </c>
      <c r="O68" s="743" t="e">
        <f>N68*(#REF!+1)</f>
        <v>#REF!</v>
      </c>
      <c r="Q68" s="585"/>
      <c r="R68" s="464"/>
      <c r="S68" s="586">
        <v>0.8</v>
      </c>
      <c r="T68" s="468"/>
      <c r="U68" s="576" t="e">
        <f t="shared" si="5"/>
        <v>#REF!</v>
      </c>
      <c r="V68" s="587">
        <v>387.05</v>
      </c>
      <c r="W68" s="743" t="e">
        <f>V68*(#REF!+1)</f>
        <v>#REF!</v>
      </c>
      <c r="X68" s="468"/>
      <c r="Y68" s="585"/>
      <c r="Z68" s="464"/>
      <c r="AA68" s="586">
        <v>0.8</v>
      </c>
      <c r="AB68" s="468"/>
      <c r="AC68" s="576" t="e">
        <f t="shared" si="6"/>
        <v>#REF!</v>
      </c>
      <c r="AD68" s="587">
        <v>373.35</v>
      </c>
      <c r="AE68" s="743" t="e">
        <f>AD68*(#REF!+1)</f>
        <v>#REF!</v>
      </c>
      <c r="AF68" s="576"/>
      <c r="AG68" s="619"/>
      <c r="AH68" s="620"/>
      <c r="AI68" s="621"/>
      <c r="AJ68" s="620"/>
      <c r="AK68" s="464"/>
      <c r="AL68" s="463"/>
      <c r="AM68" s="463"/>
    </row>
    <row r="69" spans="1:39" x14ac:dyDescent="0.2">
      <c r="A69" s="585"/>
      <c r="B69" s="464"/>
      <c r="C69" s="586">
        <v>0.75</v>
      </c>
      <c r="D69" s="468"/>
      <c r="E69" s="576" t="e">
        <f t="shared" si="3"/>
        <v>#REF!</v>
      </c>
      <c r="F69" s="587">
        <v>551.28</v>
      </c>
      <c r="G69" s="743" t="e">
        <f>F69*(#REF!+1)</f>
        <v>#REF!</v>
      </c>
      <c r="I69" s="585"/>
      <c r="J69" s="464"/>
      <c r="K69" s="586">
        <v>0.75</v>
      </c>
      <c r="L69" s="468"/>
      <c r="M69" s="576" t="e">
        <f t="shared" si="4"/>
        <v>#REF!</v>
      </c>
      <c r="N69" s="587">
        <v>461.97</v>
      </c>
      <c r="O69" s="743" t="e">
        <f>N69*(#REF!+1)</f>
        <v>#REF!</v>
      </c>
      <c r="Q69" s="585"/>
      <c r="R69" s="464"/>
      <c r="S69" s="586">
        <v>0.75</v>
      </c>
      <c r="T69" s="468"/>
      <c r="U69" s="576" t="e">
        <f t="shared" si="5"/>
        <v>#REF!</v>
      </c>
      <c r="V69" s="587">
        <v>412.86</v>
      </c>
      <c r="W69" s="743" t="e">
        <f>V69*(#REF!+1)</f>
        <v>#REF!</v>
      </c>
      <c r="X69" s="468"/>
      <c r="Y69" s="585"/>
      <c r="Z69" s="464"/>
      <c r="AA69" s="586">
        <v>0.75</v>
      </c>
      <c r="AB69" s="468"/>
      <c r="AC69" s="576" t="e">
        <f t="shared" si="6"/>
        <v>#REF!</v>
      </c>
      <c r="AD69" s="587">
        <v>398.23</v>
      </c>
      <c r="AE69" s="743" t="e">
        <f>AD69*(#REF!+1)</f>
        <v>#REF!</v>
      </c>
      <c r="AF69" s="576"/>
      <c r="AG69" s="561"/>
      <c r="AH69" s="561"/>
      <c r="AI69" s="561"/>
      <c r="AJ69" s="561"/>
      <c r="AK69" s="464"/>
      <c r="AL69" s="463"/>
      <c r="AM69" s="463"/>
    </row>
    <row r="70" spans="1:39" x14ac:dyDescent="0.2">
      <c r="A70" s="585"/>
      <c r="B70" s="464"/>
      <c r="C70" s="586">
        <v>0.7</v>
      </c>
      <c r="D70" s="468"/>
      <c r="E70" s="576" t="e">
        <f t="shared" si="3"/>
        <v>#REF!</v>
      </c>
      <c r="F70" s="587">
        <v>590.65</v>
      </c>
      <c r="G70" s="743" t="e">
        <f>F70*(#REF!+1)</f>
        <v>#REF!</v>
      </c>
      <c r="I70" s="585"/>
      <c r="J70" s="464"/>
      <c r="K70" s="586">
        <v>0.7</v>
      </c>
      <c r="L70" s="468"/>
      <c r="M70" s="576" t="e">
        <f t="shared" si="4"/>
        <v>#REF!</v>
      </c>
      <c r="N70" s="587">
        <v>494.96</v>
      </c>
      <c r="O70" s="743" t="e">
        <f>N70*(#REF!+1)</f>
        <v>#REF!</v>
      </c>
      <c r="Q70" s="585"/>
      <c r="R70" s="464"/>
      <c r="S70" s="586">
        <v>0.7</v>
      </c>
      <c r="T70" s="468"/>
      <c r="U70" s="576" t="e">
        <f t="shared" si="5"/>
        <v>#REF!</v>
      </c>
      <c r="V70" s="587">
        <v>442.34</v>
      </c>
      <c r="W70" s="743" t="e">
        <f>V70*(#REF!+1)</f>
        <v>#REF!</v>
      </c>
      <c r="X70" s="468"/>
      <c r="Y70" s="585"/>
      <c r="Z70" s="464"/>
      <c r="AA70" s="586">
        <v>0.7</v>
      </c>
      <c r="AB70" s="468"/>
      <c r="AC70" s="576" t="e">
        <f t="shared" si="6"/>
        <v>#REF!</v>
      </c>
      <c r="AD70" s="587">
        <v>426.68</v>
      </c>
      <c r="AE70" s="743" t="e">
        <f>AD70*(#REF!+1)</f>
        <v>#REF!</v>
      </c>
      <c r="AF70" s="576"/>
      <c r="AG70" s="561"/>
      <c r="AH70" s="561"/>
      <c r="AI70" s="561"/>
      <c r="AJ70" s="561"/>
      <c r="AK70" s="464"/>
      <c r="AL70" s="463"/>
      <c r="AM70" s="463"/>
    </row>
    <row r="71" spans="1:39" x14ac:dyDescent="0.2">
      <c r="A71" s="585"/>
      <c r="B71" s="464"/>
      <c r="C71" s="586">
        <v>0.65</v>
      </c>
      <c r="D71" s="468"/>
      <c r="E71" s="576" t="e">
        <f t="shared" si="3"/>
        <v>#REF!</v>
      </c>
      <c r="F71" s="587">
        <v>636.09</v>
      </c>
      <c r="G71" s="743" t="e">
        <f>F71*(#REF!+1)</f>
        <v>#REF!</v>
      </c>
      <c r="I71" s="585"/>
      <c r="J71" s="464"/>
      <c r="K71" s="586">
        <v>0.65</v>
      </c>
      <c r="L71" s="468"/>
      <c r="M71" s="576" t="e">
        <f t="shared" si="4"/>
        <v>#REF!</v>
      </c>
      <c r="N71" s="587">
        <v>533.03</v>
      </c>
      <c r="O71" s="743" t="e">
        <f>N71*(#REF!+1)</f>
        <v>#REF!</v>
      </c>
      <c r="Q71" s="585"/>
      <c r="R71" s="464"/>
      <c r="S71" s="586">
        <v>0.65</v>
      </c>
      <c r="T71" s="468"/>
      <c r="U71" s="576" t="e">
        <f t="shared" si="5"/>
        <v>#REF!</v>
      </c>
      <c r="V71" s="587">
        <v>476.37</v>
      </c>
      <c r="W71" s="743" t="e">
        <f>V71*(#REF!+1)</f>
        <v>#REF!</v>
      </c>
      <c r="X71" s="468"/>
      <c r="Y71" s="585"/>
      <c r="Z71" s="464"/>
      <c r="AA71" s="586">
        <v>0.65</v>
      </c>
      <c r="AB71" s="468"/>
      <c r="AC71" s="576" t="e">
        <f t="shared" si="6"/>
        <v>#REF!</v>
      </c>
      <c r="AD71" s="587">
        <v>459.5</v>
      </c>
      <c r="AE71" s="743" t="e">
        <f>AD71*(#REF!+1)</f>
        <v>#REF!</v>
      </c>
      <c r="AF71" s="576"/>
      <c r="AH71" s="464"/>
      <c r="AI71" s="464"/>
      <c r="AJ71" s="464"/>
      <c r="AK71" s="464"/>
      <c r="AL71" s="463"/>
      <c r="AM71" s="463"/>
    </row>
    <row r="72" spans="1:39" x14ac:dyDescent="0.2">
      <c r="A72" s="585"/>
      <c r="B72" s="464"/>
      <c r="C72" s="586">
        <v>0.6</v>
      </c>
      <c r="D72" s="468"/>
      <c r="E72" s="576" t="e">
        <f t="shared" si="3"/>
        <v>#REF!</v>
      </c>
      <c r="F72" s="587">
        <v>689.09</v>
      </c>
      <c r="G72" s="743" t="e">
        <f>F72*(#REF!+1)</f>
        <v>#REF!</v>
      </c>
      <c r="I72" s="585"/>
      <c r="J72" s="464"/>
      <c r="K72" s="586">
        <v>0.6</v>
      </c>
      <c r="L72" s="468"/>
      <c r="M72" s="576" t="e">
        <f t="shared" si="4"/>
        <v>#REF!</v>
      </c>
      <c r="N72" s="587">
        <v>577.46</v>
      </c>
      <c r="O72" s="743" t="e">
        <f>N72*(#REF!+1)</f>
        <v>#REF!</v>
      </c>
      <c r="Q72" s="585"/>
      <c r="R72" s="464"/>
      <c r="S72" s="586">
        <v>0.6</v>
      </c>
      <c r="T72" s="468"/>
      <c r="U72" s="576" t="e">
        <f t="shared" si="5"/>
        <v>#REF!</v>
      </c>
      <c r="V72" s="587">
        <v>516.07000000000005</v>
      </c>
      <c r="W72" s="743" t="e">
        <f>V72*(#REF!+1)</f>
        <v>#REF!</v>
      </c>
      <c r="X72" s="468"/>
      <c r="Y72" s="585"/>
      <c r="Z72" s="464"/>
      <c r="AA72" s="586">
        <v>0.6</v>
      </c>
      <c r="AB72" s="468"/>
      <c r="AC72" s="576" t="e">
        <f t="shared" si="6"/>
        <v>#REF!</v>
      </c>
      <c r="AD72" s="587">
        <v>497.79</v>
      </c>
      <c r="AE72" s="743" t="e">
        <f>AD72*(#REF!+1)</f>
        <v>#REF!</v>
      </c>
      <c r="AF72" s="576"/>
      <c r="AG72" s="591"/>
      <c r="AH72" s="579"/>
      <c r="AI72" s="464"/>
      <c r="AJ72" s="464"/>
      <c r="AK72" s="464"/>
      <c r="AL72" s="463"/>
      <c r="AM72" s="463"/>
    </row>
    <row r="73" spans="1:39" x14ac:dyDescent="0.2">
      <c r="A73" s="585"/>
      <c r="B73" s="464"/>
      <c r="C73" s="586">
        <v>0.55000000000000004</v>
      </c>
      <c r="D73" s="468"/>
      <c r="E73" s="576" t="e">
        <f t="shared" si="3"/>
        <v>#REF!</v>
      </c>
      <c r="F73" s="587">
        <v>751.74</v>
      </c>
      <c r="G73" s="743" t="e">
        <f>F73*(#REF!+1)</f>
        <v>#REF!</v>
      </c>
      <c r="I73" s="585"/>
      <c r="J73" s="464"/>
      <c r="K73" s="586">
        <v>0.55000000000000004</v>
      </c>
      <c r="L73" s="468"/>
      <c r="M73" s="576" t="e">
        <f t="shared" si="4"/>
        <v>#REF!</v>
      </c>
      <c r="N73" s="587">
        <v>629.95000000000005</v>
      </c>
      <c r="O73" s="743" t="e">
        <f>N73*(#REF!+1)</f>
        <v>#REF!</v>
      </c>
      <c r="Q73" s="585"/>
      <c r="R73" s="464"/>
      <c r="S73" s="586">
        <v>0.55000000000000004</v>
      </c>
      <c r="T73" s="468"/>
      <c r="U73" s="576" t="e">
        <f t="shared" si="5"/>
        <v>#REF!</v>
      </c>
      <c r="V73" s="587">
        <v>562.98</v>
      </c>
      <c r="W73" s="743" t="e">
        <f>V73*(#REF!+1)</f>
        <v>#REF!</v>
      </c>
      <c r="X73" s="468"/>
      <c r="Y73" s="585"/>
      <c r="Z73" s="464"/>
      <c r="AA73" s="586">
        <v>0.55000000000000004</v>
      </c>
      <c r="AB73" s="468"/>
      <c r="AC73" s="576" t="e">
        <f t="shared" si="6"/>
        <v>#REF!</v>
      </c>
      <c r="AD73" s="587">
        <v>543.04</v>
      </c>
      <c r="AE73" s="743" t="e">
        <f>AD73*(#REF!+1)</f>
        <v>#REF!</v>
      </c>
      <c r="AF73" s="576"/>
      <c r="AH73" s="594"/>
      <c r="AI73" s="464"/>
      <c r="AJ73" s="513"/>
      <c r="AK73" s="607"/>
      <c r="AL73" s="608"/>
      <c r="AM73" s="608"/>
    </row>
    <row r="74" spans="1:39" ht="13.5" thickBot="1" x14ac:dyDescent="0.25">
      <c r="A74" s="596"/>
      <c r="B74" s="597"/>
      <c r="C74" s="598">
        <v>0.5</v>
      </c>
      <c r="D74" s="599"/>
      <c r="E74" s="600" t="e">
        <f t="shared" si="3"/>
        <v>#REF!</v>
      </c>
      <c r="F74" s="601">
        <v>826.91</v>
      </c>
      <c r="G74" s="743" t="e">
        <f>F74*(#REF!+1)</f>
        <v>#REF!</v>
      </c>
      <c r="I74" s="596"/>
      <c r="J74" s="597"/>
      <c r="K74" s="598">
        <v>0.5</v>
      </c>
      <c r="L74" s="599"/>
      <c r="M74" s="600" t="e">
        <f t="shared" si="4"/>
        <v>#REF!</v>
      </c>
      <c r="N74" s="601">
        <v>692.94</v>
      </c>
      <c r="O74" s="743" t="e">
        <f>N74*(#REF!+1)</f>
        <v>#REF!</v>
      </c>
      <c r="Q74" s="596"/>
      <c r="R74" s="597"/>
      <c r="S74" s="598">
        <v>0.5</v>
      </c>
      <c r="T74" s="599"/>
      <c r="U74" s="600" t="e">
        <f t="shared" si="5"/>
        <v>#REF!</v>
      </c>
      <c r="V74" s="601">
        <v>619.28</v>
      </c>
      <c r="W74" s="743" t="e">
        <f>V74*(#REF!+1)</f>
        <v>#REF!</v>
      </c>
      <c r="X74" s="468"/>
      <c r="Y74" s="596"/>
      <c r="Z74" s="597"/>
      <c r="AA74" s="598">
        <v>0.5</v>
      </c>
      <c r="AB74" s="599"/>
      <c r="AC74" s="600" t="e">
        <f t="shared" si="6"/>
        <v>#REF!</v>
      </c>
      <c r="AD74" s="601">
        <v>597.35</v>
      </c>
      <c r="AE74" s="743" t="e">
        <f>AD74*(#REF!+1)</f>
        <v>#REF!</v>
      </c>
      <c r="AF74" s="576"/>
      <c r="AG74" s="625"/>
      <c r="AH74" s="594"/>
      <c r="AI74" s="464"/>
      <c r="AJ74" s="464"/>
      <c r="AK74" s="513"/>
      <c r="AL74" s="487"/>
      <c r="AM74" s="487"/>
    </row>
    <row r="75" spans="1:39" x14ac:dyDescent="0.2">
      <c r="I75" s="463"/>
      <c r="J75" s="463"/>
      <c r="K75" s="463"/>
      <c r="L75" s="463"/>
      <c r="M75" s="463"/>
      <c r="N75" s="463"/>
      <c r="O75" s="463"/>
      <c r="Q75" s="463"/>
      <c r="R75" s="463"/>
      <c r="S75" s="463"/>
      <c r="T75" s="463"/>
      <c r="U75" s="463"/>
      <c r="V75" s="463"/>
      <c r="W75" s="463"/>
      <c r="X75" s="463"/>
      <c r="Y75" s="463"/>
      <c r="Z75" s="463"/>
      <c r="AA75" s="463"/>
      <c r="AB75" s="463"/>
      <c r="AC75" s="463"/>
      <c r="AD75" s="463"/>
      <c r="AE75" s="463"/>
      <c r="AF75" s="463"/>
      <c r="AG75" s="625"/>
      <c r="AH75" s="606"/>
      <c r="AI75" s="607"/>
      <c r="AJ75" s="464"/>
      <c r="AK75" s="464"/>
      <c r="AL75" s="463"/>
      <c r="AM75" s="463"/>
    </row>
    <row r="76" spans="1:39" ht="13.5" thickBot="1" x14ac:dyDescent="0.25">
      <c r="A76" s="468"/>
      <c r="B76" s="469"/>
      <c r="C76" s="465"/>
      <c r="D76" s="466"/>
      <c r="E76" s="467"/>
      <c r="F76" s="466"/>
      <c r="G76" s="466"/>
      <c r="H76" s="468"/>
      <c r="I76" s="468"/>
      <c r="J76" s="469"/>
      <c r="K76" s="465"/>
      <c r="L76" s="466"/>
      <c r="M76" s="467"/>
      <c r="P76" s="464"/>
      <c r="Q76" s="463"/>
      <c r="U76" s="463"/>
      <c r="V76" s="215"/>
      <c r="W76" s="215"/>
      <c r="Y76" s="463"/>
      <c r="AC76" s="463"/>
      <c r="AD76" s="215"/>
      <c r="AE76" s="215"/>
      <c r="AF76" s="215"/>
      <c r="AG76" s="605"/>
      <c r="AH76" s="606"/>
      <c r="AI76" s="607"/>
      <c r="AJ76" s="464"/>
      <c r="AK76" s="464"/>
      <c r="AL76" s="463"/>
      <c r="AM76" s="463"/>
    </row>
    <row r="77" spans="1:39" ht="13.5" thickBot="1" x14ac:dyDescent="0.25">
      <c r="A77" s="1140" t="s">
        <v>298</v>
      </c>
      <c r="B77" s="1141"/>
      <c r="AJ77" s="592"/>
      <c r="AK77" s="468"/>
      <c r="AL77" s="463"/>
      <c r="AM77" s="463"/>
    </row>
    <row r="78" spans="1:39" x14ac:dyDescent="0.2">
      <c r="A78" s="469"/>
      <c r="B78" s="465"/>
      <c r="C78" s="470" t="s">
        <v>255</v>
      </c>
      <c r="D78" s="471"/>
      <c r="E78" s="472"/>
      <c r="F78" s="472"/>
      <c r="G78" s="472"/>
      <c r="H78" s="473"/>
      <c r="K78" s="470" t="s">
        <v>256</v>
      </c>
      <c r="L78" s="471"/>
      <c r="M78" s="472"/>
      <c r="N78" s="472"/>
      <c r="O78" s="472"/>
      <c r="Q78" s="617"/>
      <c r="R78" s="465"/>
      <c r="S78" s="615" t="s">
        <v>257</v>
      </c>
      <c r="T78" s="614"/>
      <c r="U78" s="473"/>
      <c r="V78" s="473"/>
      <c r="W78" s="473"/>
      <c r="X78" s="473"/>
      <c r="Y78" s="469"/>
      <c r="Z78" s="465"/>
      <c r="AA78" s="470" t="s">
        <v>258</v>
      </c>
      <c r="AB78" s="471"/>
      <c r="AC78" s="472"/>
      <c r="AD78" s="473"/>
      <c r="AE78" s="473"/>
      <c r="AF78" s="473"/>
      <c r="AG78" s="592"/>
      <c r="AI78" s="464"/>
      <c r="AJ78" s="464"/>
      <c r="AK78" s="464"/>
      <c r="AL78" s="463"/>
      <c r="AM78" s="463"/>
    </row>
    <row r="79" spans="1:39" s="487" customFormat="1" x14ac:dyDescent="0.2">
      <c r="A79" s="480" t="s">
        <v>261</v>
      </c>
      <c r="B79" s="481" t="s">
        <v>339</v>
      </c>
      <c r="C79" s="482" t="s">
        <v>262</v>
      </c>
      <c r="D79" s="483">
        <v>365</v>
      </c>
      <c r="E79" s="484">
        <f>D79*B80</f>
        <v>4380</v>
      </c>
      <c r="F79" s="484"/>
      <c r="G79" s="484"/>
      <c r="H79" s="485"/>
      <c r="I79" s="480" t="s">
        <v>261</v>
      </c>
      <c r="J79" s="486" t="s">
        <v>340</v>
      </c>
      <c r="K79" s="482" t="s">
        <v>262</v>
      </c>
      <c r="L79" s="483">
        <v>365</v>
      </c>
      <c r="M79" s="484">
        <f>J80*L79</f>
        <v>5657.5</v>
      </c>
      <c r="N79" s="484"/>
      <c r="O79" s="484"/>
      <c r="P79" s="513"/>
      <c r="Q79" s="738" t="s">
        <v>261</v>
      </c>
      <c r="R79" s="488" t="s">
        <v>263</v>
      </c>
      <c r="S79" s="626" t="s">
        <v>262</v>
      </c>
      <c r="T79" s="483">
        <v>365</v>
      </c>
      <c r="U79" s="485">
        <f>R80*T79</f>
        <v>7300</v>
      </c>
      <c r="V79" s="485"/>
      <c r="W79" s="485"/>
      <c r="X79" s="485"/>
      <c r="Y79" s="480" t="s">
        <v>261</v>
      </c>
      <c r="Z79" s="488" t="s">
        <v>264</v>
      </c>
      <c r="AA79" s="482" t="s">
        <v>262</v>
      </c>
      <c r="AB79" s="483">
        <v>365</v>
      </c>
      <c r="AC79" s="484">
        <f>Z80*AB79</f>
        <v>9125</v>
      </c>
      <c r="AD79" s="485"/>
      <c r="AE79" s="485"/>
      <c r="AF79" s="485"/>
      <c r="AG79" s="513"/>
      <c r="AH79" s="513"/>
      <c r="AI79" s="513"/>
      <c r="AJ79" s="513"/>
      <c r="AK79" s="513"/>
    </row>
    <row r="80" spans="1:39" s="487" customFormat="1" x14ac:dyDescent="0.2">
      <c r="A80" s="480"/>
      <c r="B80" s="488">
        <v>12</v>
      </c>
      <c r="C80" s="482"/>
      <c r="D80" s="483"/>
      <c r="E80" s="484"/>
      <c r="F80" s="484"/>
      <c r="G80" s="484"/>
      <c r="H80" s="485"/>
      <c r="I80" s="480"/>
      <c r="J80" s="488">
        <v>15.5</v>
      </c>
      <c r="K80" s="482"/>
      <c r="L80" s="483"/>
      <c r="M80" s="484"/>
      <c r="N80" s="484"/>
      <c r="O80" s="484"/>
      <c r="P80" s="513"/>
      <c r="Q80" s="738"/>
      <c r="R80" s="488">
        <v>20</v>
      </c>
      <c r="S80" s="626"/>
      <c r="T80" s="483"/>
      <c r="U80" s="485"/>
      <c r="V80" s="485"/>
      <c r="W80" s="485"/>
      <c r="X80" s="485"/>
      <c r="Y80" s="480"/>
      <c r="Z80" s="488">
        <v>25</v>
      </c>
      <c r="AA80" s="482"/>
      <c r="AB80" s="483"/>
      <c r="AC80" s="484"/>
      <c r="AD80" s="485"/>
      <c r="AE80" s="485"/>
      <c r="AF80" s="485"/>
      <c r="AG80" s="513"/>
      <c r="AH80" s="513"/>
      <c r="AI80" s="513"/>
      <c r="AJ80" s="513"/>
      <c r="AK80" s="513"/>
    </row>
    <row r="81" spans="1:39" s="487" customFormat="1" x14ac:dyDescent="0.2">
      <c r="A81" s="480"/>
      <c r="B81" s="488"/>
      <c r="C81" s="494"/>
      <c r="D81" s="483"/>
      <c r="E81" s="484"/>
      <c r="F81" s="484"/>
      <c r="G81" s="484"/>
      <c r="H81" s="485"/>
      <c r="I81" s="480"/>
      <c r="J81" s="488"/>
      <c r="K81" s="482"/>
      <c r="L81" s="483"/>
      <c r="M81" s="484"/>
      <c r="N81" s="484"/>
      <c r="O81" s="484"/>
      <c r="P81" s="513"/>
      <c r="Q81" s="738"/>
      <c r="R81" s="488"/>
      <c r="S81" s="626"/>
      <c r="T81" s="483"/>
      <c r="U81" s="485"/>
      <c r="V81" s="485"/>
      <c r="W81" s="485"/>
      <c r="X81" s="485"/>
      <c r="Y81" s="480"/>
      <c r="Z81" s="488"/>
      <c r="AA81" s="482"/>
      <c r="AB81" s="483"/>
      <c r="AC81" s="484"/>
      <c r="AD81" s="485"/>
      <c r="AE81" s="485"/>
      <c r="AF81" s="485"/>
      <c r="AG81" s="513"/>
      <c r="AH81" s="614"/>
      <c r="AI81" s="513"/>
      <c r="AJ81" s="513"/>
      <c r="AK81" s="513"/>
    </row>
    <row r="82" spans="1:39" s="501" customFormat="1" ht="28.5" customHeight="1" x14ac:dyDescent="0.2">
      <c r="A82" s="496"/>
      <c r="B82" s="497" t="s">
        <v>269</v>
      </c>
      <c r="C82" s="498" t="s">
        <v>341</v>
      </c>
      <c r="D82" s="499" t="s">
        <v>270</v>
      </c>
      <c r="E82" s="498" t="s">
        <v>342</v>
      </c>
      <c r="F82" s="498"/>
      <c r="G82" s="498"/>
      <c r="H82" s="500"/>
      <c r="I82" s="496"/>
      <c r="J82" s="497" t="s">
        <v>269</v>
      </c>
      <c r="K82" s="498" t="s">
        <v>341</v>
      </c>
      <c r="L82" s="499" t="s">
        <v>270</v>
      </c>
      <c r="M82" s="498" t="s">
        <v>342</v>
      </c>
      <c r="N82" s="498"/>
      <c r="O82" s="498"/>
      <c r="P82" s="505"/>
      <c r="Q82" s="739"/>
      <c r="R82" s="627" t="s">
        <v>269</v>
      </c>
      <c r="S82" s="500" t="s">
        <v>341</v>
      </c>
      <c r="T82" s="628" t="s">
        <v>270</v>
      </c>
      <c r="U82" s="500" t="s">
        <v>342</v>
      </c>
      <c r="V82" s="500"/>
      <c r="W82" s="500"/>
      <c r="X82" s="500"/>
      <c r="Y82" s="496"/>
      <c r="Z82" s="497" t="s">
        <v>269</v>
      </c>
      <c r="AA82" s="498" t="s">
        <v>341</v>
      </c>
      <c r="AB82" s="499" t="s">
        <v>270</v>
      </c>
      <c r="AC82" s="498" t="s">
        <v>342</v>
      </c>
      <c r="AD82" s="500"/>
      <c r="AE82" s="500"/>
      <c r="AF82" s="500"/>
      <c r="AG82" s="615"/>
      <c r="AH82" s="615"/>
      <c r="AI82" s="615"/>
      <c r="AJ82" s="615"/>
      <c r="AK82" s="505"/>
    </row>
    <row r="83" spans="1:39" s="466" customFormat="1" x14ac:dyDescent="0.2">
      <c r="A83" s="507" t="s">
        <v>272</v>
      </c>
      <c r="B83" s="508"/>
      <c r="C83" s="704">
        <f>$AK$11</f>
        <v>59700.570397111915</v>
      </c>
      <c r="D83" s="510">
        <f>AJ18</f>
        <v>2.15</v>
      </c>
      <c r="E83" s="466">
        <f>C83*D83</f>
        <v>128356.22635379061</v>
      </c>
      <c r="H83" s="468"/>
      <c r="I83" s="507" t="s">
        <v>272</v>
      </c>
      <c r="J83" s="508"/>
      <c r="K83" s="704">
        <f>$AK$11</f>
        <v>59700.570397111915</v>
      </c>
      <c r="L83" s="510">
        <f>AK18</f>
        <v>2.15</v>
      </c>
      <c r="M83" s="466">
        <f>K83*L83</f>
        <v>128356.22635379061</v>
      </c>
      <c r="P83" s="468"/>
      <c r="Q83" s="555" t="s">
        <v>272</v>
      </c>
      <c r="R83" s="629"/>
      <c r="S83" s="706">
        <f>$AK$11</f>
        <v>59700.570397111915</v>
      </c>
      <c r="T83" s="594">
        <f>AL18</f>
        <v>2.15</v>
      </c>
      <c r="U83" s="468">
        <f>S83*T83</f>
        <v>128356.22635379061</v>
      </c>
      <c r="V83" s="468"/>
      <c r="W83" s="468"/>
      <c r="X83" s="468"/>
      <c r="Y83" s="507" t="s">
        <v>272</v>
      </c>
      <c r="Z83" s="508"/>
      <c r="AA83" s="704">
        <f>$AK$11</f>
        <v>59700.570397111915</v>
      </c>
      <c r="AB83" s="510">
        <f>AM18</f>
        <v>2.15</v>
      </c>
      <c r="AC83" s="466">
        <f>AA83*AB83</f>
        <v>128356.22635379061</v>
      </c>
      <c r="AD83" s="468"/>
      <c r="AE83" s="468"/>
      <c r="AF83" s="468"/>
      <c r="AG83" s="491"/>
      <c r="AH83" s="468"/>
      <c r="AI83" s="468"/>
      <c r="AJ83" s="468"/>
      <c r="AK83" s="468"/>
    </row>
    <row r="84" spans="1:39" s="466" customFormat="1" x14ac:dyDescent="0.2">
      <c r="A84" s="507" t="s">
        <v>273</v>
      </c>
      <c r="B84" s="508"/>
      <c r="C84" s="704">
        <f>$AK$12</f>
        <v>51947.798987144524</v>
      </c>
      <c r="D84" s="510">
        <f>AJ19</f>
        <v>4</v>
      </c>
      <c r="E84" s="466">
        <f>C84*D84</f>
        <v>207791.1959485781</v>
      </c>
      <c r="H84" s="468"/>
      <c r="I84" s="507" t="s">
        <v>273</v>
      </c>
      <c r="J84" s="508"/>
      <c r="K84" s="704">
        <f>$AK$12</f>
        <v>51947.798987144524</v>
      </c>
      <c r="L84" s="510">
        <f>$AK$19</f>
        <v>4</v>
      </c>
      <c r="M84" s="466">
        <f>K84*L84</f>
        <v>207791.1959485781</v>
      </c>
      <c r="P84" s="468"/>
      <c r="Q84" s="555" t="s">
        <v>273</v>
      </c>
      <c r="R84" s="629"/>
      <c r="S84" s="706">
        <f>$AK$12</f>
        <v>51947.798987144524</v>
      </c>
      <c r="T84" s="594">
        <f>AL19</f>
        <v>4</v>
      </c>
      <c r="U84" s="468">
        <f>S84*T84</f>
        <v>207791.1959485781</v>
      </c>
      <c r="V84" s="468"/>
      <c r="W84" s="468"/>
      <c r="X84" s="468"/>
      <c r="Y84" s="507" t="s">
        <v>273</v>
      </c>
      <c r="Z84" s="508"/>
      <c r="AA84" s="704">
        <f>$AK$12</f>
        <v>51947.798987144524</v>
      </c>
      <c r="AB84" s="510">
        <f>AM19</f>
        <v>5</v>
      </c>
      <c r="AC84" s="466">
        <f>AA84*AB84</f>
        <v>259738.99493572261</v>
      </c>
      <c r="AD84" s="468"/>
      <c r="AE84" s="468"/>
      <c r="AF84" s="468"/>
      <c r="AG84" s="615"/>
      <c r="AH84" s="491"/>
      <c r="AI84" s="468"/>
      <c r="AJ84" s="468"/>
      <c r="AK84" s="468"/>
    </row>
    <row r="85" spans="1:39" s="523" customFormat="1" x14ac:dyDescent="0.2">
      <c r="A85" s="521" t="s">
        <v>275</v>
      </c>
      <c r="B85" s="708">
        <f>$AJ$27</f>
        <v>0.67727547626247397</v>
      </c>
      <c r="C85" s="704">
        <f>$AK$13</f>
        <v>31102.5</v>
      </c>
      <c r="D85" s="522">
        <f>B80/B85</f>
        <v>17.718048889384963</v>
      </c>
      <c r="E85" s="466">
        <f>C85*D85</f>
        <v>551075.61558209581</v>
      </c>
      <c r="F85" s="466"/>
      <c r="G85" s="466"/>
      <c r="H85" s="468"/>
      <c r="I85" s="521" t="s">
        <v>275</v>
      </c>
      <c r="J85" s="708">
        <f>AK27</f>
        <v>0.79679467795585102</v>
      </c>
      <c r="K85" s="704">
        <f>$AK$13</f>
        <v>31102.5</v>
      </c>
      <c r="L85" s="522">
        <f>J80/J85</f>
        <v>19.452941176470592</v>
      </c>
      <c r="M85" s="466">
        <f>K85*L85</f>
        <v>605035.10294117662</v>
      </c>
      <c r="N85" s="466"/>
      <c r="O85" s="466"/>
      <c r="P85" s="492"/>
      <c r="Q85" s="740" t="s">
        <v>275</v>
      </c>
      <c r="R85" s="709">
        <f>AL27</f>
        <v>0.84659434532809197</v>
      </c>
      <c r="S85" s="706">
        <f>$AK$13</f>
        <v>31102.5</v>
      </c>
      <c r="T85" s="630">
        <f>R80/R85</f>
        <v>23.624065185846632</v>
      </c>
      <c r="U85" s="468">
        <f>S85*T85</f>
        <v>734767.48744279484</v>
      </c>
      <c r="V85" s="468"/>
      <c r="W85" s="468"/>
      <c r="X85" s="468"/>
      <c r="Y85" s="521" t="s">
        <v>275</v>
      </c>
      <c r="Z85" s="522">
        <f>AM27</f>
        <v>0.88045811914121597</v>
      </c>
      <c r="AA85" s="704">
        <f>$AK$13</f>
        <v>31102.5</v>
      </c>
      <c r="AB85" s="522">
        <f>Z80/Z85</f>
        <v>28.394309117604116</v>
      </c>
      <c r="AC85" s="466">
        <f>AA85*AB85</f>
        <v>883133.99933028198</v>
      </c>
      <c r="AD85" s="468"/>
      <c r="AE85" s="468"/>
      <c r="AF85" s="468"/>
      <c r="AG85" s="490"/>
      <c r="AH85" s="491"/>
      <c r="AI85" s="492"/>
      <c r="AJ85" s="492"/>
      <c r="AK85" s="492"/>
    </row>
    <row r="86" spans="1:39" s="523" customFormat="1" x14ac:dyDescent="0.2">
      <c r="A86" s="521" t="s">
        <v>276</v>
      </c>
      <c r="B86" s="522"/>
      <c r="C86" s="704">
        <f>$AK$13</f>
        <v>31102.5</v>
      </c>
      <c r="D86" s="522">
        <f>D85*$AJ$8</f>
        <v>3.4754634359947429</v>
      </c>
      <c r="E86" s="466">
        <f>C86*D86</f>
        <v>108095.60151802649</v>
      </c>
      <c r="F86" s="466"/>
      <c r="G86" s="466"/>
      <c r="H86" s="468"/>
      <c r="I86" s="521" t="s">
        <v>276</v>
      </c>
      <c r="J86" s="522"/>
      <c r="K86" s="704">
        <f>$AK$13</f>
        <v>31102.5</v>
      </c>
      <c r="L86" s="522">
        <f>L85*$AJ$8</f>
        <v>3.8157692307692312</v>
      </c>
      <c r="M86" s="466">
        <f>K86*L86</f>
        <v>118679.96250000001</v>
      </c>
      <c r="N86" s="466"/>
      <c r="O86" s="466"/>
      <c r="P86" s="492"/>
      <c r="Q86" s="740" t="s">
        <v>276</v>
      </c>
      <c r="R86" s="630"/>
      <c r="S86" s="706">
        <f>$AK$13</f>
        <v>31102.5</v>
      </c>
      <c r="T86" s="630">
        <f>T85*$AJ$8</f>
        <v>4.633951247992993</v>
      </c>
      <c r="U86" s="468">
        <f>S86*T86</f>
        <v>144127.46869070205</v>
      </c>
      <c r="V86" s="468"/>
      <c r="W86" s="468"/>
      <c r="X86" s="468"/>
      <c r="Y86" s="521" t="s">
        <v>276</v>
      </c>
      <c r="Z86" s="522"/>
      <c r="AA86" s="704">
        <f>$AK$13</f>
        <v>31102.5</v>
      </c>
      <c r="AB86" s="522">
        <f>AB85*$AJ$8</f>
        <v>5.5696529422992693</v>
      </c>
      <c r="AC86" s="466">
        <f>AA86*AB86</f>
        <v>173230.13063786301</v>
      </c>
      <c r="AD86" s="468"/>
      <c r="AE86" s="468"/>
      <c r="AF86" s="468"/>
      <c r="AG86" s="490"/>
      <c r="AH86" s="491"/>
      <c r="AI86" s="492"/>
      <c r="AJ86" s="492"/>
      <c r="AK86" s="492"/>
    </row>
    <row r="87" spans="1:39" s="466" customFormat="1" x14ac:dyDescent="0.2">
      <c r="A87" s="507" t="s">
        <v>370</v>
      </c>
      <c r="B87" s="522"/>
      <c r="C87" s="704">
        <f>$AK$14</f>
        <v>30600.305857957486</v>
      </c>
      <c r="D87" s="522">
        <f>AJ23</f>
        <v>3</v>
      </c>
      <c r="E87" s="466">
        <f>C87*D87</f>
        <v>91800.917573872459</v>
      </c>
      <c r="H87" s="468"/>
      <c r="I87" s="507" t="s">
        <v>370</v>
      </c>
      <c r="J87" s="522"/>
      <c r="K87" s="704">
        <f>$AK$14</f>
        <v>30600.305857957486</v>
      </c>
      <c r="L87" s="522">
        <f>AK23</f>
        <v>3</v>
      </c>
      <c r="M87" s="466">
        <f>K87*L87</f>
        <v>91800.917573872459</v>
      </c>
      <c r="P87" s="468"/>
      <c r="Q87" s="555" t="s">
        <v>370</v>
      </c>
      <c r="R87" s="630"/>
      <c r="S87" s="706">
        <f>$AK$14</f>
        <v>30600.305857957486</v>
      </c>
      <c r="T87" s="630">
        <f>AL23</f>
        <v>3</v>
      </c>
      <c r="U87" s="468">
        <f>S87*T87</f>
        <v>91800.917573872459</v>
      </c>
      <c r="V87" s="468"/>
      <c r="W87" s="468"/>
      <c r="X87" s="468"/>
      <c r="Y87" s="507" t="s">
        <v>370</v>
      </c>
      <c r="Z87" s="522"/>
      <c r="AA87" s="704">
        <f>$AK$14</f>
        <v>30600.305857957486</v>
      </c>
      <c r="AB87" s="522">
        <f>AM23</f>
        <v>4</v>
      </c>
      <c r="AC87" s="466">
        <f>AA87*AB87</f>
        <v>122401.22343182995</v>
      </c>
      <c r="AD87" s="468"/>
      <c r="AE87" s="468"/>
      <c r="AF87" s="468"/>
      <c r="AG87" s="490"/>
      <c r="AH87" s="491"/>
      <c r="AI87" s="468"/>
      <c r="AJ87" s="468"/>
      <c r="AK87" s="468"/>
    </row>
    <row r="88" spans="1:39" s="487" customFormat="1" x14ac:dyDescent="0.2">
      <c r="A88" s="536" t="s">
        <v>277</v>
      </c>
      <c r="B88" s="536"/>
      <c r="C88" s="537"/>
      <c r="D88" s="538">
        <f>SUM(D83:D87)</f>
        <v>30.343512325379709</v>
      </c>
      <c r="E88" s="537">
        <f>SUM(E83:E87)</f>
        <v>1087119.5569763635</v>
      </c>
      <c r="F88" s="473"/>
      <c r="G88" s="473"/>
      <c r="H88" s="473"/>
      <c r="I88" s="536" t="s">
        <v>277</v>
      </c>
      <c r="J88" s="536"/>
      <c r="K88" s="537"/>
      <c r="L88" s="538">
        <f>SUM(L83:L87)</f>
        <v>32.418710407239828</v>
      </c>
      <c r="M88" s="537">
        <f>SUM(M83:M87)</f>
        <v>1151663.4053174178</v>
      </c>
      <c r="N88" s="473"/>
      <c r="O88" s="473"/>
      <c r="P88" s="513"/>
      <c r="Q88" s="513" t="s">
        <v>277</v>
      </c>
      <c r="R88" s="513"/>
      <c r="S88" s="473"/>
      <c r="T88" s="539">
        <f>SUM(T83:T87)</f>
        <v>37.40801643383962</v>
      </c>
      <c r="U88" s="473">
        <f>SUM(U83:U87)</f>
        <v>1306843.296009738</v>
      </c>
      <c r="V88" s="473"/>
      <c r="W88" s="473"/>
      <c r="X88" s="473"/>
      <c r="Y88" s="536" t="s">
        <v>277</v>
      </c>
      <c r="Z88" s="536"/>
      <c r="AA88" s="537"/>
      <c r="AB88" s="538">
        <f>SUM(AB83:AB87)</f>
        <v>45.113962059903386</v>
      </c>
      <c r="AC88" s="537">
        <f>SUM(AC83:AC87)</f>
        <v>1566860.5746894879</v>
      </c>
      <c r="AD88" s="473"/>
      <c r="AE88" s="473"/>
      <c r="AF88" s="473"/>
      <c r="AG88" s="490"/>
      <c r="AH88" s="491"/>
      <c r="AI88" s="513"/>
      <c r="AJ88" s="513"/>
      <c r="AK88" s="513"/>
    </row>
    <row r="89" spans="1:39" s="487" customFormat="1" x14ac:dyDescent="0.2">
      <c r="A89" s="513"/>
      <c r="B89" s="513"/>
      <c r="C89" s="473"/>
      <c r="D89" s="539"/>
      <c r="E89" s="473"/>
      <c r="F89" s="473"/>
      <c r="G89" s="473"/>
      <c r="H89" s="473"/>
      <c r="I89" s="513"/>
      <c r="J89" s="513"/>
      <c r="K89" s="473"/>
      <c r="L89" s="539"/>
      <c r="M89" s="473"/>
      <c r="N89" s="473"/>
      <c r="O89" s="473"/>
      <c r="P89" s="513"/>
      <c r="Q89" s="513"/>
      <c r="R89" s="513"/>
      <c r="S89" s="473"/>
      <c r="T89" s="539"/>
      <c r="U89" s="473"/>
      <c r="V89" s="473"/>
      <c r="W89" s="473"/>
      <c r="X89" s="473"/>
      <c r="Y89" s="513"/>
      <c r="Z89" s="513"/>
      <c r="AA89" s="473"/>
      <c r="AB89" s="539"/>
      <c r="AC89" s="473"/>
      <c r="AD89" s="473"/>
      <c r="AE89" s="473"/>
      <c r="AF89" s="473"/>
      <c r="AG89" s="490"/>
      <c r="AH89" s="491"/>
      <c r="AI89" s="513"/>
      <c r="AJ89" s="513"/>
      <c r="AK89" s="513"/>
    </row>
    <row r="90" spans="1:39" s="487" customFormat="1" x14ac:dyDescent="0.2">
      <c r="A90" s="541" t="s">
        <v>278</v>
      </c>
      <c r="B90" s="541"/>
      <c r="C90" s="542"/>
      <c r="D90" s="543" t="s">
        <v>279</v>
      </c>
      <c r="E90" s="542"/>
      <c r="F90" s="542"/>
      <c r="G90" s="542"/>
      <c r="H90" s="544"/>
      <c r="I90" s="541" t="s">
        <v>278</v>
      </c>
      <c r="J90" s="541"/>
      <c r="K90" s="542"/>
      <c r="L90" s="543" t="s">
        <v>279</v>
      </c>
      <c r="M90" s="542"/>
      <c r="N90" s="542"/>
      <c r="O90" s="542"/>
      <c r="P90" s="513"/>
      <c r="Q90" s="589" t="s">
        <v>278</v>
      </c>
      <c r="R90" s="589"/>
      <c r="S90" s="544"/>
      <c r="T90" s="631" t="s">
        <v>279</v>
      </c>
      <c r="U90" s="544"/>
      <c r="V90" s="544"/>
      <c r="W90" s="544"/>
      <c r="X90" s="544"/>
      <c r="Y90" s="541" t="s">
        <v>278</v>
      </c>
      <c r="Z90" s="541"/>
      <c r="AA90" s="542"/>
      <c r="AB90" s="543" t="s">
        <v>279</v>
      </c>
      <c r="AC90" s="542"/>
      <c r="AD90" s="544"/>
      <c r="AE90" s="544"/>
      <c r="AF90" s="544"/>
      <c r="AG90" s="616"/>
      <c r="AH90" s="491"/>
      <c r="AI90" s="513"/>
      <c r="AJ90" s="513"/>
      <c r="AK90" s="513"/>
    </row>
    <row r="91" spans="1:39" s="469" customFormat="1" x14ac:dyDescent="0.2">
      <c r="A91" s="545" t="s">
        <v>280</v>
      </c>
      <c r="B91" s="546"/>
      <c r="C91" s="705">
        <f>$AJ$30</f>
        <v>0.25578770213785851</v>
      </c>
      <c r="D91" s="547"/>
      <c r="E91" s="466">
        <f>C91*E88</f>
        <v>278071.81342811079</v>
      </c>
      <c r="F91" s="509"/>
      <c r="G91" s="509"/>
      <c r="H91" s="548"/>
      <c r="I91" s="545" t="s">
        <v>280</v>
      </c>
      <c r="J91" s="546"/>
      <c r="K91" s="705">
        <f>$AJ$30</f>
        <v>0.25578770213785851</v>
      </c>
      <c r="L91" s="547"/>
      <c r="M91" s="466">
        <f>K91*M88</f>
        <v>294581.33608240349</v>
      </c>
      <c r="N91" s="466"/>
      <c r="O91" s="466"/>
      <c r="P91" s="617"/>
      <c r="Q91" s="524" t="s">
        <v>280</v>
      </c>
      <c r="R91" s="465"/>
      <c r="S91" s="707">
        <f>$AJ$30</f>
        <v>0.25578770213785851</v>
      </c>
      <c r="T91" s="632"/>
      <c r="U91" s="468">
        <f>S91*U88</f>
        <v>334274.44374059612</v>
      </c>
      <c r="V91" s="548"/>
      <c r="W91" s="548"/>
      <c r="X91" s="548"/>
      <c r="Y91" s="545" t="s">
        <v>280</v>
      </c>
      <c r="Z91" s="546"/>
      <c r="AA91" s="705">
        <f>$AJ$30</f>
        <v>0.25578770213785851</v>
      </c>
      <c r="AB91" s="547"/>
      <c r="AC91" s="466">
        <f>AA91*AC88</f>
        <v>400783.66597022855</v>
      </c>
      <c r="AD91" s="548"/>
      <c r="AE91" s="548"/>
      <c r="AF91" s="548"/>
      <c r="AG91" s="525"/>
      <c r="AH91" s="491"/>
      <c r="AI91" s="617"/>
      <c r="AJ91" s="617"/>
      <c r="AK91" s="617"/>
    </row>
    <row r="92" spans="1:39" x14ac:dyDescent="0.2">
      <c r="A92" s="550" t="s">
        <v>282</v>
      </c>
      <c r="B92" s="550"/>
      <c r="C92" s="551"/>
      <c r="D92" s="552">
        <f>E92/E79</f>
        <v>311.68752748960605</v>
      </c>
      <c r="E92" s="553">
        <f>E91+E88</f>
        <v>1365191.3704044744</v>
      </c>
      <c r="F92" s="468"/>
      <c r="G92" s="468"/>
      <c r="H92" s="468"/>
      <c r="I92" s="550" t="s">
        <v>282</v>
      </c>
      <c r="J92" s="550"/>
      <c r="K92" s="551"/>
      <c r="L92" s="552">
        <f>M92/M79</f>
        <v>255.63318451609746</v>
      </c>
      <c r="M92" s="553">
        <f>M91+M88</f>
        <v>1446244.7413998214</v>
      </c>
      <c r="N92" s="544"/>
      <c r="O92" s="544"/>
      <c r="Q92" s="464" t="s">
        <v>282</v>
      </c>
      <c r="R92" s="464"/>
      <c r="S92" s="468"/>
      <c r="T92" s="594">
        <f>U92/U79</f>
        <v>224.81064928086769</v>
      </c>
      <c r="U92" s="544">
        <f>U91+U88</f>
        <v>1641117.7397503341</v>
      </c>
      <c r="V92" s="544"/>
      <c r="W92" s="544"/>
      <c r="X92" s="544"/>
      <c r="Y92" s="550" t="s">
        <v>282</v>
      </c>
      <c r="Z92" s="550"/>
      <c r="AA92" s="551"/>
      <c r="AB92" s="552">
        <f>AC92/AC79</f>
        <v>215.63224555174975</v>
      </c>
      <c r="AC92" s="553">
        <f>AC91+AC88</f>
        <v>1967644.2406597165</v>
      </c>
      <c r="AD92" s="544"/>
      <c r="AE92" s="544"/>
      <c r="AF92" s="544"/>
      <c r="AG92" s="524"/>
      <c r="AH92" s="464"/>
      <c r="AI92" s="464"/>
      <c r="AJ92" s="464"/>
      <c r="AK92" s="464"/>
      <c r="AL92" s="463"/>
      <c r="AM92" s="463"/>
    </row>
    <row r="93" spans="1:39" x14ac:dyDescent="0.2">
      <c r="C93" s="466"/>
      <c r="D93" s="467"/>
      <c r="E93" s="466"/>
      <c r="F93" s="466"/>
      <c r="G93" s="466"/>
      <c r="H93" s="468"/>
      <c r="I93" s="463"/>
      <c r="J93" s="463"/>
      <c r="Q93" s="464"/>
      <c r="R93" s="464"/>
      <c r="S93" s="468"/>
      <c r="T93" s="592"/>
      <c r="X93" s="468"/>
      <c r="Y93" s="463"/>
      <c r="Z93" s="463"/>
      <c r="AA93" s="466"/>
      <c r="AB93" s="467"/>
      <c r="AC93" s="466"/>
      <c r="AG93" s="500"/>
      <c r="AH93" s="464"/>
      <c r="AI93" s="464"/>
      <c r="AJ93" s="464"/>
      <c r="AK93" s="464"/>
      <c r="AL93" s="463"/>
      <c r="AM93" s="463"/>
    </row>
    <row r="94" spans="1:39" x14ac:dyDescent="0.2">
      <c r="A94" s="463" t="s">
        <v>91</v>
      </c>
      <c r="C94" s="466"/>
      <c r="D94" s="510">
        <f>$AJ$34</f>
        <v>4.8269348195899369</v>
      </c>
      <c r="E94" s="466">
        <f>D94*E$79</f>
        <v>21141.974509803924</v>
      </c>
      <c r="F94" s="560"/>
      <c r="G94" s="560"/>
      <c r="H94" s="468"/>
      <c r="I94" s="463" t="s">
        <v>91</v>
      </c>
      <c r="J94" s="463"/>
      <c r="L94" s="510">
        <f>$AJ$34</f>
        <v>4.8269348195899369</v>
      </c>
      <c r="M94" s="466">
        <f>L94*M$79</f>
        <v>27308.383741830068</v>
      </c>
      <c r="Q94" s="464" t="s">
        <v>91</v>
      </c>
      <c r="R94" s="464"/>
      <c r="S94" s="468"/>
      <c r="T94" s="594">
        <f>$AJ$34</f>
        <v>4.8269348195899369</v>
      </c>
      <c r="U94" s="468">
        <f>T94*U$79</f>
        <v>35236.624183006541</v>
      </c>
      <c r="X94" s="468"/>
      <c r="Y94" s="463" t="s">
        <v>91</v>
      </c>
      <c r="Z94" s="463"/>
      <c r="AA94" s="466"/>
      <c r="AB94" s="510">
        <f>$AJ$34</f>
        <v>4.8269348195899369</v>
      </c>
      <c r="AC94" s="466">
        <f>AB94*AC$79</f>
        <v>44045.780228758173</v>
      </c>
      <c r="AG94" s="534"/>
      <c r="AH94" s="464"/>
      <c r="AI94" s="464"/>
      <c r="AJ94" s="464"/>
      <c r="AK94" s="464"/>
      <c r="AL94" s="463"/>
      <c r="AM94" s="463"/>
    </row>
    <row r="95" spans="1:39" x14ac:dyDescent="0.2">
      <c r="C95" s="466"/>
      <c r="D95" s="510"/>
      <c r="E95" s="563"/>
      <c r="F95" s="563"/>
      <c r="G95" s="563"/>
      <c r="H95" s="564"/>
      <c r="I95" s="463"/>
      <c r="J95" s="463"/>
      <c r="L95" s="510"/>
      <c r="M95" s="563"/>
      <c r="N95" s="563"/>
      <c r="O95" s="563"/>
      <c r="Q95" s="464"/>
      <c r="R95" s="464"/>
      <c r="S95" s="468"/>
      <c r="T95" s="594"/>
      <c r="U95" s="564"/>
      <c r="V95" s="564"/>
      <c r="W95" s="564"/>
      <c r="X95" s="564"/>
      <c r="Y95" s="463"/>
      <c r="Z95" s="463"/>
      <c r="AA95" s="466"/>
      <c r="AB95" s="510"/>
      <c r="AC95" s="563"/>
      <c r="AD95" s="564"/>
      <c r="AE95" s="564"/>
      <c r="AF95" s="564"/>
      <c r="AG95" s="534"/>
      <c r="AH95" s="464"/>
      <c r="AI95" s="464"/>
      <c r="AJ95" s="464"/>
      <c r="AK95" s="464"/>
      <c r="AL95" s="463"/>
      <c r="AM95" s="463"/>
    </row>
    <row r="96" spans="1:39" x14ac:dyDescent="0.2">
      <c r="A96" s="463" t="s">
        <v>283</v>
      </c>
      <c r="C96" s="466"/>
      <c r="D96" s="510">
        <f>$AJ$36</f>
        <v>16.772324588891873</v>
      </c>
      <c r="E96" s="466">
        <f>D96*E$79</f>
        <v>73462.781699346408</v>
      </c>
      <c r="F96" s="466"/>
      <c r="G96" s="466"/>
      <c r="H96" s="468"/>
      <c r="I96" s="463" t="s">
        <v>283</v>
      </c>
      <c r="J96" s="463"/>
      <c r="L96" s="510">
        <f>$AJ$36</f>
        <v>16.772324588891873</v>
      </c>
      <c r="M96" s="466">
        <f>L96*M$79</f>
        <v>94889.426361655773</v>
      </c>
      <c r="Q96" s="464" t="s">
        <v>283</v>
      </c>
      <c r="R96" s="464"/>
      <c r="S96" s="468"/>
      <c r="T96" s="594">
        <f>$AJ$36</f>
        <v>16.772324588891873</v>
      </c>
      <c r="U96" s="468">
        <f>T96*U$79</f>
        <v>122437.96949891068</v>
      </c>
      <c r="X96" s="468"/>
      <c r="Y96" s="463" t="s">
        <v>283</v>
      </c>
      <c r="Z96" s="463"/>
      <c r="AA96" s="466"/>
      <c r="AB96" s="510">
        <f>$AJ$36</f>
        <v>16.772324588891873</v>
      </c>
      <c r="AC96" s="466">
        <f>AB96*AC$79</f>
        <v>153047.46187363836</v>
      </c>
      <c r="AG96" s="534"/>
      <c r="AH96" s="464"/>
      <c r="AI96" s="464"/>
      <c r="AJ96" s="464"/>
      <c r="AK96" s="464"/>
      <c r="AL96" s="463"/>
      <c r="AM96" s="463"/>
    </row>
    <row r="97" spans="1:39" x14ac:dyDescent="0.2">
      <c r="C97" s="466"/>
      <c r="D97" s="566">
        <f>SUM(D94:D96)</f>
        <v>21.59925940848181</v>
      </c>
      <c r="E97" s="466"/>
      <c r="F97" s="466"/>
      <c r="G97" s="466"/>
      <c r="H97" s="468"/>
      <c r="I97" s="463"/>
      <c r="J97" s="463"/>
      <c r="L97" s="566">
        <f>SUM(L94:L96)</f>
        <v>21.59925940848181</v>
      </c>
      <c r="Q97" s="464"/>
      <c r="R97" s="464"/>
      <c r="S97" s="468"/>
      <c r="T97" s="741">
        <f>SUM(T94:T96)</f>
        <v>21.59925940848181</v>
      </c>
      <c r="X97" s="468"/>
      <c r="Y97" s="463"/>
      <c r="Z97" s="463"/>
      <c r="AA97" s="466"/>
      <c r="AB97" s="566">
        <f>SUM(AB94:AB96)</f>
        <v>21.59925940848181</v>
      </c>
      <c r="AC97" s="466"/>
      <c r="AG97" s="534"/>
      <c r="AH97" s="464"/>
      <c r="AI97" s="464"/>
      <c r="AJ97" s="464"/>
      <c r="AK97" s="464"/>
      <c r="AL97" s="463"/>
      <c r="AM97" s="463"/>
    </row>
    <row r="98" spans="1:39" x14ac:dyDescent="0.2">
      <c r="A98" s="536" t="s">
        <v>371</v>
      </c>
      <c r="B98" s="536"/>
      <c r="C98" s="537"/>
      <c r="D98" s="538"/>
      <c r="E98" s="537">
        <f>SUM(E92:E96)</f>
        <v>1459796.1266136246</v>
      </c>
      <c r="F98" s="473"/>
      <c r="G98" s="473"/>
      <c r="H98" s="473"/>
      <c r="I98" s="536" t="s">
        <v>371</v>
      </c>
      <c r="J98" s="536"/>
      <c r="K98" s="537"/>
      <c r="L98" s="538"/>
      <c r="M98" s="537">
        <f>SUM(M92:M96)</f>
        <v>1568442.5515033072</v>
      </c>
      <c r="N98" s="473"/>
      <c r="O98" s="473"/>
      <c r="Q98" s="513" t="s">
        <v>371</v>
      </c>
      <c r="R98" s="513"/>
      <c r="S98" s="473"/>
      <c r="T98" s="539"/>
      <c r="U98" s="473">
        <f>SUM(U92:U96)</f>
        <v>1798792.3334322514</v>
      </c>
      <c r="V98" s="473"/>
      <c r="W98" s="473"/>
      <c r="X98" s="473"/>
      <c r="Y98" s="536" t="s">
        <v>371</v>
      </c>
      <c r="Z98" s="536"/>
      <c r="AA98" s="537"/>
      <c r="AB98" s="538"/>
      <c r="AC98" s="537">
        <f>SUM(AC92:AC96)</f>
        <v>2164737.4827621132</v>
      </c>
      <c r="AD98" s="473"/>
      <c r="AE98" s="473"/>
      <c r="AF98" s="473"/>
      <c r="AG98" s="534"/>
      <c r="AH98" s="464"/>
      <c r="AI98" s="464"/>
      <c r="AJ98" s="464"/>
      <c r="AK98" s="464"/>
      <c r="AL98" s="463"/>
      <c r="AM98" s="463"/>
    </row>
    <row r="99" spans="1:39" x14ac:dyDescent="0.2">
      <c r="A99" s="463" t="s">
        <v>286</v>
      </c>
      <c r="C99" s="567" t="e">
        <f>$AJ$39</f>
        <v>#REF!</v>
      </c>
      <c r="D99" s="522"/>
      <c r="E99" s="466" t="e">
        <f>C99*E98</f>
        <v>#REF!</v>
      </c>
      <c r="F99" s="564"/>
      <c r="G99" s="564"/>
      <c r="H99" s="468"/>
      <c r="I99" s="463" t="s">
        <v>286</v>
      </c>
      <c r="J99" s="463"/>
      <c r="K99" s="567" t="e">
        <f>$AJ$39</f>
        <v>#REF!</v>
      </c>
      <c r="L99" s="522"/>
      <c r="M99" s="466" t="e">
        <f>K99*M98</f>
        <v>#REF!</v>
      </c>
      <c r="Q99" s="464" t="s">
        <v>286</v>
      </c>
      <c r="R99" s="464"/>
      <c r="S99" s="633" t="e">
        <f>$AJ$39</f>
        <v>#REF!</v>
      </c>
      <c r="T99" s="630"/>
      <c r="U99" s="468" t="e">
        <f>S99*U98</f>
        <v>#REF!</v>
      </c>
      <c r="X99" s="468"/>
      <c r="Y99" s="463" t="s">
        <v>286</v>
      </c>
      <c r="Z99" s="463"/>
      <c r="AA99" s="567" t="e">
        <f>$AJ$39</f>
        <v>#REF!</v>
      </c>
      <c r="AB99" s="522"/>
      <c r="AC99" s="466" t="e">
        <f>AA99*AC98</f>
        <v>#REF!</v>
      </c>
      <c r="AG99" s="618"/>
      <c r="AH99" s="618"/>
      <c r="AI99" s="618"/>
      <c r="AJ99" s="618"/>
      <c r="AK99" s="464"/>
      <c r="AL99" s="463"/>
      <c r="AM99" s="463"/>
    </row>
    <row r="100" spans="1:39" s="487" customFormat="1" ht="15" customHeight="1" thickBot="1" x14ac:dyDescent="0.25">
      <c r="A100" s="568" t="s">
        <v>288</v>
      </c>
      <c r="B100" s="568"/>
      <c r="C100" s="569"/>
      <c r="D100" s="570"/>
      <c r="E100" s="571" t="e">
        <f>ROUND(SUM(E98:E99),2)</f>
        <v>#REF!</v>
      </c>
      <c r="F100" s="473"/>
      <c r="G100" s="473"/>
      <c r="H100" s="473"/>
      <c r="I100" s="568" t="s">
        <v>288</v>
      </c>
      <c r="J100" s="568"/>
      <c r="K100" s="569"/>
      <c r="L100" s="570"/>
      <c r="M100" s="571" t="e">
        <f>ROUND(SUM(M98:M99),2)</f>
        <v>#REF!</v>
      </c>
      <c r="N100" s="473"/>
      <c r="O100" s="473"/>
      <c r="P100" s="513"/>
      <c r="Q100" s="589" t="s">
        <v>288</v>
      </c>
      <c r="R100" s="589"/>
      <c r="S100" s="544"/>
      <c r="T100" s="634"/>
      <c r="U100" s="473" t="e">
        <f>ROUND(SUM(U98:U99),2)</f>
        <v>#REF!</v>
      </c>
      <c r="V100" s="473"/>
      <c r="W100" s="473"/>
      <c r="X100" s="473"/>
      <c r="Y100" s="568" t="s">
        <v>288</v>
      </c>
      <c r="Z100" s="568"/>
      <c r="AA100" s="569"/>
      <c r="AB100" s="570"/>
      <c r="AC100" s="571" t="e">
        <f>ROUND(SUM(AC98:AC99),2)</f>
        <v>#REF!</v>
      </c>
      <c r="AD100" s="473"/>
      <c r="AE100" s="473"/>
      <c r="AF100" s="473"/>
      <c r="AG100" s="619"/>
      <c r="AH100" s="620"/>
      <c r="AI100" s="621"/>
      <c r="AJ100" s="620"/>
      <c r="AK100" s="513"/>
    </row>
    <row r="101" spans="1:39" s="487" customFormat="1" ht="13.5" thickTop="1" x14ac:dyDescent="0.2">
      <c r="A101" s="541"/>
      <c r="B101" s="541"/>
      <c r="C101" s="542"/>
      <c r="D101" s="572"/>
      <c r="E101" s="542"/>
      <c r="F101" s="542"/>
      <c r="G101" s="542"/>
      <c r="H101" s="544"/>
      <c r="I101" s="541"/>
      <c r="J101" s="541"/>
      <c r="K101" s="542"/>
      <c r="L101" s="572"/>
      <c r="M101" s="542"/>
      <c r="N101" s="542"/>
      <c r="O101" s="542"/>
      <c r="P101" s="513"/>
      <c r="Q101" s="589"/>
      <c r="R101" s="589"/>
      <c r="S101" s="544"/>
      <c r="T101" s="634"/>
      <c r="U101" s="544"/>
      <c r="V101" s="544"/>
      <c r="W101" s="544"/>
      <c r="X101" s="544"/>
      <c r="Y101" s="541"/>
      <c r="Z101" s="541"/>
      <c r="AA101" s="542"/>
      <c r="AB101" s="572"/>
      <c r="AC101" s="542"/>
      <c r="AD101" s="544"/>
      <c r="AE101" s="544"/>
      <c r="AF101" s="544"/>
      <c r="AG101" s="561"/>
      <c r="AH101" s="561"/>
      <c r="AI101" s="561"/>
      <c r="AJ101" s="622"/>
      <c r="AK101" s="513"/>
    </row>
    <row r="102" spans="1:39" s="577" customFormat="1" ht="13.15" customHeight="1" x14ac:dyDescent="0.2">
      <c r="A102" s="574" t="s">
        <v>289</v>
      </c>
      <c r="B102" s="574"/>
      <c r="C102" s="575"/>
      <c r="D102" s="575"/>
      <c r="E102" s="576" t="e">
        <f>E100/E79</f>
        <v>#REF!</v>
      </c>
      <c r="G102" s="1128" t="s">
        <v>396</v>
      </c>
      <c r="H102" s="578"/>
      <c r="I102" s="574" t="s">
        <v>289</v>
      </c>
      <c r="J102" s="574"/>
      <c r="K102" s="575"/>
      <c r="L102" s="575"/>
      <c r="M102" s="576" t="e">
        <f>M100/M79</f>
        <v>#REF!</v>
      </c>
      <c r="O102" s="1128" t="s">
        <v>396</v>
      </c>
      <c r="P102" s="623"/>
      <c r="Q102" s="575" t="s">
        <v>289</v>
      </c>
      <c r="R102" s="575"/>
      <c r="S102" s="575"/>
      <c r="T102" s="575"/>
      <c r="U102" s="576" t="e">
        <f>U100/U79</f>
        <v>#REF!</v>
      </c>
      <c r="V102" s="623"/>
      <c r="W102" s="1128" t="s">
        <v>396</v>
      </c>
      <c r="Y102" s="574" t="s">
        <v>289</v>
      </c>
      <c r="Z102" s="574"/>
      <c r="AA102" s="575"/>
      <c r="AB102" s="575"/>
      <c r="AC102" s="576" t="e">
        <f>AC100/AC79</f>
        <v>#REF!</v>
      </c>
      <c r="AE102" s="1128" t="s">
        <v>396</v>
      </c>
      <c r="AG102" s="561"/>
      <c r="AH102" s="561"/>
      <c r="AI102" s="561"/>
      <c r="AJ102" s="561"/>
      <c r="AK102" s="623"/>
    </row>
    <row r="103" spans="1:39" s="577" customFormat="1" ht="13.5" thickBot="1" x14ac:dyDescent="0.25">
      <c r="A103" s="574" t="s">
        <v>290</v>
      </c>
      <c r="B103" s="574"/>
      <c r="C103" s="579">
        <f>$AK$40</f>
        <v>4.4640068153077195E-2</v>
      </c>
      <c r="D103" s="575"/>
      <c r="E103" s="576"/>
      <c r="F103" s="464" t="s">
        <v>291</v>
      </c>
      <c r="G103" s="1137"/>
      <c r="H103" s="578"/>
      <c r="I103" s="574" t="s">
        <v>290</v>
      </c>
      <c r="J103" s="574"/>
      <c r="K103" s="579">
        <f>$AK$40</f>
        <v>4.4640068153077195E-2</v>
      </c>
      <c r="L103" s="575"/>
      <c r="M103" s="576"/>
      <c r="N103" s="464" t="s">
        <v>291</v>
      </c>
      <c r="O103" s="1137"/>
      <c r="P103" s="623"/>
      <c r="Q103" s="575" t="s">
        <v>290</v>
      </c>
      <c r="R103" s="575"/>
      <c r="S103" s="579">
        <f>$AK$40</f>
        <v>4.4640068153077195E-2</v>
      </c>
      <c r="T103" s="575"/>
      <c r="U103" s="576"/>
      <c r="V103" s="464" t="s">
        <v>291</v>
      </c>
      <c r="W103" s="1137"/>
      <c r="X103" s="464"/>
      <c r="Y103" s="574" t="s">
        <v>290</v>
      </c>
      <c r="Z103" s="574"/>
      <c r="AA103" s="579">
        <f>$AK$40</f>
        <v>4.4640068153077195E-2</v>
      </c>
      <c r="AB103" s="575"/>
      <c r="AC103" s="576"/>
      <c r="AD103" s="464" t="s">
        <v>291</v>
      </c>
      <c r="AE103" s="1137"/>
      <c r="AF103" s="464"/>
      <c r="AG103" s="561"/>
      <c r="AH103" s="561"/>
      <c r="AI103" s="561"/>
      <c r="AJ103" s="561"/>
      <c r="AK103" s="623"/>
    </row>
    <row r="104" spans="1:39" x14ac:dyDescent="0.2">
      <c r="A104" s="581" t="s">
        <v>292</v>
      </c>
      <c r="B104" s="531"/>
      <c r="C104" s="582">
        <v>0.9</v>
      </c>
      <c r="D104" s="478"/>
      <c r="E104" s="583" t="e">
        <f t="shared" ref="E104:E112" si="7">E$100/(E$79*C104)</f>
        <v>#REF!</v>
      </c>
      <c r="F104" s="584">
        <v>442.51</v>
      </c>
      <c r="G104" s="743" t="e">
        <f>F104*(#REF!+1)</f>
        <v>#REF!</v>
      </c>
      <c r="I104" s="581" t="s">
        <v>292</v>
      </c>
      <c r="J104" s="531"/>
      <c r="K104" s="582">
        <v>0.9</v>
      </c>
      <c r="L104" s="478"/>
      <c r="M104" s="583" t="e">
        <f t="shared" ref="M104:M112" si="8">M$100/(M$79*K104)</f>
        <v>#REF!</v>
      </c>
      <c r="N104" s="584">
        <v>368.08</v>
      </c>
      <c r="O104" s="743" t="e">
        <f>N104*(#REF!+1)</f>
        <v>#REF!</v>
      </c>
      <c r="Q104" s="581" t="s">
        <v>292</v>
      </c>
      <c r="R104" s="531"/>
      <c r="S104" s="582">
        <v>0.9</v>
      </c>
      <c r="T104" s="478"/>
      <c r="U104" s="583" t="e">
        <f t="shared" ref="U104:U112" si="9">U$100/(U$79*S104)</f>
        <v>#REF!</v>
      </c>
      <c r="V104" s="584">
        <v>327.17</v>
      </c>
      <c r="W104" s="743" t="e">
        <f>V104*(#REF!+1)</f>
        <v>#REF!</v>
      </c>
      <c r="X104" s="468"/>
      <c r="Y104" s="581" t="s">
        <v>292</v>
      </c>
      <c r="Z104" s="531"/>
      <c r="AA104" s="582">
        <v>0.9</v>
      </c>
      <c r="AB104" s="478"/>
      <c r="AC104" s="583" t="e">
        <f t="shared" ref="AC104:AC112" si="10">AC$100/(AC$79*AA104)</f>
        <v>#REF!</v>
      </c>
      <c r="AD104" s="584">
        <v>314.97000000000003</v>
      </c>
      <c r="AE104" s="743" t="e">
        <f>AD104*(#REF!+1)</f>
        <v>#REF!</v>
      </c>
      <c r="AF104" s="576"/>
      <c r="AG104" s="561"/>
      <c r="AH104" s="622"/>
      <c r="AI104" s="622"/>
      <c r="AJ104" s="622"/>
      <c r="AK104" s="464"/>
      <c r="AL104" s="463"/>
      <c r="AM104" s="463"/>
    </row>
    <row r="105" spans="1:39" x14ac:dyDescent="0.2">
      <c r="A105" s="585"/>
      <c r="B105" s="464"/>
      <c r="C105" s="586">
        <v>0.85</v>
      </c>
      <c r="D105" s="468"/>
      <c r="E105" s="576" t="e">
        <f t="shared" si="7"/>
        <v>#REF!</v>
      </c>
      <c r="F105" s="587">
        <v>468.54</v>
      </c>
      <c r="G105" s="743" t="e">
        <f>F105*(#REF!+1)</f>
        <v>#REF!</v>
      </c>
      <c r="I105" s="585"/>
      <c r="J105" s="464"/>
      <c r="K105" s="586">
        <v>0.85</v>
      </c>
      <c r="L105" s="468"/>
      <c r="M105" s="576" t="e">
        <f t="shared" si="8"/>
        <v>#REF!</v>
      </c>
      <c r="N105" s="587">
        <v>389.73</v>
      </c>
      <c r="O105" s="743" t="e">
        <f>N105*(#REF!+1)</f>
        <v>#REF!</v>
      </c>
      <c r="Q105" s="585"/>
      <c r="R105" s="464"/>
      <c r="S105" s="586">
        <v>0.85</v>
      </c>
      <c r="T105" s="468"/>
      <c r="U105" s="576" t="e">
        <f t="shared" si="9"/>
        <v>#REF!</v>
      </c>
      <c r="V105" s="587">
        <v>346.41</v>
      </c>
      <c r="W105" s="743" t="e">
        <f>V105*(#REF!+1)</f>
        <v>#REF!</v>
      </c>
      <c r="X105" s="468"/>
      <c r="Y105" s="585"/>
      <c r="Z105" s="464"/>
      <c r="AA105" s="586">
        <v>0.85</v>
      </c>
      <c r="AB105" s="468"/>
      <c r="AC105" s="576" t="e">
        <f t="shared" si="10"/>
        <v>#REF!</v>
      </c>
      <c r="AD105" s="587">
        <v>333.5</v>
      </c>
      <c r="AE105" s="743" t="e">
        <f>AD105*(#REF!+1)</f>
        <v>#REF!</v>
      </c>
      <c r="AF105" s="576"/>
      <c r="AG105" s="624"/>
      <c r="AH105" s="624"/>
      <c r="AI105" s="624"/>
      <c r="AJ105" s="624"/>
      <c r="AK105" s="464"/>
      <c r="AL105" s="463"/>
      <c r="AM105" s="463"/>
    </row>
    <row r="106" spans="1:39" x14ac:dyDescent="0.2">
      <c r="A106" s="585"/>
      <c r="B106" s="464"/>
      <c r="C106" s="586">
        <v>0.8</v>
      </c>
      <c r="D106" s="468"/>
      <c r="E106" s="576" t="e">
        <f t="shared" si="7"/>
        <v>#REF!</v>
      </c>
      <c r="F106" s="587">
        <v>497.82</v>
      </c>
      <c r="G106" s="743" t="e">
        <f>F106*(#REF!+1)</f>
        <v>#REF!</v>
      </c>
      <c r="I106" s="585"/>
      <c r="J106" s="464"/>
      <c r="K106" s="586">
        <v>0.8</v>
      </c>
      <c r="L106" s="468"/>
      <c r="M106" s="576" t="e">
        <f t="shared" si="8"/>
        <v>#REF!</v>
      </c>
      <c r="N106" s="587">
        <v>414.1</v>
      </c>
      <c r="O106" s="743" t="e">
        <f>N106*(#REF!+1)</f>
        <v>#REF!</v>
      </c>
      <c r="Q106" s="585"/>
      <c r="R106" s="464"/>
      <c r="S106" s="586">
        <v>0.8</v>
      </c>
      <c r="T106" s="468"/>
      <c r="U106" s="576" t="e">
        <f t="shared" si="9"/>
        <v>#REF!</v>
      </c>
      <c r="V106" s="587">
        <v>368.05</v>
      </c>
      <c r="W106" s="743" t="e">
        <f>V106*(#REF!+1)</f>
        <v>#REF!</v>
      </c>
      <c r="X106" s="468"/>
      <c r="Y106" s="585"/>
      <c r="Z106" s="464"/>
      <c r="AA106" s="586">
        <v>0.8</v>
      </c>
      <c r="AB106" s="468"/>
      <c r="AC106" s="576" t="e">
        <f t="shared" si="10"/>
        <v>#REF!</v>
      </c>
      <c r="AD106" s="587">
        <v>354.35</v>
      </c>
      <c r="AE106" s="743" t="e">
        <f>AD106*(#REF!+1)</f>
        <v>#REF!</v>
      </c>
      <c r="AF106" s="576"/>
      <c r="AG106" s="619"/>
      <c r="AH106" s="620"/>
      <c r="AI106" s="621"/>
      <c r="AJ106" s="620"/>
      <c r="AK106" s="464"/>
      <c r="AL106" s="463"/>
      <c r="AM106" s="463"/>
    </row>
    <row r="107" spans="1:39" x14ac:dyDescent="0.2">
      <c r="A107" s="585"/>
      <c r="B107" s="464"/>
      <c r="C107" s="586">
        <v>0.75</v>
      </c>
      <c r="D107" s="468"/>
      <c r="E107" s="576" t="e">
        <f t="shared" si="7"/>
        <v>#REF!</v>
      </c>
      <c r="F107" s="587">
        <v>531.01</v>
      </c>
      <c r="G107" s="743" t="e">
        <f>F107*(#REF!+1)</f>
        <v>#REF!</v>
      </c>
      <c r="I107" s="585"/>
      <c r="J107" s="464"/>
      <c r="K107" s="586">
        <v>0.75</v>
      </c>
      <c r="L107" s="468"/>
      <c r="M107" s="576" t="e">
        <f t="shared" si="8"/>
        <v>#REF!</v>
      </c>
      <c r="N107" s="587">
        <v>441.7</v>
      </c>
      <c r="O107" s="743" t="e">
        <f>N107*(#REF!+1)</f>
        <v>#REF!</v>
      </c>
      <c r="Q107" s="585"/>
      <c r="R107" s="464"/>
      <c r="S107" s="586">
        <v>0.75</v>
      </c>
      <c r="T107" s="468"/>
      <c r="U107" s="576" t="e">
        <f t="shared" si="9"/>
        <v>#REF!</v>
      </c>
      <c r="V107" s="587">
        <v>392.59</v>
      </c>
      <c r="W107" s="743" t="e">
        <f>V107*(#REF!+1)</f>
        <v>#REF!</v>
      </c>
      <c r="X107" s="468"/>
      <c r="Y107" s="585"/>
      <c r="Z107" s="464"/>
      <c r="AA107" s="586">
        <v>0.75</v>
      </c>
      <c r="AB107" s="468"/>
      <c r="AC107" s="576" t="e">
        <f t="shared" si="10"/>
        <v>#REF!</v>
      </c>
      <c r="AD107" s="587">
        <v>377.97</v>
      </c>
      <c r="AE107" s="743" t="e">
        <f>AD107*(#REF!+1)</f>
        <v>#REF!</v>
      </c>
      <c r="AF107" s="576"/>
      <c r="AG107" s="561"/>
      <c r="AH107" s="561"/>
      <c r="AI107" s="561"/>
      <c r="AJ107" s="561"/>
      <c r="AK107" s="464"/>
      <c r="AL107" s="463"/>
      <c r="AM107" s="463"/>
    </row>
    <row r="108" spans="1:39" x14ac:dyDescent="0.2">
      <c r="A108" s="585"/>
      <c r="B108" s="464"/>
      <c r="C108" s="586">
        <v>0.7</v>
      </c>
      <c r="D108" s="468"/>
      <c r="E108" s="576" t="e">
        <f t="shared" si="7"/>
        <v>#REF!</v>
      </c>
      <c r="F108" s="587">
        <v>568.94000000000005</v>
      </c>
      <c r="G108" s="743" t="e">
        <f>F108*(#REF!+1)</f>
        <v>#REF!</v>
      </c>
      <c r="I108" s="585"/>
      <c r="J108" s="464"/>
      <c r="K108" s="586">
        <v>0.7</v>
      </c>
      <c r="L108" s="468"/>
      <c r="M108" s="576" t="e">
        <f t="shared" si="8"/>
        <v>#REF!</v>
      </c>
      <c r="N108" s="587">
        <v>473.25</v>
      </c>
      <c r="O108" s="743" t="e">
        <f>N108*(#REF!+1)</f>
        <v>#REF!</v>
      </c>
      <c r="Q108" s="585"/>
      <c r="R108" s="464"/>
      <c r="S108" s="586">
        <v>0.7</v>
      </c>
      <c r="T108" s="468"/>
      <c r="U108" s="576" t="e">
        <f t="shared" si="9"/>
        <v>#REF!</v>
      </c>
      <c r="V108" s="587">
        <v>420.64</v>
      </c>
      <c r="W108" s="743" t="e">
        <f>V108*(#REF!+1)</f>
        <v>#REF!</v>
      </c>
      <c r="X108" s="468"/>
      <c r="Y108" s="585"/>
      <c r="Z108" s="464"/>
      <c r="AA108" s="586">
        <v>0.7</v>
      </c>
      <c r="AB108" s="468"/>
      <c r="AC108" s="576" t="e">
        <f t="shared" si="10"/>
        <v>#REF!</v>
      </c>
      <c r="AD108" s="587">
        <v>404.97</v>
      </c>
      <c r="AE108" s="743" t="e">
        <f>AD108*(#REF!+1)</f>
        <v>#REF!</v>
      </c>
      <c r="AF108" s="576"/>
      <c r="AG108" s="561"/>
      <c r="AH108" s="561"/>
      <c r="AI108" s="561"/>
      <c r="AJ108" s="561"/>
      <c r="AK108" s="464"/>
      <c r="AL108" s="463"/>
      <c r="AM108" s="463"/>
    </row>
    <row r="109" spans="1:39" x14ac:dyDescent="0.2">
      <c r="A109" s="585"/>
      <c r="B109" s="464"/>
      <c r="C109" s="586">
        <v>0.65</v>
      </c>
      <c r="D109" s="468"/>
      <c r="E109" s="576" t="e">
        <f t="shared" si="7"/>
        <v>#REF!</v>
      </c>
      <c r="F109" s="587">
        <v>612.70000000000005</v>
      </c>
      <c r="G109" s="743" t="e">
        <f>F109*(#REF!+1)</f>
        <v>#REF!</v>
      </c>
      <c r="I109" s="585"/>
      <c r="J109" s="464"/>
      <c r="K109" s="586">
        <v>0.65</v>
      </c>
      <c r="L109" s="468"/>
      <c r="M109" s="576" t="e">
        <f t="shared" si="8"/>
        <v>#REF!</v>
      </c>
      <c r="N109" s="587">
        <v>509.66</v>
      </c>
      <c r="O109" s="743" t="e">
        <f>N109*(#REF!+1)</f>
        <v>#REF!</v>
      </c>
      <c r="Q109" s="585"/>
      <c r="R109" s="464"/>
      <c r="S109" s="586">
        <v>0.65</v>
      </c>
      <c r="T109" s="468"/>
      <c r="U109" s="576" t="e">
        <f t="shared" si="9"/>
        <v>#REF!</v>
      </c>
      <c r="V109" s="587">
        <v>453</v>
      </c>
      <c r="W109" s="743" t="e">
        <f>V109*(#REF!+1)</f>
        <v>#REF!</v>
      </c>
      <c r="X109" s="468"/>
      <c r="Y109" s="585"/>
      <c r="Z109" s="464"/>
      <c r="AA109" s="586">
        <v>0.65</v>
      </c>
      <c r="AB109" s="468"/>
      <c r="AC109" s="576" t="e">
        <f t="shared" si="10"/>
        <v>#REF!</v>
      </c>
      <c r="AD109" s="587">
        <v>436.12</v>
      </c>
      <c r="AE109" s="743" t="e">
        <f>AD109*(#REF!+1)</f>
        <v>#REF!</v>
      </c>
      <c r="AF109" s="576"/>
      <c r="AH109" s="464"/>
      <c r="AI109" s="464"/>
      <c r="AJ109" s="464"/>
      <c r="AK109" s="464"/>
      <c r="AL109" s="463"/>
      <c r="AM109" s="463"/>
    </row>
    <row r="110" spans="1:39" x14ac:dyDescent="0.2">
      <c r="A110" s="585"/>
      <c r="B110" s="464"/>
      <c r="C110" s="586">
        <v>0.6</v>
      </c>
      <c r="D110" s="468"/>
      <c r="E110" s="576" t="e">
        <f t="shared" si="7"/>
        <v>#REF!</v>
      </c>
      <c r="F110" s="587">
        <v>663.76</v>
      </c>
      <c r="G110" s="743" t="e">
        <f>F110*(#REF!+1)</f>
        <v>#REF!</v>
      </c>
      <c r="I110" s="585"/>
      <c r="J110" s="464"/>
      <c r="K110" s="586">
        <v>0.6</v>
      </c>
      <c r="L110" s="468"/>
      <c r="M110" s="576" t="e">
        <f t="shared" si="8"/>
        <v>#REF!</v>
      </c>
      <c r="N110" s="587">
        <v>552.12</v>
      </c>
      <c r="O110" s="743" t="e">
        <f>N110*(#REF!+1)</f>
        <v>#REF!</v>
      </c>
      <c r="Q110" s="585"/>
      <c r="R110" s="464"/>
      <c r="S110" s="586">
        <v>0.6</v>
      </c>
      <c r="T110" s="468"/>
      <c r="U110" s="576" t="e">
        <f t="shared" si="9"/>
        <v>#REF!</v>
      </c>
      <c r="V110" s="587">
        <v>490.74</v>
      </c>
      <c r="W110" s="743" t="e">
        <f>V110*(#REF!+1)</f>
        <v>#REF!</v>
      </c>
      <c r="X110" s="468"/>
      <c r="Y110" s="585"/>
      <c r="Z110" s="464"/>
      <c r="AA110" s="586">
        <v>0.6</v>
      </c>
      <c r="AB110" s="468"/>
      <c r="AC110" s="576" t="e">
        <f t="shared" si="10"/>
        <v>#REF!</v>
      </c>
      <c r="AD110" s="587">
        <v>472.46</v>
      </c>
      <c r="AE110" s="743" t="e">
        <f>AD110*(#REF!+1)</f>
        <v>#REF!</v>
      </c>
      <c r="AF110" s="576"/>
      <c r="AG110" s="591"/>
      <c r="AH110" s="464"/>
      <c r="AI110" s="464"/>
      <c r="AJ110" s="464"/>
      <c r="AK110" s="464"/>
      <c r="AL110" s="463"/>
      <c r="AM110" s="463"/>
    </row>
    <row r="111" spans="1:39" x14ac:dyDescent="0.2">
      <c r="A111" s="585"/>
      <c r="B111" s="464"/>
      <c r="C111" s="586">
        <v>0.55000000000000004</v>
      </c>
      <c r="D111" s="468"/>
      <c r="E111" s="576" t="e">
        <f t="shared" si="7"/>
        <v>#REF!</v>
      </c>
      <c r="F111" s="587">
        <v>724.1</v>
      </c>
      <c r="G111" s="743" t="e">
        <f>F111*(#REF!+1)</f>
        <v>#REF!</v>
      </c>
      <c r="I111" s="585"/>
      <c r="J111" s="464"/>
      <c r="K111" s="586">
        <v>0.55000000000000004</v>
      </c>
      <c r="L111" s="468"/>
      <c r="M111" s="576" t="e">
        <f t="shared" si="8"/>
        <v>#REF!</v>
      </c>
      <c r="N111" s="587">
        <v>602.33000000000004</v>
      </c>
      <c r="O111" s="743" t="e">
        <f>N111*(#REF!+1)</f>
        <v>#REF!</v>
      </c>
      <c r="Q111" s="585"/>
      <c r="R111" s="464"/>
      <c r="S111" s="586">
        <v>0.55000000000000004</v>
      </c>
      <c r="T111" s="468"/>
      <c r="U111" s="576" t="e">
        <f t="shared" si="9"/>
        <v>#REF!</v>
      </c>
      <c r="V111" s="587">
        <v>535.36</v>
      </c>
      <c r="W111" s="743" t="e">
        <f>V111*(#REF!+1)</f>
        <v>#REF!</v>
      </c>
      <c r="X111" s="468"/>
      <c r="Y111" s="585"/>
      <c r="Z111" s="464"/>
      <c r="AA111" s="586">
        <v>0.55000000000000004</v>
      </c>
      <c r="AB111" s="468"/>
      <c r="AC111" s="576" t="e">
        <f t="shared" si="10"/>
        <v>#REF!</v>
      </c>
      <c r="AD111" s="587">
        <v>515.41</v>
      </c>
      <c r="AE111" s="743" t="e">
        <f>AD111*(#REF!+1)</f>
        <v>#REF!</v>
      </c>
      <c r="AF111" s="576"/>
      <c r="AH111" s="594"/>
      <c r="AI111" s="464"/>
      <c r="AJ111" s="464"/>
      <c r="AK111" s="513"/>
      <c r="AL111" s="487"/>
      <c r="AM111" s="487"/>
    </row>
    <row r="112" spans="1:39" ht="13.5" thickBot="1" x14ac:dyDescent="0.25">
      <c r="A112" s="596"/>
      <c r="B112" s="597"/>
      <c r="C112" s="598">
        <v>0.5</v>
      </c>
      <c r="D112" s="599"/>
      <c r="E112" s="600" t="e">
        <f t="shared" si="7"/>
        <v>#REF!</v>
      </c>
      <c r="F112" s="601">
        <v>796.52</v>
      </c>
      <c r="G112" s="743" t="e">
        <f>F112*(#REF!+1)</f>
        <v>#REF!</v>
      </c>
      <c r="I112" s="596"/>
      <c r="J112" s="597"/>
      <c r="K112" s="598">
        <v>0.5</v>
      </c>
      <c r="L112" s="599"/>
      <c r="M112" s="600" t="e">
        <f t="shared" si="8"/>
        <v>#REF!</v>
      </c>
      <c r="N112" s="601">
        <v>662.56</v>
      </c>
      <c r="O112" s="743" t="e">
        <f>N112*(#REF!+1)</f>
        <v>#REF!</v>
      </c>
      <c r="Q112" s="596"/>
      <c r="R112" s="597"/>
      <c r="S112" s="598">
        <v>0.5</v>
      </c>
      <c r="T112" s="599"/>
      <c r="U112" s="600" t="e">
        <f t="shared" si="9"/>
        <v>#REF!</v>
      </c>
      <c r="V112" s="601">
        <v>588.89</v>
      </c>
      <c r="W112" s="743" t="e">
        <f>V112*(#REF!+1)</f>
        <v>#REF!</v>
      </c>
      <c r="X112" s="468"/>
      <c r="Y112" s="596"/>
      <c r="Z112" s="597"/>
      <c r="AA112" s="598">
        <v>0.5</v>
      </c>
      <c r="AB112" s="599"/>
      <c r="AC112" s="600" t="e">
        <f t="shared" si="10"/>
        <v>#REF!</v>
      </c>
      <c r="AD112" s="601">
        <v>566.96</v>
      </c>
      <c r="AE112" s="743" t="e">
        <f>AD112*(#REF!+1)</f>
        <v>#REF!</v>
      </c>
      <c r="AF112" s="576"/>
      <c r="AG112" s="625"/>
      <c r="AH112" s="606"/>
      <c r="AI112" s="607"/>
      <c r="AJ112" s="464"/>
      <c r="AK112" s="464"/>
      <c r="AL112" s="463"/>
      <c r="AM112" s="463"/>
    </row>
    <row r="113" spans="1:39" ht="13.5" thickBot="1" x14ac:dyDescent="0.25">
      <c r="A113" s="575"/>
      <c r="B113" s="464"/>
      <c r="C113" s="586"/>
      <c r="D113" s="468"/>
      <c r="E113" s="576"/>
      <c r="F113" s="576"/>
      <c r="G113" s="576"/>
      <c r="I113" s="575"/>
      <c r="J113" s="464"/>
      <c r="K113" s="586"/>
      <c r="L113" s="468"/>
      <c r="M113" s="576"/>
      <c r="N113" s="576"/>
      <c r="O113" s="576"/>
      <c r="Q113" s="575"/>
      <c r="R113" s="464"/>
      <c r="S113" s="586"/>
      <c r="T113" s="468"/>
      <c r="U113" s="576"/>
      <c r="V113" s="576"/>
      <c r="W113" s="576"/>
      <c r="X113" s="468"/>
      <c r="Y113" s="575"/>
      <c r="Z113" s="464"/>
      <c r="AA113" s="586"/>
      <c r="AB113" s="468"/>
      <c r="AC113" s="576"/>
      <c r="AD113" s="576"/>
      <c r="AE113" s="576"/>
      <c r="AF113" s="576"/>
      <c r="AG113" s="625"/>
      <c r="AH113" s="606"/>
      <c r="AI113" s="607"/>
      <c r="AJ113" s="464"/>
      <c r="AK113" s="464"/>
      <c r="AL113" s="463"/>
      <c r="AM113" s="463"/>
    </row>
    <row r="114" spans="1:39" ht="13.5" thickBot="1" x14ac:dyDescent="0.25">
      <c r="A114" s="1140" t="s">
        <v>299</v>
      </c>
      <c r="B114" s="1141"/>
      <c r="AJ114" s="592"/>
      <c r="AK114" s="468"/>
      <c r="AL114" s="463"/>
      <c r="AM114" s="463"/>
    </row>
    <row r="115" spans="1:39" ht="14.25" customHeight="1" x14ac:dyDescent="0.2">
      <c r="A115" s="469"/>
      <c r="B115" s="465"/>
      <c r="C115" s="470" t="s">
        <v>255</v>
      </c>
      <c r="D115" s="471"/>
      <c r="E115" s="472"/>
      <c r="F115" s="472"/>
      <c r="G115" s="472"/>
      <c r="H115" s="473"/>
      <c r="I115" s="1142" t="s">
        <v>256</v>
      </c>
      <c r="J115" s="1142"/>
      <c r="K115" s="1142"/>
      <c r="L115" s="1142"/>
      <c r="M115" s="1142"/>
      <c r="N115" s="472"/>
      <c r="O115" s="472"/>
      <c r="Q115" s="469"/>
      <c r="R115" s="465"/>
      <c r="S115" s="470" t="s">
        <v>257</v>
      </c>
      <c r="T115" s="471"/>
      <c r="U115" s="472"/>
      <c r="V115" s="473"/>
      <c r="W115" s="473"/>
      <c r="X115" s="473"/>
      <c r="Y115" s="469"/>
      <c r="Z115" s="465"/>
      <c r="AA115" s="470" t="s">
        <v>258</v>
      </c>
      <c r="AB115" s="471"/>
      <c r="AC115" s="472"/>
      <c r="AD115" s="473"/>
      <c r="AE115" s="473"/>
      <c r="AF115" s="473"/>
      <c r="AG115" s="592"/>
      <c r="AI115" s="464"/>
      <c r="AJ115" s="464"/>
      <c r="AK115" s="464"/>
      <c r="AL115" s="463"/>
      <c r="AM115" s="463"/>
    </row>
    <row r="116" spans="1:39" s="487" customFormat="1" x14ac:dyDescent="0.2">
      <c r="A116" s="480" t="s">
        <v>261</v>
      </c>
      <c r="B116" s="481" t="s">
        <v>339</v>
      </c>
      <c r="C116" s="482" t="s">
        <v>262</v>
      </c>
      <c r="D116" s="483">
        <v>365</v>
      </c>
      <c r="E116" s="484">
        <f>D116*B117</f>
        <v>4380</v>
      </c>
      <c r="F116" s="484"/>
      <c r="G116" s="484"/>
      <c r="H116" s="485"/>
      <c r="I116" s="480" t="s">
        <v>261</v>
      </c>
      <c r="J116" s="486" t="s">
        <v>340</v>
      </c>
      <c r="K116" s="482" t="s">
        <v>262</v>
      </c>
      <c r="L116" s="483">
        <v>365</v>
      </c>
      <c r="M116" s="484">
        <f>J117*L116</f>
        <v>5657.5</v>
      </c>
      <c r="N116" s="484"/>
      <c r="O116" s="484"/>
      <c r="Q116" s="480" t="s">
        <v>261</v>
      </c>
      <c r="R116" s="488" t="s">
        <v>263</v>
      </c>
      <c r="S116" s="482" t="s">
        <v>262</v>
      </c>
      <c r="T116" s="483">
        <v>365</v>
      </c>
      <c r="U116" s="484">
        <f>R117*T116</f>
        <v>7300</v>
      </c>
      <c r="V116" s="485"/>
      <c r="W116" s="485"/>
      <c r="X116" s="485"/>
      <c r="Y116" s="480" t="s">
        <v>261</v>
      </c>
      <c r="Z116" s="488" t="s">
        <v>264</v>
      </c>
      <c r="AA116" s="482" t="s">
        <v>262</v>
      </c>
      <c r="AB116" s="483">
        <v>365</v>
      </c>
      <c r="AC116" s="484">
        <f>Z117*AB116</f>
        <v>9125</v>
      </c>
      <c r="AD116" s="485"/>
      <c r="AE116" s="485"/>
      <c r="AF116" s="485"/>
      <c r="AG116" s="513"/>
      <c r="AH116" s="513"/>
      <c r="AI116" s="513"/>
      <c r="AJ116" s="513"/>
      <c r="AK116" s="513"/>
    </row>
    <row r="117" spans="1:39" s="487" customFormat="1" x14ac:dyDescent="0.2">
      <c r="A117" s="480"/>
      <c r="B117" s="488">
        <v>12</v>
      </c>
      <c r="C117" s="482"/>
      <c r="D117" s="483"/>
      <c r="E117" s="484"/>
      <c r="F117" s="484"/>
      <c r="G117" s="484"/>
      <c r="H117" s="485"/>
      <c r="I117" s="480"/>
      <c r="J117" s="488">
        <v>15.5</v>
      </c>
      <c r="K117" s="482"/>
      <c r="L117" s="483"/>
      <c r="M117" s="484"/>
      <c r="N117" s="484"/>
      <c r="O117" s="484"/>
      <c r="Q117" s="480"/>
      <c r="R117" s="488">
        <v>20</v>
      </c>
      <c r="S117" s="482"/>
      <c r="T117" s="483"/>
      <c r="U117" s="484"/>
      <c r="V117" s="485"/>
      <c r="W117" s="485"/>
      <c r="X117" s="485"/>
      <c r="Y117" s="480"/>
      <c r="Z117" s="488">
        <v>25</v>
      </c>
      <c r="AA117" s="482"/>
      <c r="AB117" s="483"/>
      <c r="AC117" s="484"/>
      <c r="AD117" s="485"/>
      <c r="AE117" s="485"/>
      <c r="AF117" s="485"/>
      <c r="AG117" s="513"/>
      <c r="AH117" s="513"/>
      <c r="AI117" s="513"/>
      <c r="AJ117" s="513"/>
      <c r="AK117" s="513"/>
    </row>
    <row r="118" spans="1:39" s="487" customFormat="1" x14ac:dyDescent="0.2">
      <c r="A118" s="480"/>
      <c r="B118" s="488"/>
      <c r="C118" s="494"/>
      <c r="D118" s="483"/>
      <c r="E118" s="484"/>
      <c r="F118" s="484"/>
      <c r="G118" s="484"/>
      <c r="H118" s="485"/>
      <c r="I118" s="480"/>
      <c r="J118" s="488"/>
      <c r="K118" s="482"/>
      <c r="L118" s="483"/>
      <c r="M118" s="484"/>
      <c r="N118" s="484"/>
      <c r="O118" s="484"/>
      <c r="Q118" s="480"/>
      <c r="R118" s="488"/>
      <c r="S118" s="482"/>
      <c r="T118" s="483"/>
      <c r="U118" s="484"/>
      <c r="V118" s="485"/>
      <c r="W118" s="485"/>
      <c r="X118" s="485"/>
      <c r="Y118" s="480"/>
      <c r="Z118" s="488"/>
      <c r="AA118" s="482"/>
      <c r="AB118" s="483"/>
      <c r="AC118" s="484"/>
      <c r="AD118" s="485"/>
      <c r="AE118" s="485"/>
      <c r="AF118" s="485"/>
      <c r="AG118" s="513"/>
      <c r="AH118" s="614"/>
      <c r="AI118" s="513"/>
      <c r="AJ118" s="513"/>
      <c r="AK118" s="513"/>
    </row>
    <row r="119" spans="1:39" s="501" customFormat="1" ht="28.5" customHeight="1" x14ac:dyDescent="0.2">
      <c r="A119" s="496"/>
      <c r="B119" s="497" t="s">
        <v>269</v>
      </c>
      <c r="C119" s="498" t="s">
        <v>341</v>
      </c>
      <c r="D119" s="499" t="s">
        <v>270</v>
      </c>
      <c r="E119" s="498" t="s">
        <v>342</v>
      </c>
      <c r="F119" s="498"/>
      <c r="G119" s="498"/>
      <c r="H119" s="500"/>
      <c r="I119" s="496"/>
      <c r="J119" s="497" t="s">
        <v>269</v>
      </c>
      <c r="K119" s="498" t="s">
        <v>341</v>
      </c>
      <c r="L119" s="499" t="s">
        <v>270</v>
      </c>
      <c r="M119" s="498" t="s">
        <v>342</v>
      </c>
      <c r="N119" s="498"/>
      <c r="O119" s="498"/>
      <c r="Q119" s="496"/>
      <c r="R119" s="497" t="s">
        <v>269</v>
      </c>
      <c r="S119" s="498" t="s">
        <v>341</v>
      </c>
      <c r="T119" s="499" t="s">
        <v>270</v>
      </c>
      <c r="U119" s="498" t="s">
        <v>342</v>
      </c>
      <c r="V119" s="500"/>
      <c r="W119" s="500"/>
      <c r="X119" s="500"/>
      <c r="Y119" s="496"/>
      <c r="Z119" s="497" t="s">
        <v>269</v>
      </c>
      <c r="AA119" s="498" t="s">
        <v>341</v>
      </c>
      <c r="AB119" s="499" t="s">
        <v>270</v>
      </c>
      <c r="AC119" s="498" t="s">
        <v>342</v>
      </c>
      <c r="AD119" s="500"/>
      <c r="AE119" s="500"/>
      <c r="AF119" s="500"/>
      <c r="AG119" s="615"/>
      <c r="AH119" s="615"/>
      <c r="AI119" s="615"/>
      <c r="AJ119" s="615"/>
      <c r="AK119" s="505"/>
    </row>
    <row r="120" spans="1:39" s="466" customFormat="1" x14ac:dyDescent="0.2">
      <c r="A120" s="507" t="s">
        <v>272</v>
      </c>
      <c r="B120" s="508"/>
      <c r="C120" s="704">
        <f>$AK$11</f>
        <v>59700.570397111915</v>
      </c>
      <c r="D120" s="510">
        <f>AJ18</f>
        <v>2.15</v>
      </c>
      <c r="E120" s="466">
        <f>C120*D120</f>
        <v>128356.22635379061</v>
      </c>
      <c r="H120" s="468"/>
      <c r="I120" s="507" t="s">
        <v>272</v>
      </c>
      <c r="J120" s="508"/>
      <c r="K120" s="704">
        <f>$AK$11</f>
        <v>59700.570397111915</v>
      </c>
      <c r="L120" s="510">
        <f>AJ18</f>
        <v>2.15</v>
      </c>
      <c r="M120" s="466">
        <f>K120*L120</f>
        <v>128356.22635379061</v>
      </c>
      <c r="Q120" s="507" t="s">
        <v>272</v>
      </c>
      <c r="R120" s="508"/>
      <c r="S120" s="704">
        <f>$AK$11</f>
        <v>59700.570397111915</v>
      </c>
      <c r="T120" s="510">
        <f>AJ18</f>
        <v>2.15</v>
      </c>
      <c r="U120" s="466">
        <f>S120*T120</f>
        <v>128356.22635379061</v>
      </c>
      <c r="V120" s="468"/>
      <c r="W120" s="468"/>
      <c r="X120" s="468"/>
      <c r="Y120" s="507" t="s">
        <v>272</v>
      </c>
      <c r="Z120" s="508"/>
      <c r="AA120" s="704">
        <f>$AK$11</f>
        <v>59700.570397111915</v>
      </c>
      <c r="AB120" s="510">
        <f>AJ18</f>
        <v>2.15</v>
      </c>
      <c r="AC120" s="466">
        <f>AA120*AB120</f>
        <v>128356.22635379061</v>
      </c>
      <c r="AD120" s="468"/>
      <c r="AE120" s="468"/>
      <c r="AF120" s="468"/>
      <c r="AG120" s="491"/>
      <c r="AH120" s="468"/>
      <c r="AI120" s="468"/>
      <c r="AJ120" s="468"/>
      <c r="AK120" s="468"/>
    </row>
    <row r="121" spans="1:39" s="466" customFormat="1" x14ac:dyDescent="0.2">
      <c r="A121" s="507" t="s">
        <v>273</v>
      </c>
      <c r="B121" s="508"/>
      <c r="C121" s="704">
        <f>$AK$12</f>
        <v>51947.798987144524</v>
      </c>
      <c r="D121" s="510">
        <f>AJ19</f>
        <v>4</v>
      </c>
      <c r="E121" s="466">
        <f>C121*D121</f>
        <v>207791.1959485781</v>
      </c>
      <c r="H121" s="468"/>
      <c r="I121" s="507" t="s">
        <v>273</v>
      </c>
      <c r="J121" s="508"/>
      <c r="K121" s="704">
        <f>$AK$12</f>
        <v>51947.798987144524</v>
      </c>
      <c r="L121" s="510">
        <f>$AK$19</f>
        <v>4</v>
      </c>
      <c r="M121" s="466">
        <f>K121*L121</f>
        <v>207791.1959485781</v>
      </c>
      <c r="Q121" s="507" t="s">
        <v>273</v>
      </c>
      <c r="R121" s="508"/>
      <c r="S121" s="704">
        <f>$AK$12</f>
        <v>51947.798987144524</v>
      </c>
      <c r="T121" s="510">
        <f>AJ19</f>
        <v>4</v>
      </c>
      <c r="U121" s="466">
        <f>S121*T121</f>
        <v>207791.1959485781</v>
      </c>
      <c r="V121" s="468"/>
      <c r="W121" s="468"/>
      <c r="X121" s="468"/>
      <c r="Y121" s="507" t="s">
        <v>273</v>
      </c>
      <c r="Z121" s="508"/>
      <c r="AA121" s="704">
        <f>$AK$12</f>
        <v>51947.798987144524</v>
      </c>
      <c r="AB121" s="510">
        <f>AJ19</f>
        <v>4</v>
      </c>
      <c r="AC121" s="466">
        <f>AA121*AB121</f>
        <v>207791.1959485781</v>
      </c>
      <c r="AD121" s="468"/>
      <c r="AE121" s="468"/>
      <c r="AF121" s="468"/>
      <c r="AG121" s="615"/>
      <c r="AH121" s="491"/>
      <c r="AI121" s="468"/>
      <c r="AJ121" s="468"/>
      <c r="AK121" s="468"/>
    </row>
    <row r="122" spans="1:39" s="523" customFormat="1" x14ac:dyDescent="0.2">
      <c r="A122" s="521" t="s">
        <v>275</v>
      </c>
      <c r="B122" s="708">
        <f>$AJ$27</f>
        <v>0.67727547626247397</v>
      </c>
      <c r="C122" s="704">
        <f>$AK$13</f>
        <v>31102.5</v>
      </c>
      <c r="D122" s="522">
        <f>B117/B122</f>
        <v>17.718048889384963</v>
      </c>
      <c r="E122" s="466">
        <f>C122*D122</f>
        <v>551075.61558209581</v>
      </c>
      <c r="F122" s="466"/>
      <c r="G122" s="466"/>
      <c r="H122" s="468"/>
      <c r="I122" s="521" t="s">
        <v>275</v>
      </c>
      <c r="J122" s="708">
        <f>AK27</f>
        <v>0.79679467795585102</v>
      </c>
      <c r="K122" s="704">
        <f>$AK$13</f>
        <v>31102.5</v>
      </c>
      <c r="L122" s="522">
        <f>J117/J122</f>
        <v>19.452941176470592</v>
      </c>
      <c r="M122" s="466">
        <f>K122*L122</f>
        <v>605035.10294117662</v>
      </c>
      <c r="N122" s="466"/>
      <c r="O122" s="466"/>
      <c r="Q122" s="521" t="s">
        <v>275</v>
      </c>
      <c r="R122" s="708">
        <f>AL27</f>
        <v>0.84659434532809197</v>
      </c>
      <c r="S122" s="704">
        <f>$AK$13</f>
        <v>31102.5</v>
      </c>
      <c r="T122" s="522">
        <f>R117/R122</f>
        <v>23.624065185846632</v>
      </c>
      <c r="U122" s="466">
        <f>S122*T122</f>
        <v>734767.48744279484</v>
      </c>
      <c r="V122" s="468"/>
      <c r="W122" s="468"/>
      <c r="X122" s="468"/>
      <c r="Y122" s="521" t="s">
        <v>275</v>
      </c>
      <c r="Z122" s="522">
        <f>AM27</f>
        <v>0.88045811914121597</v>
      </c>
      <c r="AA122" s="704">
        <f>$AK$13</f>
        <v>31102.5</v>
      </c>
      <c r="AB122" s="522">
        <f>Z117/Z122</f>
        <v>28.394309117604116</v>
      </c>
      <c r="AC122" s="466">
        <f>AA122*AB122</f>
        <v>883133.99933028198</v>
      </c>
      <c r="AD122" s="468"/>
      <c r="AE122" s="468"/>
      <c r="AF122" s="468"/>
      <c r="AG122" s="490"/>
      <c r="AH122" s="491"/>
      <c r="AI122" s="492"/>
      <c r="AJ122" s="492"/>
      <c r="AK122" s="492"/>
    </row>
    <row r="123" spans="1:39" s="523" customFormat="1" x14ac:dyDescent="0.2">
      <c r="A123" s="521" t="s">
        <v>276</v>
      </c>
      <c r="B123" s="522"/>
      <c r="C123" s="704">
        <f>$AK$13</f>
        <v>31102.5</v>
      </c>
      <c r="D123" s="522">
        <f>D122*$AJ$8</f>
        <v>3.4754634359947429</v>
      </c>
      <c r="E123" s="466">
        <f>C123*D123</f>
        <v>108095.60151802649</v>
      </c>
      <c r="F123" s="466"/>
      <c r="G123" s="466"/>
      <c r="H123" s="468"/>
      <c r="I123" s="521" t="s">
        <v>276</v>
      </c>
      <c r="J123" s="522"/>
      <c r="K123" s="704">
        <f>$AK$13</f>
        <v>31102.5</v>
      </c>
      <c r="L123" s="522">
        <f>L122*$AJ$8</f>
        <v>3.8157692307692312</v>
      </c>
      <c r="M123" s="466">
        <f>K123*L123</f>
        <v>118679.96250000001</v>
      </c>
      <c r="N123" s="466"/>
      <c r="O123" s="466"/>
      <c r="Q123" s="521" t="s">
        <v>276</v>
      </c>
      <c r="R123" s="522"/>
      <c r="S123" s="704">
        <f>$AK$13</f>
        <v>31102.5</v>
      </c>
      <c r="T123" s="522">
        <f>T122*$AJ$8</f>
        <v>4.633951247992993</v>
      </c>
      <c r="U123" s="466">
        <f>S123*T123</f>
        <v>144127.46869070205</v>
      </c>
      <c r="V123" s="468"/>
      <c r="W123" s="468"/>
      <c r="X123" s="468"/>
      <c r="Y123" s="521" t="s">
        <v>276</v>
      </c>
      <c r="Z123" s="522"/>
      <c r="AA123" s="704">
        <f>$AK$13</f>
        <v>31102.5</v>
      </c>
      <c r="AB123" s="522">
        <f>AB122*$AJ$8</f>
        <v>5.5696529422992693</v>
      </c>
      <c r="AC123" s="466">
        <f>AA123*AB123</f>
        <v>173230.13063786301</v>
      </c>
      <c r="AD123" s="468"/>
      <c r="AE123" s="468"/>
      <c r="AF123" s="468"/>
      <c r="AG123" s="490"/>
      <c r="AH123" s="491"/>
      <c r="AI123" s="492"/>
      <c r="AJ123" s="492"/>
      <c r="AK123" s="492"/>
    </row>
    <row r="124" spans="1:39" s="466" customFormat="1" x14ac:dyDescent="0.2">
      <c r="A124" s="507" t="s">
        <v>370</v>
      </c>
      <c r="B124" s="522"/>
      <c r="C124" s="704">
        <f>$AK$14</f>
        <v>30600.305857957486</v>
      </c>
      <c r="D124" s="522">
        <f>AJ22</f>
        <v>0.75</v>
      </c>
      <c r="E124" s="466">
        <f>C124*D124</f>
        <v>22950.229393468115</v>
      </c>
      <c r="H124" s="468"/>
      <c r="I124" s="507" t="s">
        <v>370</v>
      </c>
      <c r="J124" s="522"/>
      <c r="K124" s="704">
        <f>$AK$14</f>
        <v>30600.305857957486</v>
      </c>
      <c r="L124" s="522">
        <f>AK22</f>
        <v>0.9</v>
      </c>
      <c r="M124" s="466">
        <f>K124*L124</f>
        <v>27540.27527216174</v>
      </c>
      <c r="Q124" s="507" t="s">
        <v>370</v>
      </c>
      <c r="R124" s="522"/>
      <c r="S124" s="704">
        <f>$AK$14</f>
        <v>30600.305857957486</v>
      </c>
      <c r="T124" s="522">
        <f>AL22</f>
        <v>1</v>
      </c>
      <c r="U124" s="466">
        <f>S124*T124</f>
        <v>30600.305857957486</v>
      </c>
      <c r="V124" s="468"/>
      <c r="W124" s="468"/>
      <c r="X124" s="468"/>
      <c r="Y124" s="507" t="s">
        <v>370</v>
      </c>
      <c r="Z124" s="522"/>
      <c r="AA124" s="704">
        <f>$AK$14</f>
        <v>30600.305857957486</v>
      </c>
      <c r="AB124" s="522">
        <f>$AM$22</f>
        <v>1.5</v>
      </c>
      <c r="AC124" s="466">
        <f>AA124*AB124</f>
        <v>45900.458786936229</v>
      </c>
      <c r="AD124" s="468"/>
      <c r="AE124" s="468"/>
      <c r="AF124" s="468"/>
      <c r="AG124" s="490"/>
      <c r="AH124" s="491"/>
      <c r="AI124" s="468"/>
      <c r="AJ124" s="468"/>
      <c r="AK124" s="468"/>
    </row>
    <row r="125" spans="1:39" s="487" customFormat="1" x14ac:dyDescent="0.2">
      <c r="A125" s="536" t="s">
        <v>277</v>
      </c>
      <c r="B125" s="536"/>
      <c r="C125" s="537"/>
      <c r="D125" s="538">
        <f>SUM(D120:D124)</f>
        <v>28.093512325379709</v>
      </c>
      <c r="E125" s="537">
        <f>SUM(E120:E124)</f>
        <v>1018268.8687959592</v>
      </c>
      <c r="F125" s="473"/>
      <c r="G125" s="473"/>
      <c r="H125" s="473"/>
      <c r="I125" s="536" t="s">
        <v>277</v>
      </c>
      <c r="J125" s="536"/>
      <c r="K125" s="537"/>
      <c r="L125" s="538">
        <f>SUM(L120:L124)</f>
        <v>30.318710407239823</v>
      </c>
      <c r="M125" s="537">
        <f>SUM(M120:M124)</f>
        <v>1087402.763015707</v>
      </c>
      <c r="N125" s="473"/>
      <c r="O125" s="473"/>
      <c r="Q125" s="536" t="s">
        <v>277</v>
      </c>
      <c r="R125" s="536"/>
      <c r="S125" s="537"/>
      <c r="T125" s="538">
        <f>SUM(T120:T124)</f>
        <v>35.40801643383962</v>
      </c>
      <c r="U125" s="537">
        <f>SUM(U120:U124)</f>
        <v>1245642.6842938231</v>
      </c>
      <c r="V125" s="473"/>
      <c r="W125" s="473"/>
      <c r="X125" s="473"/>
      <c r="Y125" s="536" t="s">
        <v>277</v>
      </c>
      <c r="Z125" s="536"/>
      <c r="AA125" s="537"/>
      <c r="AB125" s="538">
        <f>SUM(AB120:AB124)</f>
        <v>41.613962059903386</v>
      </c>
      <c r="AC125" s="537">
        <f>SUM(AC120:AC124)</f>
        <v>1438412.01105745</v>
      </c>
      <c r="AD125" s="473"/>
      <c r="AE125" s="473"/>
      <c r="AF125" s="473"/>
      <c r="AG125" s="490"/>
      <c r="AH125" s="491"/>
      <c r="AI125" s="513"/>
      <c r="AJ125" s="513"/>
      <c r="AK125" s="513"/>
    </row>
    <row r="126" spans="1:39" s="487" customFormat="1" x14ac:dyDescent="0.2">
      <c r="A126" s="513"/>
      <c r="B126" s="513"/>
      <c r="C126" s="473"/>
      <c r="D126" s="539"/>
      <c r="E126" s="473"/>
      <c r="F126" s="473"/>
      <c r="G126" s="473"/>
      <c r="H126" s="473"/>
      <c r="I126" s="513"/>
      <c r="J126" s="513"/>
      <c r="K126" s="473"/>
      <c r="L126" s="539"/>
      <c r="M126" s="473"/>
      <c r="N126" s="473"/>
      <c r="O126" s="473"/>
      <c r="Q126" s="513"/>
      <c r="R126" s="513"/>
      <c r="S126" s="473"/>
      <c r="T126" s="539"/>
      <c r="U126" s="473"/>
      <c r="V126" s="473"/>
      <c r="W126" s="473"/>
      <c r="X126" s="473"/>
      <c r="Y126" s="513"/>
      <c r="Z126" s="513"/>
      <c r="AA126" s="473"/>
      <c r="AB126" s="539"/>
      <c r="AC126" s="473"/>
      <c r="AD126" s="473"/>
      <c r="AE126" s="473"/>
      <c r="AF126" s="473"/>
      <c r="AG126" s="490"/>
      <c r="AH126" s="491"/>
      <c r="AI126" s="513"/>
      <c r="AJ126" s="513"/>
      <c r="AK126" s="513"/>
    </row>
    <row r="127" spans="1:39" s="487" customFormat="1" x14ac:dyDescent="0.2">
      <c r="A127" s="541" t="s">
        <v>278</v>
      </c>
      <c r="B127" s="541"/>
      <c r="C127" s="542"/>
      <c r="D127" s="543" t="s">
        <v>279</v>
      </c>
      <c r="E127" s="542"/>
      <c r="F127" s="542"/>
      <c r="G127" s="542"/>
      <c r="H127" s="544"/>
      <c r="I127" s="541" t="s">
        <v>278</v>
      </c>
      <c r="J127" s="541"/>
      <c r="K127" s="542"/>
      <c r="L127" s="543" t="s">
        <v>279</v>
      </c>
      <c r="M127" s="542"/>
      <c r="N127" s="542"/>
      <c r="O127" s="542"/>
      <c r="Q127" s="541" t="s">
        <v>278</v>
      </c>
      <c r="R127" s="541"/>
      <c r="S127" s="542"/>
      <c r="T127" s="543" t="s">
        <v>279</v>
      </c>
      <c r="U127" s="542"/>
      <c r="V127" s="544"/>
      <c r="W127" s="544"/>
      <c r="X127" s="544"/>
      <c r="Y127" s="541" t="s">
        <v>278</v>
      </c>
      <c r="Z127" s="541"/>
      <c r="AA127" s="542"/>
      <c r="AB127" s="543" t="s">
        <v>279</v>
      </c>
      <c r="AC127" s="542"/>
      <c r="AD127" s="544"/>
      <c r="AE127" s="544"/>
      <c r="AF127" s="544"/>
      <c r="AG127" s="616"/>
      <c r="AH127" s="491"/>
      <c r="AI127" s="513"/>
      <c r="AJ127" s="513"/>
      <c r="AK127" s="513"/>
    </row>
    <row r="128" spans="1:39" s="469" customFormat="1" x14ac:dyDescent="0.2">
      <c r="A128" s="545" t="s">
        <v>280</v>
      </c>
      <c r="B128" s="546"/>
      <c r="C128" s="705">
        <f>$AJ$30</f>
        <v>0.25578770213785851</v>
      </c>
      <c r="D128" s="547"/>
      <c r="E128" s="466">
        <f>C128*E125</f>
        <v>260460.65410783494</v>
      </c>
      <c r="F128" s="509"/>
      <c r="G128" s="509"/>
      <c r="H128" s="548"/>
      <c r="I128" s="545" t="s">
        <v>280</v>
      </c>
      <c r="J128" s="546"/>
      <c r="K128" s="705">
        <f>$AJ$30</f>
        <v>0.25578770213785851</v>
      </c>
      <c r="L128" s="547"/>
      <c r="M128" s="466">
        <f>K128*M125</f>
        <v>278144.25405014603</v>
      </c>
      <c r="N128" s="466"/>
      <c r="O128" s="466"/>
      <c r="Q128" s="545" t="s">
        <v>280</v>
      </c>
      <c r="R128" s="546"/>
      <c r="S128" s="705">
        <f>$AJ$30</f>
        <v>0.25578770213785851</v>
      </c>
      <c r="T128" s="547"/>
      <c r="U128" s="466">
        <f>S128*U125</f>
        <v>318620.07990035095</v>
      </c>
      <c r="V128" s="548"/>
      <c r="W128" s="548"/>
      <c r="X128" s="548"/>
      <c r="Y128" s="545" t="s">
        <v>280</v>
      </c>
      <c r="Z128" s="546"/>
      <c r="AA128" s="705">
        <f>$AJ$30</f>
        <v>0.25578770213785851</v>
      </c>
      <c r="AB128" s="547"/>
      <c r="AC128" s="466">
        <f>AA128*AC125</f>
        <v>367928.10303588107</v>
      </c>
      <c r="AD128" s="548"/>
      <c r="AE128" s="548"/>
      <c r="AF128" s="548"/>
      <c r="AG128" s="525"/>
      <c r="AH128" s="491"/>
      <c r="AI128" s="617"/>
      <c r="AJ128" s="617"/>
      <c r="AK128" s="617"/>
    </row>
    <row r="129" spans="1:39" x14ac:dyDescent="0.2">
      <c r="A129" s="550" t="s">
        <v>282</v>
      </c>
      <c r="B129" s="550"/>
      <c r="C129" s="551"/>
      <c r="D129" s="552">
        <f>E129/E116</f>
        <v>291.94737965840051</v>
      </c>
      <c r="E129" s="553">
        <f>E128+E125</f>
        <v>1278729.5229037942</v>
      </c>
      <c r="F129" s="468"/>
      <c r="G129" s="468"/>
      <c r="H129" s="468"/>
      <c r="I129" s="550" t="s">
        <v>282</v>
      </c>
      <c r="J129" s="550"/>
      <c r="K129" s="551"/>
      <c r="L129" s="552">
        <f>M129/M116</f>
        <v>241.36933576064573</v>
      </c>
      <c r="M129" s="553">
        <f>M128+M125</f>
        <v>1365547.0170658531</v>
      </c>
      <c r="N129" s="544"/>
      <c r="O129" s="544"/>
      <c r="Q129" s="550" t="s">
        <v>282</v>
      </c>
      <c r="R129" s="550"/>
      <c r="S129" s="551"/>
      <c r="T129" s="552">
        <f>U129/U116</f>
        <v>214.28257043755806</v>
      </c>
      <c r="U129" s="553">
        <f>U128+U125</f>
        <v>1564262.764194174</v>
      </c>
      <c r="V129" s="544"/>
      <c r="W129" s="544"/>
      <c r="X129" s="544"/>
      <c r="Y129" s="550" t="s">
        <v>282</v>
      </c>
      <c r="Z129" s="550"/>
      <c r="AA129" s="551"/>
      <c r="AB129" s="552">
        <f>AC129/AC116</f>
        <v>197.95508099652943</v>
      </c>
      <c r="AC129" s="553">
        <f>AC128+AC125</f>
        <v>1806340.1140933312</v>
      </c>
      <c r="AD129" s="544"/>
      <c r="AE129" s="544"/>
      <c r="AF129" s="544"/>
      <c r="AG129" s="524"/>
      <c r="AH129" s="464"/>
      <c r="AI129" s="464"/>
      <c r="AJ129" s="464"/>
      <c r="AK129" s="464"/>
      <c r="AL129" s="463"/>
      <c r="AM129" s="463"/>
    </row>
    <row r="130" spans="1:39" x14ac:dyDescent="0.2">
      <c r="C130" s="466"/>
      <c r="D130" s="467"/>
      <c r="E130" s="466"/>
      <c r="F130" s="466"/>
      <c r="G130" s="466"/>
      <c r="H130" s="468"/>
      <c r="I130" s="463"/>
      <c r="J130" s="463"/>
      <c r="Q130" s="463"/>
      <c r="R130" s="463"/>
      <c r="S130" s="466"/>
      <c r="T130" s="467"/>
      <c r="U130" s="466"/>
      <c r="X130" s="468"/>
      <c r="Y130" s="463"/>
      <c r="Z130" s="463"/>
      <c r="AA130" s="466"/>
      <c r="AB130" s="467"/>
      <c r="AC130" s="466"/>
      <c r="AG130" s="500"/>
      <c r="AH130" s="464"/>
      <c r="AI130" s="464"/>
      <c r="AJ130" s="464"/>
      <c r="AK130" s="464"/>
      <c r="AL130" s="463"/>
      <c r="AM130" s="463"/>
    </row>
    <row r="131" spans="1:39" x14ac:dyDescent="0.2">
      <c r="A131" s="463" t="s">
        <v>91</v>
      </c>
      <c r="C131" s="466"/>
      <c r="D131" s="510">
        <f>$AJ$34</f>
        <v>4.8269348195899369</v>
      </c>
      <c r="E131" s="466">
        <f>D131*E$79</f>
        <v>21141.974509803924</v>
      </c>
      <c r="F131" s="560"/>
      <c r="G131" s="560"/>
      <c r="H131" s="468"/>
      <c r="I131" s="463" t="s">
        <v>91</v>
      </c>
      <c r="J131" s="463"/>
      <c r="L131" s="510">
        <f>$AJ$34</f>
        <v>4.8269348195899369</v>
      </c>
      <c r="M131" s="466">
        <f>L131*M$79</f>
        <v>27308.383741830068</v>
      </c>
      <c r="Q131" s="463" t="s">
        <v>91</v>
      </c>
      <c r="R131" s="463"/>
      <c r="S131" s="466"/>
      <c r="T131" s="510">
        <f>$AJ$34</f>
        <v>4.8269348195899369</v>
      </c>
      <c r="U131" s="466">
        <f>T131*U$79</f>
        <v>35236.624183006541</v>
      </c>
      <c r="X131" s="468"/>
      <c r="Y131" s="463" t="s">
        <v>91</v>
      </c>
      <c r="Z131" s="463"/>
      <c r="AA131" s="466"/>
      <c r="AB131" s="510">
        <f>$AJ$34</f>
        <v>4.8269348195899369</v>
      </c>
      <c r="AC131" s="466">
        <f>AB131*AC$79</f>
        <v>44045.780228758173</v>
      </c>
      <c r="AG131" s="534"/>
      <c r="AH131" s="464"/>
      <c r="AI131" s="464"/>
      <c r="AJ131" s="464"/>
      <c r="AK131" s="464"/>
      <c r="AL131" s="463"/>
      <c r="AM131" s="463"/>
    </row>
    <row r="132" spans="1:39" x14ac:dyDescent="0.2">
      <c r="C132" s="466"/>
      <c r="D132" s="510"/>
      <c r="E132" s="563"/>
      <c r="F132" s="563"/>
      <c r="G132" s="563"/>
      <c r="H132" s="564"/>
      <c r="I132" s="463"/>
      <c r="J132" s="463"/>
      <c r="L132" s="510"/>
      <c r="M132" s="563"/>
      <c r="N132" s="563"/>
      <c r="O132" s="563"/>
      <c r="Q132" s="463"/>
      <c r="R132" s="463"/>
      <c r="S132" s="466"/>
      <c r="T132" s="510"/>
      <c r="U132" s="563"/>
      <c r="V132" s="564"/>
      <c r="W132" s="564"/>
      <c r="X132" s="564"/>
      <c r="Y132" s="463"/>
      <c r="Z132" s="463"/>
      <c r="AA132" s="466"/>
      <c r="AB132" s="510"/>
      <c r="AC132" s="563"/>
      <c r="AD132" s="564"/>
      <c r="AE132" s="564"/>
      <c r="AF132" s="564"/>
      <c r="AG132" s="534"/>
      <c r="AH132" s="464"/>
      <c r="AI132" s="464"/>
      <c r="AJ132" s="464"/>
      <c r="AK132" s="464"/>
      <c r="AL132" s="463"/>
      <c r="AM132" s="463"/>
    </row>
    <row r="133" spans="1:39" x14ac:dyDescent="0.2">
      <c r="A133" s="463" t="s">
        <v>283</v>
      </c>
      <c r="C133" s="466"/>
      <c r="D133" s="510">
        <f>$AJ$36</f>
        <v>16.772324588891873</v>
      </c>
      <c r="E133" s="466">
        <f>D133*E$79</f>
        <v>73462.781699346408</v>
      </c>
      <c r="F133" s="466"/>
      <c r="G133" s="466"/>
      <c r="H133" s="468"/>
      <c r="I133" s="463" t="s">
        <v>283</v>
      </c>
      <c r="J133" s="463"/>
      <c r="L133" s="510">
        <f>$AJ$36</f>
        <v>16.772324588891873</v>
      </c>
      <c r="M133" s="466">
        <f>L133*M$79</f>
        <v>94889.426361655773</v>
      </c>
      <c r="Q133" s="463" t="s">
        <v>283</v>
      </c>
      <c r="R133" s="463"/>
      <c r="S133" s="466"/>
      <c r="T133" s="510">
        <f>$AJ$36</f>
        <v>16.772324588891873</v>
      </c>
      <c r="U133" s="466">
        <f>T133*U$79</f>
        <v>122437.96949891068</v>
      </c>
      <c r="X133" s="468"/>
      <c r="Y133" s="463" t="s">
        <v>283</v>
      </c>
      <c r="Z133" s="463"/>
      <c r="AA133" s="466"/>
      <c r="AB133" s="510">
        <f>$AJ$36</f>
        <v>16.772324588891873</v>
      </c>
      <c r="AC133" s="466">
        <f>AB133*AC$79</f>
        <v>153047.46187363836</v>
      </c>
      <c r="AG133" s="534"/>
      <c r="AH133" s="464"/>
      <c r="AI133" s="464"/>
      <c r="AJ133" s="464"/>
      <c r="AK133" s="464"/>
      <c r="AL133" s="463"/>
      <c r="AM133" s="463"/>
    </row>
    <row r="134" spans="1:39" x14ac:dyDescent="0.2">
      <c r="C134" s="466"/>
      <c r="D134" s="566">
        <f>SUM(D131:D133)</f>
        <v>21.59925940848181</v>
      </c>
      <c r="E134" s="466"/>
      <c r="F134" s="466"/>
      <c r="G134" s="466"/>
      <c r="H134" s="468"/>
      <c r="I134" s="463"/>
      <c r="J134" s="463"/>
      <c r="L134" s="566">
        <f>SUM(L131:L133)</f>
        <v>21.59925940848181</v>
      </c>
      <c r="Q134" s="463"/>
      <c r="R134" s="463"/>
      <c r="S134" s="466"/>
      <c r="T134" s="566">
        <f>SUM(T131:T133)</f>
        <v>21.59925940848181</v>
      </c>
      <c r="U134" s="466"/>
      <c r="X134" s="468"/>
      <c r="Y134" s="463"/>
      <c r="Z134" s="463"/>
      <c r="AA134" s="466"/>
      <c r="AB134" s="566">
        <f>SUM(AB131:AB133)</f>
        <v>21.59925940848181</v>
      </c>
      <c r="AC134" s="466"/>
      <c r="AG134" s="534"/>
      <c r="AH134" s="464"/>
      <c r="AI134" s="464"/>
      <c r="AJ134" s="464"/>
      <c r="AK134" s="464"/>
      <c r="AL134" s="463"/>
      <c r="AM134" s="463"/>
    </row>
    <row r="135" spans="1:39" x14ac:dyDescent="0.2">
      <c r="A135" s="536" t="s">
        <v>371</v>
      </c>
      <c r="B135" s="536"/>
      <c r="C135" s="537"/>
      <c r="D135" s="538"/>
      <c r="E135" s="537">
        <f>SUM(E129:E133)</f>
        <v>1373334.2791129444</v>
      </c>
      <c r="F135" s="473"/>
      <c r="G135" s="473"/>
      <c r="H135" s="473"/>
      <c r="I135" s="536" t="s">
        <v>371</v>
      </c>
      <c r="J135" s="536"/>
      <c r="K135" s="537"/>
      <c r="L135" s="538"/>
      <c r="M135" s="537">
        <f>SUM(M129:M133)</f>
        <v>1487744.8271693389</v>
      </c>
      <c r="N135" s="473"/>
      <c r="O135" s="473"/>
      <c r="Q135" s="536" t="s">
        <v>371</v>
      </c>
      <c r="R135" s="536"/>
      <c r="S135" s="537"/>
      <c r="T135" s="538"/>
      <c r="U135" s="537">
        <f>SUM(U129:U133)</f>
        <v>1721937.3578760913</v>
      </c>
      <c r="V135" s="473"/>
      <c r="W135" s="473"/>
      <c r="X135" s="473"/>
      <c r="Y135" s="536" t="s">
        <v>371</v>
      </c>
      <c r="Z135" s="536"/>
      <c r="AA135" s="537"/>
      <c r="AB135" s="538"/>
      <c r="AC135" s="537">
        <f>SUM(AC129:AC133)</f>
        <v>2003433.3561957278</v>
      </c>
      <c r="AD135" s="473"/>
      <c r="AE135" s="473"/>
      <c r="AF135" s="473"/>
      <c r="AG135" s="534"/>
      <c r="AH135" s="464"/>
      <c r="AI135" s="464"/>
      <c r="AJ135" s="464"/>
      <c r="AK135" s="464"/>
      <c r="AL135" s="463"/>
      <c r="AM135" s="463"/>
    </row>
    <row r="136" spans="1:39" x14ac:dyDescent="0.2">
      <c r="A136" s="463" t="s">
        <v>286</v>
      </c>
      <c r="C136" s="567" t="e">
        <f>$AJ$39</f>
        <v>#REF!</v>
      </c>
      <c r="D136" s="522"/>
      <c r="E136" s="466" t="e">
        <f>C136*E135</f>
        <v>#REF!</v>
      </c>
      <c r="F136" s="564"/>
      <c r="G136" s="564"/>
      <c r="H136" s="468"/>
      <c r="I136" s="463" t="s">
        <v>286</v>
      </c>
      <c r="J136" s="463"/>
      <c r="K136" s="567" t="e">
        <f>$AJ$39</f>
        <v>#REF!</v>
      </c>
      <c r="L136" s="522"/>
      <c r="M136" s="466" t="e">
        <f>K136*M135</f>
        <v>#REF!</v>
      </c>
      <c r="Q136" s="463" t="s">
        <v>286</v>
      </c>
      <c r="R136" s="463"/>
      <c r="S136" s="567" t="e">
        <f>$AJ$39</f>
        <v>#REF!</v>
      </c>
      <c r="T136" s="522"/>
      <c r="U136" s="466" t="e">
        <f>S136*U135</f>
        <v>#REF!</v>
      </c>
      <c r="X136" s="468"/>
      <c r="Y136" s="463" t="s">
        <v>286</v>
      </c>
      <c r="Z136" s="463"/>
      <c r="AA136" s="567" t="e">
        <f>$AJ$39</f>
        <v>#REF!</v>
      </c>
      <c r="AB136" s="522"/>
      <c r="AC136" s="466" t="e">
        <f>AA136*AC135</f>
        <v>#REF!</v>
      </c>
      <c r="AG136" s="618"/>
      <c r="AH136" s="618"/>
      <c r="AI136" s="618"/>
      <c r="AJ136" s="618"/>
      <c r="AK136" s="464"/>
      <c r="AL136" s="463"/>
      <c r="AM136" s="463"/>
    </row>
    <row r="137" spans="1:39" s="487" customFormat="1" ht="15" customHeight="1" thickBot="1" x14ac:dyDescent="0.25">
      <c r="A137" s="568" t="s">
        <v>288</v>
      </c>
      <c r="B137" s="568"/>
      <c r="C137" s="569"/>
      <c r="D137" s="570"/>
      <c r="E137" s="571" t="e">
        <f>ROUND(SUM(E135:E136),2)</f>
        <v>#REF!</v>
      </c>
      <c r="F137" s="473"/>
      <c r="G137" s="473"/>
      <c r="H137" s="473"/>
      <c r="I137" s="568" t="s">
        <v>288</v>
      </c>
      <c r="J137" s="568"/>
      <c r="K137" s="569"/>
      <c r="L137" s="570"/>
      <c r="M137" s="571" t="e">
        <f>ROUND(SUM(M135:M136),2)</f>
        <v>#REF!</v>
      </c>
      <c r="N137" s="473"/>
      <c r="O137" s="473"/>
      <c r="Q137" s="568" t="s">
        <v>288</v>
      </c>
      <c r="R137" s="568"/>
      <c r="S137" s="569"/>
      <c r="T137" s="570"/>
      <c r="U137" s="571" t="e">
        <f>ROUND(SUM(U135:U136),2)</f>
        <v>#REF!</v>
      </c>
      <c r="V137" s="473"/>
      <c r="W137" s="473"/>
      <c r="X137" s="473"/>
      <c r="Y137" s="568" t="s">
        <v>288</v>
      </c>
      <c r="Z137" s="568"/>
      <c r="AA137" s="569"/>
      <c r="AB137" s="570"/>
      <c r="AC137" s="571" t="e">
        <f>ROUND(SUM(AC135:AC136),2)</f>
        <v>#REF!</v>
      </c>
      <c r="AD137" s="473"/>
      <c r="AE137" s="473"/>
      <c r="AF137" s="473"/>
      <c r="AG137" s="619"/>
      <c r="AH137" s="620"/>
      <c r="AI137" s="621"/>
      <c r="AJ137" s="620"/>
      <c r="AK137" s="513"/>
    </row>
    <row r="138" spans="1:39" s="487" customFormat="1" ht="13.5" thickTop="1" x14ac:dyDescent="0.2">
      <c r="A138" s="541"/>
      <c r="B138" s="541"/>
      <c r="C138" s="542"/>
      <c r="D138" s="572"/>
      <c r="E138" s="542"/>
      <c r="F138" s="542"/>
      <c r="G138" s="542"/>
      <c r="H138" s="544"/>
      <c r="I138" s="541"/>
      <c r="J138" s="541"/>
      <c r="K138" s="542"/>
      <c r="L138" s="572"/>
      <c r="M138" s="542"/>
      <c r="N138" s="542"/>
      <c r="O138" s="542"/>
      <c r="Q138" s="541"/>
      <c r="R138" s="541"/>
      <c r="S138" s="542"/>
      <c r="T138" s="572"/>
      <c r="U138" s="542"/>
      <c r="V138" s="544"/>
      <c r="W138" s="544"/>
      <c r="X138" s="544"/>
      <c r="Y138" s="541"/>
      <c r="Z138" s="541"/>
      <c r="AA138" s="542"/>
      <c r="AB138" s="572"/>
      <c r="AC138" s="542"/>
      <c r="AD138" s="544"/>
      <c r="AE138" s="544"/>
      <c r="AF138" s="544"/>
      <c r="AG138" s="561"/>
      <c r="AH138" s="561"/>
      <c r="AI138" s="561"/>
      <c r="AJ138" s="622"/>
      <c r="AK138" s="513"/>
    </row>
    <row r="139" spans="1:39" s="577" customFormat="1" ht="13.15" customHeight="1" x14ac:dyDescent="0.2">
      <c r="A139" s="574" t="s">
        <v>289</v>
      </c>
      <c r="B139" s="574"/>
      <c r="C139" s="575"/>
      <c r="D139" s="575"/>
      <c r="E139" s="576" t="e">
        <f>E137/E116</f>
        <v>#REF!</v>
      </c>
      <c r="G139" s="1128" t="s">
        <v>396</v>
      </c>
      <c r="H139" s="578"/>
      <c r="I139" s="574" t="s">
        <v>357</v>
      </c>
      <c r="J139" s="574"/>
      <c r="K139" s="575"/>
      <c r="L139" s="575"/>
      <c r="M139" s="576" t="e">
        <f>M137/M116</f>
        <v>#REF!</v>
      </c>
      <c r="O139" s="1128" t="s">
        <v>396</v>
      </c>
      <c r="Q139" s="574" t="s">
        <v>289</v>
      </c>
      <c r="R139" s="574"/>
      <c r="S139" s="575"/>
      <c r="T139" s="575"/>
      <c r="U139" s="576" t="e">
        <f>U137/U116</f>
        <v>#REF!</v>
      </c>
      <c r="W139" s="1128" t="s">
        <v>396</v>
      </c>
      <c r="Y139" s="574" t="s">
        <v>289</v>
      </c>
      <c r="Z139" s="574"/>
      <c r="AA139" s="575"/>
      <c r="AB139" s="575"/>
      <c r="AC139" s="576" t="e">
        <f>AC137/AC116</f>
        <v>#REF!</v>
      </c>
      <c r="AE139" s="1128" t="s">
        <v>396</v>
      </c>
      <c r="AG139" s="561"/>
      <c r="AH139" s="561"/>
      <c r="AI139" s="561"/>
      <c r="AJ139" s="561"/>
      <c r="AK139" s="623"/>
    </row>
    <row r="140" spans="1:39" s="577" customFormat="1" ht="13.5" thickBot="1" x14ac:dyDescent="0.25">
      <c r="A140" s="574" t="s">
        <v>290</v>
      </c>
      <c r="B140" s="574"/>
      <c r="C140" s="579">
        <f>$AK$40</f>
        <v>4.4640068153077195E-2</v>
      </c>
      <c r="D140" s="575"/>
      <c r="E140" s="576"/>
      <c r="F140" s="464" t="s">
        <v>291</v>
      </c>
      <c r="G140" s="1137"/>
      <c r="H140" s="578"/>
      <c r="I140" s="574" t="s">
        <v>290</v>
      </c>
      <c r="J140" s="574"/>
      <c r="K140" s="579">
        <f>$AK$40</f>
        <v>4.4640068153077195E-2</v>
      </c>
      <c r="L140" s="575"/>
      <c r="M140" s="635" t="e">
        <f>M139*1.0254</f>
        <v>#REF!</v>
      </c>
      <c r="N140" s="464" t="s">
        <v>291</v>
      </c>
      <c r="O140" s="1137"/>
      <c r="Q140" s="574" t="s">
        <v>290</v>
      </c>
      <c r="R140" s="574"/>
      <c r="S140" s="579">
        <f>$AK$40</f>
        <v>4.4640068153077195E-2</v>
      </c>
      <c r="T140" s="575"/>
      <c r="U140" s="576"/>
      <c r="V140" s="464" t="s">
        <v>291</v>
      </c>
      <c r="W140" s="1137"/>
      <c r="X140" s="464"/>
      <c r="Y140" s="574" t="s">
        <v>290</v>
      </c>
      <c r="Z140" s="574"/>
      <c r="AA140" s="579">
        <f>$AK$40</f>
        <v>4.4640068153077195E-2</v>
      </c>
      <c r="AB140" s="575"/>
      <c r="AC140" s="576"/>
      <c r="AD140" s="464" t="s">
        <v>291</v>
      </c>
      <c r="AE140" s="1137"/>
      <c r="AF140" s="464"/>
      <c r="AG140" s="561"/>
      <c r="AH140" s="561"/>
      <c r="AI140" s="561"/>
      <c r="AJ140" s="561"/>
      <c r="AK140" s="623"/>
    </row>
    <row r="141" spans="1:39" x14ac:dyDescent="0.2">
      <c r="A141" s="581" t="s">
        <v>292</v>
      </c>
      <c r="B141" s="531"/>
      <c r="C141" s="582">
        <v>0.9</v>
      </c>
      <c r="D141" s="478"/>
      <c r="E141" s="583" t="e">
        <f t="shared" ref="E141:E149" si="11">E$137/(E$116*C141)</f>
        <v>#REF!</v>
      </c>
      <c r="F141" s="584">
        <v>416.3</v>
      </c>
      <c r="G141" s="743" t="e">
        <f>F141*(#REF!+1)</f>
        <v>#REF!</v>
      </c>
      <c r="I141" s="581" t="s">
        <v>292</v>
      </c>
      <c r="J141" s="531"/>
      <c r="K141" s="582">
        <v>0.9</v>
      </c>
      <c r="L141" s="478"/>
      <c r="M141" s="583" t="e">
        <f>M137/(M$116*K141)</f>
        <v>#REF!</v>
      </c>
      <c r="N141" s="584">
        <v>349.14</v>
      </c>
      <c r="O141" s="743" t="e">
        <f>N141*(#REF!+1)</f>
        <v>#REF!</v>
      </c>
      <c r="Q141" s="581" t="s">
        <v>292</v>
      </c>
      <c r="R141" s="531"/>
      <c r="S141" s="582">
        <v>0.9</v>
      </c>
      <c r="T141" s="478"/>
      <c r="U141" s="583" t="e">
        <f t="shared" ref="U141:U149" si="12">U$137/(U$116*S141)</f>
        <v>#REF!</v>
      </c>
      <c r="V141" s="584">
        <v>313.19</v>
      </c>
      <c r="W141" s="743" t="e">
        <f>V141*(#REF!+1)</f>
        <v>#REF!</v>
      </c>
      <c r="X141" s="468"/>
      <c r="Y141" s="581" t="s">
        <v>292</v>
      </c>
      <c r="Z141" s="531"/>
      <c r="AA141" s="582">
        <v>0.9</v>
      </c>
      <c r="AB141" s="478"/>
      <c r="AC141" s="583" t="e">
        <f t="shared" ref="AC141:AC149" si="13">AC$137/(AC$116*AA141)</f>
        <v>#REF!</v>
      </c>
      <c r="AD141" s="584">
        <v>291.51</v>
      </c>
      <c r="AE141" s="743" t="e">
        <f>AD141*(#REF!+1)</f>
        <v>#REF!</v>
      </c>
      <c r="AF141" s="576"/>
      <c r="AG141" s="561"/>
      <c r="AH141" s="622"/>
      <c r="AI141" s="622"/>
      <c r="AJ141" s="622"/>
      <c r="AK141" s="464"/>
      <c r="AL141" s="463"/>
      <c r="AM141" s="463"/>
    </row>
    <row r="142" spans="1:39" x14ac:dyDescent="0.2">
      <c r="A142" s="585"/>
      <c r="B142" s="464"/>
      <c r="C142" s="586">
        <v>0.85</v>
      </c>
      <c r="D142" s="468"/>
      <c r="E142" s="576" t="e">
        <f t="shared" si="11"/>
        <v>#REF!</v>
      </c>
      <c r="F142" s="587">
        <v>440.79</v>
      </c>
      <c r="G142" s="743" t="e">
        <f>F142*(#REF!+1)</f>
        <v>#REF!</v>
      </c>
      <c r="I142" s="585"/>
      <c r="J142" s="464"/>
      <c r="K142" s="586">
        <v>0.85</v>
      </c>
      <c r="L142" s="468"/>
      <c r="M142" s="576" t="e">
        <f t="shared" ref="M142:M149" si="14">M$137/(M$116*K142)</f>
        <v>#REF!</v>
      </c>
      <c r="N142" s="587">
        <v>369.68</v>
      </c>
      <c r="O142" s="743" t="e">
        <f>N142*(#REF!+1)</f>
        <v>#REF!</v>
      </c>
      <c r="Q142" s="585"/>
      <c r="R142" s="464"/>
      <c r="S142" s="586">
        <v>0.85</v>
      </c>
      <c r="T142" s="468"/>
      <c r="U142" s="576" t="e">
        <f t="shared" si="12"/>
        <v>#REF!</v>
      </c>
      <c r="V142" s="587">
        <v>331.6</v>
      </c>
      <c r="W142" s="743" t="e">
        <f>V142*(#REF!+1)</f>
        <v>#REF!</v>
      </c>
      <c r="X142" s="468"/>
      <c r="Y142" s="585"/>
      <c r="Z142" s="464"/>
      <c r="AA142" s="586">
        <v>0.85</v>
      </c>
      <c r="AB142" s="468"/>
      <c r="AC142" s="576" t="e">
        <f t="shared" si="13"/>
        <v>#REF!</v>
      </c>
      <c r="AD142" s="587">
        <v>308.66000000000003</v>
      </c>
      <c r="AE142" s="743" t="e">
        <f>AD142*(#REF!+1)</f>
        <v>#REF!</v>
      </c>
      <c r="AF142" s="576"/>
      <c r="AG142" s="624"/>
      <c r="AH142" s="624"/>
      <c r="AI142" s="624"/>
      <c r="AJ142" s="624"/>
      <c r="AK142" s="464"/>
      <c r="AL142" s="463"/>
      <c r="AM142" s="463"/>
    </row>
    <row r="143" spans="1:39" x14ac:dyDescent="0.2">
      <c r="A143" s="585"/>
      <c r="B143" s="464"/>
      <c r="C143" s="586">
        <v>0.8</v>
      </c>
      <c r="D143" s="468"/>
      <c r="E143" s="576" t="e">
        <f t="shared" si="11"/>
        <v>#REF!</v>
      </c>
      <c r="F143" s="587">
        <v>468.33</v>
      </c>
      <c r="G143" s="743" t="e">
        <f>F143*(#REF!+1)</f>
        <v>#REF!</v>
      </c>
      <c r="I143" s="585"/>
      <c r="J143" s="464"/>
      <c r="K143" s="586">
        <v>0.8</v>
      </c>
      <c r="L143" s="468"/>
      <c r="M143" s="576" t="e">
        <f t="shared" si="14"/>
        <v>#REF!</v>
      </c>
      <c r="N143" s="587">
        <v>392.79</v>
      </c>
      <c r="O143" s="743" t="e">
        <f>N143*(#REF!+1)</f>
        <v>#REF!</v>
      </c>
      <c r="Q143" s="585"/>
      <c r="R143" s="464"/>
      <c r="S143" s="586">
        <v>0.8</v>
      </c>
      <c r="T143" s="468"/>
      <c r="U143" s="576" t="e">
        <f t="shared" si="12"/>
        <v>#REF!</v>
      </c>
      <c r="V143" s="587">
        <v>352.33</v>
      </c>
      <c r="W143" s="743" t="e">
        <f>V143*(#REF!+1)</f>
        <v>#REF!</v>
      </c>
      <c r="X143" s="468"/>
      <c r="Y143" s="585"/>
      <c r="Z143" s="464"/>
      <c r="AA143" s="586">
        <v>0.8</v>
      </c>
      <c r="AB143" s="468"/>
      <c r="AC143" s="576" t="e">
        <f t="shared" si="13"/>
        <v>#REF!</v>
      </c>
      <c r="AD143" s="587">
        <v>327.94</v>
      </c>
      <c r="AE143" s="743" t="e">
        <f>AD143*(#REF!+1)</f>
        <v>#REF!</v>
      </c>
      <c r="AF143" s="576"/>
      <c r="AG143" s="619"/>
      <c r="AH143" s="620"/>
      <c r="AI143" s="621"/>
      <c r="AJ143" s="620"/>
      <c r="AK143" s="464"/>
      <c r="AL143" s="463"/>
      <c r="AM143" s="463"/>
    </row>
    <row r="144" spans="1:39" x14ac:dyDescent="0.2">
      <c r="A144" s="585"/>
      <c r="B144" s="464"/>
      <c r="C144" s="586">
        <v>0.75</v>
      </c>
      <c r="D144" s="468"/>
      <c r="E144" s="576" t="e">
        <f t="shared" si="11"/>
        <v>#REF!</v>
      </c>
      <c r="F144" s="587">
        <v>499.56</v>
      </c>
      <c r="G144" s="743" t="e">
        <f>F144*(#REF!+1)</f>
        <v>#REF!</v>
      </c>
      <c r="I144" s="585"/>
      <c r="J144" s="464"/>
      <c r="K144" s="586">
        <v>0.75</v>
      </c>
      <c r="L144" s="468"/>
      <c r="M144" s="576" t="e">
        <f t="shared" si="14"/>
        <v>#REF!</v>
      </c>
      <c r="N144" s="587">
        <v>418.98</v>
      </c>
      <c r="O144" s="743" t="e">
        <f>N144*(#REF!+1)</f>
        <v>#REF!</v>
      </c>
      <c r="Q144" s="585"/>
      <c r="R144" s="464"/>
      <c r="S144" s="586">
        <v>0.75</v>
      </c>
      <c r="T144" s="468"/>
      <c r="U144" s="576" t="e">
        <f t="shared" si="12"/>
        <v>#REF!</v>
      </c>
      <c r="V144" s="587">
        <v>375.82</v>
      </c>
      <c r="W144" s="743" t="e">
        <f>V144*(#REF!+1)</f>
        <v>#REF!</v>
      </c>
      <c r="X144" s="468"/>
      <c r="Y144" s="585"/>
      <c r="Z144" s="464"/>
      <c r="AA144" s="586">
        <v>0.75</v>
      </c>
      <c r="AB144" s="468"/>
      <c r="AC144" s="576" t="e">
        <f t="shared" si="13"/>
        <v>#REF!</v>
      </c>
      <c r="AD144" s="587">
        <v>349.81</v>
      </c>
      <c r="AE144" s="743" t="e">
        <f>AD144*(#REF!+1)</f>
        <v>#REF!</v>
      </c>
      <c r="AF144" s="576"/>
      <c r="AG144" s="561"/>
      <c r="AH144" s="561"/>
      <c r="AI144" s="561"/>
      <c r="AJ144" s="561"/>
      <c r="AK144" s="464"/>
      <c r="AL144" s="463"/>
      <c r="AM144" s="463"/>
    </row>
    <row r="145" spans="1:39" x14ac:dyDescent="0.2">
      <c r="A145" s="585"/>
      <c r="B145" s="464"/>
      <c r="C145" s="586">
        <v>0.7</v>
      </c>
      <c r="D145" s="468"/>
      <c r="E145" s="576" t="e">
        <f t="shared" si="11"/>
        <v>#REF!</v>
      </c>
      <c r="F145" s="587">
        <v>535.25</v>
      </c>
      <c r="G145" s="743" t="e">
        <f>F145*(#REF!+1)</f>
        <v>#REF!</v>
      </c>
      <c r="I145" s="585"/>
      <c r="J145" s="464"/>
      <c r="K145" s="586">
        <v>0.7</v>
      </c>
      <c r="L145" s="468"/>
      <c r="M145" s="576" t="e">
        <f t="shared" si="14"/>
        <v>#REF!</v>
      </c>
      <c r="N145" s="587">
        <v>448.9</v>
      </c>
      <c r="O145" s="743" t="e">
        <f>N145*(#REF!+1)</f>
        <v>#REF!</v>
      </c>
      <c r="Q145" s="585"/>
      <c r="R145" s="464"/>
      <c r="S145" s="586">
        <v>0.7</v>
      </c>
      <c r="T145" s="468"/>
      <c r="U145" s="576" t="e">
        <f t="shared" si="12"/>
        <v>#REF!</v>
      </c>
      <c r="V145" s="587">
        <v>402.66</v>
      </c>
      <c r="W145" s="743" t="e">
        <f>V145*(#REF!+1)</f>
        <v>#REF!</v>
      </c>
      <c r="X145" s="468"/>
      <c r="Y145" s="585"/>
      <c r="Z145" s="464"/>
      <c r="AA145" s="586">
        <v>0.7</v>
      </c>
      <c r="AB145" s="468"/>
      <c r="AC145" s="576" t="e">
        <f t="shared" si="13"/>
        <v>#REF!</v>
      </c>
      <c r="AD145" s="587">
        <v>374.8</v>
      </c>
      <c r="AE145" s="743" t="e">
        <f>AD145*(#REF!+1)</f>
        <v>#REF!</v>
      </c>
      <c r="AF145" s="576"/>
      <c r="AG145" s="561"/>
      <c r="AH145" s="561"/>
      <c r="AI145" s="561"/>
      <c r="AJ145" s="561"/>
      <c r="AK145" s="464"/>
      <c r="AL145" s="463"/>
      <c r="AM145" s="463"/>
    </row>
    <row r="146" spans="1:39" x14ac:dyDescent="0.2">
      <c r="A146" s="585"/>
      <c r="B146" s="464"/>
      <c r="C146" s="586">
        <v>0.65</v>
      </c>
      <c r="D146" s="468"/>
      <c r="E146" s="576" t="e">
        <f t="shared" si="11"/>
        <v>#REF!</v>
      </c>
      <c r="F146" s="587">
        <v>576.41999999999996</v>
      </c>
      <c r="G146" s="743" t="e">
        <f>F146*(#REF!+1)</f>
        <v>#REF!</v>
      </c>
      <c r="I146" s="585"/>
      <c r="J146" s="464"/>
      <c r="K146" s="586">
        <v>0.65</v>
      </c>
      <c r="L146" s="468"/>
      <c r="M146" s="576" t="e">
        <f t="shared" si="14"/>
        <v>#REF!</v>
      </c>
      <c r="N146" s="587">
        <v>483.43</v>
      </c>
      <c r="O146" s="743" t="e">
        <f>N146*(#REF!+1)</f>
        <v>#REF!</v>
      </c>
      <c r="Q146" s="585"/>
      <c r="R146" s="464"/>
      <c r="S146" s="586">
        <v>0.65</v>
      </c>
      <c r="T146" s="468"/>
      <c r="U146" s="576" t="e">
        <f t="shared" si="12"/>
        <v>#REF!</v>
      </c>
      <c r="V146" s="587">
        <v>433.64</v>
      </c>
      <c r="W146" s="743" t="e">
        <f>V146*(#REF!+1)</f>
        <v>#REF!</v>
      </c>
      <c r="X146" s="468"/>
      <c r="Y146" s="585"/>
      <c r="Z146" s="464"/>
      <c r="AA146" s="586">
        <v>0.65</v>
      </c>
      <c r="AB146" s="468"/>
      <c r="AC146" s="576" t="e">
        <f t="shared" si="13"/>
        <v>#REF!</v>
      </c>
      <c r="AD146" s="587">
        <v>403.62</v>
      </c>
      <c r="AE146" s="743" t="e">
        <f>AD146*(#REF!+1)</f>
        <v>#REF!</v>
      </c>
      <c r="AF146" s="576"/>
      <c r="AH146" s="464"/>
      <c r="AI146" s="464"/>
      <c r="AJ146" s="464"/>
      <c r="AK146" s="464"/>
      <c r="AL146" s="463"/>
      <c r="AM146" s="463"/>
    </row>
    <row r="147" spans="1:39" x14ac:dyDescent="0.2">
      <c r="A147" s="585"/>
      <c r="B147" s="464"/>
      <c r="C147" s="586">
        <v>0.6</v>
      </c>
      <c r="D147" s="468"/>
      <c r="E147" s="576" t="e">
        <f t="shared" si="11"/>
        <v>#REF!</v>
      </c>
      <c r="F147" s="587">
        <v>624.45000000000005</v>
      </c>
      <c r="G147" s="743" t="e">
        <f>F147*(#REF!+1)</f>
        <v>#REF!</v>
      </c>
      <c r="I147" s="585"/>
      <c r="J147" s="464"/>
      <c r="K147" s="586">
        <v>0.6</v>
      </c>
      <c r="L147" s="468"/>
      <c r="M147" s="576" t="e">
        <f t="shared" si="14"/>
        <v>#REF!</v>
      </c>
      <c r="N147" s="587">
        <v>523.72</v>
      </c>
      <c r="O147" s="743" t="e">
        <f>N147*(#REF!+1)</f>
        <v>#REF!</v>
      </c>
      <c r="Q147" s="585"/>
      <c r="R147" s="464"/>
      <c r="S147" s="586">
        <v>0.6</v>
      </c>
      <c r="T147" s="468"/>
      <c r="U147" s="576" t="e">
        <f t="shared" si="12"/>
        <v>#REF!</v>
      </c>
      <c r="V147" s="587">
        <v>469.77</v>
      </c>
      <c r="W147" s="743" t="e">
        <f>V147*(#REF!+1)</f>
        <v>#REF!</v>
      </c>
      <c r="X147" s="468"/>
      <c r="Y147" s="585"/>
      <c r="Z147" s="464"/>
      <c r="AA147" s="586">
        <v>0.6</v>
      </c>
      <c r="AB147" s="468"/>
      <c r="AC147" s="576" t="e">
        <f t="shared" si="13"/>
        <v>#REF!</v>
      </c>
      <c r="AD147" s="587">
        <v>437.26</v>
      </c>
      <c r="AE147" s="743" t="e">
        <f>AD147*(#REF!+1)</f>
        <v>#REF!</v>
      </c>
      <c r="AF147" s="576"/>
      <c r="AG147" s="591"/>
      <c r="AH147" s="579"/>
      <c r="AI147" s="464"/>
      <c r="AJ147" s="464"/>
      <c r="AK147" s="464"/>
      <c r="AL147" s="463"/>
      <c r="AM147" s="463"/>
    </row>
    <row r="148" spans="1:39" x14ac:dyDescent="0.2">
      <c r="A148" s="585"/>
      <c r="B148" s="464"/>
      <c r="C148" s="586">
        <v>0.55000000000000004</v>
      </c>
      <c r="D148" s="468"/>
      <c r="E148" s="576" t="e">
        <f t="shared" si="11"/>
        <v>#REF!</v>
      </c>
      <c r="F148" s="587">
        <v>681.22</v>
      </c>
      <c r="G148" s="743" t="e">
        <f>F148*(#REF!+1)</f>
        <v>#REF!</v>
      </c>
      <c r="I148" s="585"/>
      <c r="J148" s="464"/>
      <c r="K148" s="586">
        <v>0.55000000000000004</v>
      </c>
      <c r="L148" s="468"/>
      <c r="M148" s="576" t="e">
        <f t="shared" si="14"/>
        <v>#REF!</v>
      </c>
      <c r="N148" s="587">
        <v>571.33000000000004</v>
      </c>
      <c r="O148" s="743" t="e">
        <f>N148*(#REF!+1)</f>
        <v>#REF!</v>
      </c>
      <c r="Q148" s="585"/>
      <c r="R148" s="464"/>
      <c r="S148" s="586">
        <v>0.55000000000000004</v>
      </c>
      <c r="T148" s="468"/>
      <c r="U148" s="576" t="e">
        <f t="shared" si="12"/>
        <v>#REF!</v>
      </c>
      <c r="V148" s="587">
        <v>512.48</v>
      </c>
      <c r="W148" s="743" t="e">
        <f>V148*(#REF!+1)</f>
        <v>#REF!</v>
      </c>
      <c r="X148" s="468"/>
      <c r="Y148" s="585"/>
      <c r="Z148" s="464"/>
      <c r="AA148" s="586">
        <v>0.55000000000000004</v>
      </c>
      <c r="AB148" s="468"/>
      <c r="AC148" s="576" t="e">
        <f t="shared" si="13"/>
        <v>#REF!</v>
      </c>
      <c r="AD148" s="587">
        <v>477.01</v>
      </c>
      <c r="AE148" s="743" t="e">
        <f>AD148*(#REF!+1)</f>
        <v>#REF!</v>
      </c>
      <c r="AF148" s="576"/>
      <c r="AH148" s="608"/>
      <c r="AI148" s="608"/>
      <c r="AJ148" s="463"/>
      <c r="AK148" s="463"/>
      <c r="AL148" s="463"/>
      <c r="AM148" s="463"/>
    </row>
    <row r="149" spans="1:39" ht="13.5" thickBot="1" x14ac:dyDescent="0.25">
      <c r="A149" s="596"/>
      <c r="B149" s="597"/>
      <c r="C149" s="598">
        <v>0.5</v>
      </c>
      <c r="D149" s="599"/>
      <c r="E149" s="600" t="e">
        <f t="shared" si="11"/>
        <v>#REF!</v>
      </c>
      <c r="F149" s="601">
        <v>749.34</v>
      </c>
      <c r="G149" s="743" t="e">
        <f>F149*(#REF!+1)</f>
        <v>#REF!</v>
      </c>
      <c r="I149" s="596"/>
      <c r="J149" s="597"/>
      <c r="K149" s="598">
        <v>0.5</v>
      </c>
      <c r="L149" s="599"/>
      <c r="M149" s="600" t="e">
        <f t="shared" si="14"/>
        <v>#REF!</v>
      </c>
      <c r="N149" s="601">
        <v>628.47</v>
      </c>
      <c r="O149" s="743" t="e">
        <f>N149*(#REF!+1)</f>
        <v>#REF!</v>
      </c>
      <c r="Q149" s="596"/>
      <c r="R149" s="597"/>
      <c r="S149" s="598">
        <v>0.5</v>
      </c>
      <c r="T149" s="599"/>
      <c r="U149" s="600" t="e">
        <f t="shared" si="12"/>
        <v>#REF!</v>
      </c>
      <c r="V149" s="601">
        <v>563.73</v>
      </c>
      <c r="W149" s="743" t="e">
        <f>V149*(#REF!+1)</f>
        <v>#REF!</v>
      </c>
      <c r="X149" s="468"/>
      <c r="Y149" s="596"/>
      <c r="Z149" s="597"/>
      <c r="AA149" s="598">
        <v>0.5</v>
      </c>
      <c r="AB149" s="599"/>
      <c r="AC149" s="600" t="e">
        <f t="shared" si="13"/>
        <v>#REF!</v>
      </c>
      <c r="AD149" s="601">
        <v>524.71</v>
      </c>
      <c r="AE149" s="743" t="e">
        <f>AD149*(#REF!+1)</f>
        <v>#REF!</v>
      </c>
      <c r="AF149" s="576"/>
      <c r="AG149" s="625"/>
      <c r="AH149" s="463"/>
      <c r="AI149" s="463"/>
      <c r="AJ149" s="608"/>
      <c r="AK149" s="608"/>
      <c r="AL149" s="608"/>
      <c r="AM149" s="608"/>
    </row>
  </sheetData>
  <mergeCells count="23">
    <mergeCell ref="AE139:AE140"/>
    <mergeCell ref="W102:W103"/>
    <mergeCell ref="AE102:AE103"/>
    <mergeCell ref="W64:W65"/>
    <mergeCell ref="AE64:AE65"/>
    <mergeCell ref="W26:W27"/>
    <mergeCell ref="AE26:AE27"/>
    <mergeCell ref="O64:O65"/>
    <mergeCell ref="O102:O103"/>
    <mergeCell ref="G102:G103"/>
    <mergeCell ref="G139:G140"/>
    <mergeCell ref="O139:O140"/>
    <mergeCell ref="W139:W140"/>
    <mergeCell ref="A77:B77"/>
    <mergeCell ref="A114:B114"/>
    <mergeCell ref="I115:M115"/>
    <mergeCell ref="AH1:AM1"/>
    <mergeCell ref="I2:M2"/>
    <mergeCell ref="AJ16:AM16"/>
    <mergeCell ref="AJ25:AM25"/>
    <mergeCell ref="G26:G27"/>
    <mergeCell ref="O26:O27"/>
    <mergeCell ref="G64:G65"/>
  </mergeCells>
  <phoneticPr fontId="0" type="noConversion"/>
  <printOptions horizontalCentered="1"/>
  <pageMargins left="0" right="0" top="0.5" bottom="0.64" header="0.2" footer="0.34"/>
  <pageSetup paperSize="5" scale="47" fitToHeight="2" orientation="landscape" r:id="rId1"/>
  <headerFooter alignWithMargins="0">
    <oddHeader>&amp;C&amp;"Arial,Bold Italic"&amp;20YOUTH INTERMEDIATE TERM  HIGHER NEED  RATES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218"/>
  <sheetViews>
    <sheetView topLeftCell="A22" zoomScale="85" zoomScaleNormal="85" workbookViewId="0">
      <selection activeCell="U39" sqref="U39"/>
    </sheetView>
  </sheetViews>
  <sheetFormatPr defaultRowHeight="14.25" x14ac:dyDescent="0.2"/>
  <cols>
    <col min="1" max="1" width="2.75" customWidth="1"/>
    <col min="2" max="2" width="23.875" bestFit="1" customWidth="1"/>
    <col min="3" max="3" width="6.5" bestFit="1" customWidth="1"/>
    <col min="4" max="4" width="14.5" bestFit="1" customWidth="1"/>
    <col min="5" max="5" width="4.625" bestFit="1" customWidth="1"/>
    <col min="6" max="6" width="10.5" bestFit="1" customWidth="1"/>
    <col min="7" max="7" width="9.625" bestFit="1" customWidth="1"/>
    <col min="8" max="8" width="8.875" style="436" bestFit="1" customWidth="1"/>
    <col min="9" max="9" width="7.5" customWidth="1"/>
    <col min="10" max="10" width="3.75" customWidth="1"/>
    <col min="11" max="11" width="20.5" bestFit="1" customWidth="1"/>
    <col min="12" max="12" width="6.5" bestFit="1" customWidth="1"/>
    <col min="13" max="13" width="14.625" bestFit="1" customWidth="1"/>
    <col min="14" max="14" width="4.625" bestFit="1" customWidth="1"/>
    <col min="15" max="15" width="10.5" bestFit="1" customWidth="1"/>
    <col min="16" max="16" width="9.625" bestFit="1" customWidth="1"/>
    <col min="17" max="17" width="8.875" style="436" bestFit="1" customWidth="1"/>
    <col min="18" max="18" width="7.25" bestFit="1" customWidth="1"/>
    <col min="19" max="19" width="3.75" customWidth="1"/>
    <col min="20" max="20" width="20.5" bestFit="1" customWidth="1"/>
    <col min="21" max="21" width="6.5" bestFit="1" customWidth="1"/>
    <col min="22" max="22" width="19.25" bestFit="1" customWidth="1"/>
    <col min="23" max="23" width="10.25" bestFit="1" customWidth="1"/>
    <col min="24" max="24" width="10.5" bestFit="1" customWidth="1"/>
    <col min="25" max="25" width="9.625" bestFit="1" customWidth="1"/>
    <col min="26" max="26" width="8.875" style="436" bestFit="1" customWidth="1"/>
    <col min="27" max="27" width="7.25" bestFit="1" customWidth="1"/>
    <col min="28" max="28" width="29.375" bestFit="1" customWidth="1"/>
    <col min="29" max="29" width="10.25" bestFit="1" customWidth="1"/>
    <col min="30" max="30" width="13.125" bestFit="1" customWidth="1"/>
    <col min="31" max="31" width="4" bestFit="1" customWidth="1"/>
    <col min="32" max="32" width="11.375" bestFit="1" customWidth="1"/>
    <col min="33" max="33" width="10.5" bestFit="1" customWidth="1"/>
    <col min="34" max="34" width="5" bestFit="1" customWidth="1"/>
    <col min="36" max="36" width="31.25" customWidth="1"/>
    <col min="37" max="37" width="10.25" bestFit="1" customWidth="1"/>
  </cols>
  <sheetData>
    <row r="1" spans="2:31" s="746" customFormat="1" ht="13.5" hidden="1" thickBot="1" x14ac:dyDescent="0.25">
      <c r="B1" s="1150" t="s">
        <v>311</v>
      </c>
      <c r="C1" s="1151"/>
      <c r="K1" s="761"/>
      <c r="L1" s="761"/>
      <c r="M1" s="761"/>
      <c r="N1" s="748"/>
    </row>
    <row r="2" spans="2:31" s="746" customFormat="1" ht="12.75" hidden="1" x14ac:dyDescent="0.2">
      <c r="B2" s="749"/>
      <c r="C2" s="750"/>
      <c r="D2" s="751" t="s">
        <v>255</v>
      </c>
      <c r="E2" s="752"/>
      <c r="F2" s="753"/>
      <c r="G2" s="753"/>
      <c r="H2" s="760"/>
      <c r="I2" s="753"/>
      <c r="J2" s="753"/>
      <c r="K2" s="749"/>
      <c r="L2" s="750"/>
      <c r="M2" s="751" t="s">
        <v>256</v>
      </c>
      <c r="N2" s="752"/>
      <c r="O2" s="753"/>
      <c r="Q2" s="760"/>
      <c r="T2" s="749"/>
      <c r="U2" s="750"/>
      <c r="V2" s="751" t="s">
        <v>257</v>
      </c>
      <c r="W2" s="752"/>
      <c r="X2" s="753"/>
      <c r="Y2" s="837"/>
      <c r="Z2" s="760"/>
    </row>
    <row r="3" spans="2:31" s="745" customFormat="1" ht="12.75" hidden="1" x14ac:dyDescent="0.2">
      <c r="B3" s="754" t="s">
        <v>261</v>
      </c>
      <c r="C3" s="838" t="s">
        <v>302</v>
      </c>
      <c r="D3" s="756" t="s">
        <v>262</v>
      </c>
      <c r="E3" s="757">
        <v>30</v>
      </c>
      <c r="F3" s="758">
        <f>E3*C4</f>
        <v>450</v>
      </c>
      <c r="H3" s="746"/>
      <c r="J3" s="758"/>
      <c r="K3" s="754" t="s">
        <v>261</v>
      </c>
      <c r="L3" s="755" t="s">
        <v>263</v>
      </c>
      <c r="M3" s="756" t="s">
        <v>262</v>
      </c>
      <c r="N3" s="757">
        <v>30</v>
      </c>
      <c r="O3" s="758">
        <f>L4*N3</f>
        <v>600</v>
      </c>
      <c r="Q3" s="746"/>
      <c r="T3" s="754" t="s">
        <v>261</v>
      </c>
      <c r="U3" s="755" t="s">
        <v>303</v>
      </c>
      <c r="V3" s="756" t="s">
        <v>262</v>
      </c>
      <c r="W3" s="757">
        <v>30</v>
      </c>
      <c r="X3" s="758">
        <f>V4*W3</f>
        <v>780</v>
      </c>
      <c r="Z3" s="746"/>
      <c r="AA3" s="839"/>
      <c r="AD3" s="839"/>
      <c r="AE3" s="839"/>
    </row>
    <row r="4" spans="2:31" s="745" customFormat="1" ht="12.75" hidden="1" x14ac:dyDescent="0.2">
      <c r="B4" s="754"/>
      <c r="C4" s="755">
        <v>15</v>
      </c>
      <c r="D4" s="756"/>
      <c r="E4" s="757"/>
      <c r="F4" s="758"/>
      <c r="G4" s="758"/>
      <c r="H4" s="840"/>
      <c r="I4" s="758"/>
      <c r="J4" s="758"/>
      <c r="K4" s="758"/>
      <c r="L4" s="755">
        <v>20</v>
      </c>
      <c r="M4" s="754"/>
      <c r="O4" s="756"/>
      <c r="P4" s="757"/>
      <c r="Q4" s="840"/>
      <c r="R4" s="757"/>
      <c r="S4" s="758"/>
      <c r="U4" s="754"/>
      <c r="V4" s="755">
        <v>26</v>
      </c>
      <c r="W4" s="756"/>
      <c r="X4" s="757"/>
      <c r="Y4" s="758"/>
      <c r="Z4" s="840"/>
      <c r="AA4" s="839"/>
      <c r="AD4" s="839"/>
      <c r="AE4" s="839"/>
    </row>
    <row r="5" spans="2:31" s="746" customFormat="1" ht="12.75" hidden="1" x14ac:dyDescent="0.2">
      <c r="J5" s="758"/>
      <c r="K5" s="762"/>
      <c r="L5" s="762"/>
      <c r="M5" s="762"/>
      <c r="N5" s="748"/>
      <c r="S5" s="841"/>
      <c r="T5" s="762"/>
      <c r="U5" s="762"/>
      <c r="V5" s="762"/>
      <c r="W5" s="748"/>
    </row>
    <row r="6" spans="2:31" s="746" customFormat="1" ht="12.75" hidden="1" x14ac:dyDescent="0.2">
      <c r="C6" s="748"/>
      <c r="D6" s="842" t="s">
        <v>304</v>
      </c>
      <c r="E6" s="842" t="s">
        <v>270</v>
      </c>
      <c r="F6" s="842" t="s">
        <v>305</v>
      </c>
      <c r="G6" s="842"/>
      <c r="H6" s="842"/>
      <c r="I6" s="842"/>
      <c r="J6" s="758"/>
      <c r="L6" s="748"/>
      <c r="M6" s="842" t="s">
        <v>304</v>
      </c>
      <c r="N6" s="842" t="s">
        <v>270</v>
      </c>
      <c r="O6" s="842" t="s">
        <v>305</v>
      </c>
      <c r="Q6" s="842"/>
      <c r="U6" s="748"/>
      <c r="V6" s="842" t="s">
        <v>304</v>
      </c>
      <c r="W6" s="842" t="s">
        <v>270</v>
      </c>
      <c r="X6" s="842" t="s">
        <v>305</v>
      </c>
      <c r="Z6" s="842"/>
    </row>
    <row r="7" spans="2:31" s="746" customFormat="1" ht="13.5" hidden="1" thickBot="1" x14ac:dyDescent="0.25">
      <c r="B7" s="843" t="s">
        <v>306</v>
      </c>
      <c r="D7" s="844">
        <f>AC8</f>
        <v>30625</v>
      </c>
      <c r="E7" s="845">
        <f>30/187</f>
        <v>0.16042780748663102</v>
      </c>
      <c r="F7" s="846">
        <f>D7*E7</f>
        <v>4913.1016042780748</v>
      </c>
      <c r="G7" s="846"/>
      <c r="H7" s="846"/>
      <c r="I7" s="846"/>
      <c r="J7" s="758"/>
      <c r="K7" s="843" t="s">
        <v>306</v>
      </c>
      <c r="M7" s="847">
        <f>AC8</f>
        <v>30625</v>
      </c>
      <c r="N7" s="845">
        <f>2*0.16</f>
        <v>0.32</v>
      </c>
      <c r="O7" s="846">
        <f>M7*N7</f>
        <v>9800</v>
      </c>
      <c r="Q7" s="846"/>
      <c r="T7" s="843" t="s">
        <v>306</v>
      </c>
      <c r="V7" s="847">
        <f>AC8</f>
        <v>30625</v>
      </c>
      <c r="W7" s="845">
        <f>3*0.16</f>
        <v>0.48</v>
      </c>
      <c r="X7" s="846">
        <f>V7*W7</f>
        <v>14700</v>
      </c>
      <c r="Z7" s="846"/>
      <c r="AB7" s="1154" t="s">
        <v>249</v>
      </c>
      <c r="AC7" s="1155"/>
    </row>
    <row r="8" spans="2:31" s="746" customFormat="1" ht="12.75" hidden="1" x14ac:dyDescent="0.2">
      <c r="B8" s="843" t="s">
        <v>307</v>
      </c>
      <c r="D8" s="844">
        <f>AC9</f>
        <v>37812.5</v>
      </c>
      <c r="E8" s="845">
        <f>30/187</f>
        <v>0.16042780748663102</v>
      </c>
      <c r="F8" s="846">
        <f>D8*E8</f>
        <v>6066.1764705882351</v>
      </c>
      <c r="G8" s="846"/>
      <c r="H8" s="846"/>
      <c r="I8" s="846"/>
      <c r="J8" s="758"/>
      <c r="K8" s="843" t="s">
        <v>307</v>
      </c>
      <c r="M8" s="847">
        <f>AC9</f>
        <v>37812.5</v>
      </c>
      <c r="N8" s="845">
        <v>0.16</v>
      </c>
      <c r="O8" s="846">
        <f>M8*N8</f>
        <v>6050</v>
      </c>
      <c r="Q8" s="846"/>
      <c r="T8" s="843" t="s">
        <v>307</v>
      </c>
      <c r="V8" s="847">
        <f>AC9</f>
        <v>37812.5</v>
      </c>
      <c r="W8" s="845">
        <v>0.16</v>
      </c>
      <c r="X8" s="846">
        <f>V8*W8</f>
        <v>6050</v>
      </c>
      <c r="Z8" s="846"/>
      <c r="AB8" s="848" t="s">
        <v>312</v>
      </c>
      <c r="AC8" s="849">
        <f>4900/0.16</f>
        <v>30625</v>
      </c>
    </row>
    <row r="9" spans="2:31" s="746" customFormat="1" ht="13.5" hidden="1" thickBot="1" x14ac:dyDescent="0.25">
      <c r="B9" s="843" t="s">
        <v>308</v>
      </c>
      <c r="C9" s="850">
        <f>'Rate Options'!$AJ$30</f>
        <v>0.25578770213785851</v>
      </c>
      <c r="D9" s="846"/>
      <c r="E9" s="846"/>
      <c r="F9" s="846">
        <f>(F7+F8)*C9</f>
        <v>2808.3643099026244</v>
      </c>
      <c r="G9" s="851"/>
      <c r="H9" s="851"/>
      <c r="I9" s="851"/>
      <c r="J9" s="758"/>
      <c r="K9" s="843" t="s">
        <v>308</v>
      </c>
      <c r="L9" s="850">
        <f>'Rate Options'!$AJ$30</f>
        <v>0.25578770213785851</v>
      </c>
      <c r="M9" s="846"/>
      <c r="N9" s="846"/>
      <c r="O9" s="846">
        <f>(O7+O8)*L9</f>
        <v>4054.2350788850572</v>
      </c>
      <c r="Q9" s="851"/>
      <c r="T9" s="843" t="s">
        <v>308</v>
      </c>
      <c r="U9" s="850">
        <f>'Rate Options'!$AJ$30</f>
        <v>0.25578770213785851</v>
      </c>
      <c r="V9" s="846"/>
      <c r="W9" s="846"/>
      <c r="X9" s="846">
        <f>(X7+X8)*U9</f>
        <v>5307.5948193605636</v>
      </c>
      <c r="Z9" s="851"/>
      <c r="AB9" s="852" t="s">
        <v>313</v>
      </c>
      <c r="AC9" s="853">
        <f>6050/0.16</f>
        <v>37812.5</v>
      </c>
    </row>
    <row r="10" spans="2:31" s="746" customFormat="1" ht="12.75" hidden="1" x14ac:dyDescent="0.2">
      <c r="B10" s="843" t="s">
        <v>309</v>
      </c>
      <c r="C10" s="850" t="e">
        <f>'Rate Options'!$AJ$42</f>
        <v>#REF!</v>
      </c>
      <c r="D10" s="846"/>
      <c r="E10" s="846"/>
      <c r="F10" s="846" t="e">
        <f>SUM(F7:F9)*C10</f>
        <v>#REF!</v>
      </c>
      <c r="G10" s="851"/>
      <c r="H10" s="851"/>
      <c r="I10" s="851"/>
      <c r="J10" s="758"/>
      <c r="K10" s="843" t="s">
        <v>309</v>
      </c>
      <c r="L10" s="850" t="e">
        <f>'Rate Options'!$AJ$42</f>
        <v>#REF!</v>
      </c>
      <c r="M10" s="846"/>
      <c r="N10" s="846"/>
      <c r="O10" s="846" t="e">
        <f>SUM(O7:O9)*L10</f>
        <v>#REF!</v>
      </c>
      <c r="P10" s="846"/>
      <c r="Q10" s="851"/>
      <c r="R10" s="846"/>
      <c r="T10" s="843" t="s">
        <v>309</v>
      </c>
      <c r="U10" s="850" t="e">
        <f>'Rate Options'!$AJ$42</f>
        <v>#REF!</v>
      </c>
      <c r="V10" s="846"/>
      <c r="W10" s="846"/>
      <c r="X10" s="846" t="e">
        <f>SUM(X7:X9)*U10</f>
        <v>#REF!</v>
      </c>
      <c r="Z10" s="851"/>
    </row>
    <row r="11" spans="2:31" s="746" customFormat="1" ht="12.75" hidden="1" x14ac:dyDescent="0.2">
      <c r="B11" s="854" t="s">
        <v>288</v>
      </c>
      <c r="C11" s="855"/>
      <c r="D11" s="855"/>
      <c r="E11" s="855"/>
      <c r="F11" s="856" t="e">
        <f>SUM(F7:F10)</f>
        <v>#REF!</v>
      </c>
      <c r="G11" s="836"/>
      <c r="H11" s="836"/>
      <c r="I11" s="836"/>
      <c r="J11" s="758"/>
      <c r="K11" s="854" t="s">
        <v>288</v>
      </c>
      <c r="L11" s="855"/>
      <c r="M11" s="855"/>
      <c r="N11" s="855"/>
      <c r="O11" s="856" t="e">
        <f>SUM(O7:O10)</f>
        <v>#REF!</v>
      </c>
      <c r="Q11" s="836"/>
      <c r="T11" s="854" t="s">
        <v>288</v>
      </c>
      <c r="U11" s="855"/>
      <c r="V11" s="855"/>
      <c r="W11" s="855"/>
      <c r="X11" s="856" t="e">
        <f>SUM(X7:X10)</f>
        <v>#REF!</v>
      </c>
      <c r="Z11" s="836"/>
    </row>
    <row r="12" spans="2:31" s="746" customFormat="1" ht="12.75" hidden="1" x14ac:dyDescent="0.2">
      <c r="D12" s="756"/>
      <c r="E12" s="756"/>
      <c r="F12" s="857" t="e">
        <f>F11/F3</f>
        <v>#REF!</v>
      </c>
      <c r="G12" s="858" t="s">
        <v>378</v>
      </c>
      <c r="H12" s="859" t="s">
        <v>377</v>
      </c>
      <c r="I12" s="860"/>
      <c r="M12" s="756"/>
      <c r="N12" s="756"/>
      <c r="O12" s="857" t="e">
        <f>O11/O3</f>
        <v>#REF!</v>
      </c>
      <c r="P12" s="858" t="s">
        <v>378</v>
      </c>
      <c r="Q12" s="859" t="s">
        <v>377</v>
      </c>
      <c r="V12" s="756"/>
      <c r="W12" s="756"/>
      <c r="X12" s="857" t="e">
        <f>X11/X3</f>
        <v>#REF!</v>
      </c>
      <c r="Y12" s="858" t="s">
        <v>378</v>
      </c>
      <c r="Z12" s="859" t="s">
        <v>377</v>
      </c>
    </row>
    <row r="13" spans="2:31" s="746" customFormat="1" ht="12.75" hidden="1" x14ac:dyDescent="0.2">
      <c r="B13" s="754" t="s">
        <v>290</v>
      </c>
      <c r="C13" s="861">
        <f>'Rate Options'!$AK$43</f>
        <v>4.4640068153077195E-2</v>
      </c>
      <c r="D13" s="756"/>
      <c r="E13" s="756"/>
      <c r="G13" s="862" t="e">
        <f>ROUND(F12*(1+C$13),2)</f>
        <v>#REF!</v>
      </c>
      <c r="H13" s="863">
        <v>0.9</v>
      </c>
      <c r="I13" s="864" t="e">
        <f>$G$13/H13</f>
        <v>#REF!</v>
      </c>
      <c r="K13" s="754" t="s">
        <v>290</v>
      </c>
      <c r="L13" s="861">
        <f>'Rate Options'!$AK$43</f>
        <v>4.4640068153077195E-2</v>
      </c>
      <c r="M13" s="756"/>
      <c r="N13" s="756"/>
      <c r="P13" s="862" t="e">
        <f>ROUND(O12*(1+L$13),2)</f>
        <v>#REF!</v>
      </c>
      <c r="Q13" s="863">
        <v>0.9</v>
      </c>
      <c r="R13" s="864" t="e">
        <f t="shared" ref="R13:R21" si="0">$P$13/Q13</f>
        <v>#REF!</v>
      </c>
      <c r="T13" s="754" t="s">
        <v>290</v>
      </c>
      <c r="U13" s="861">
        <f>'Rate Options'!$AK$43</f>
        <v>4.4640068153077195E-2</v>
      </c>
      <c r="V13" s="756"/>
      <c r="W13" s="756"/>
      <c r="Y13" s="862" t="e">
        <f>ROUND(X12*(1+U$13),2)</f>
        <v>#REF!</v>
      </c>
      <c r="Z13" s="863">
        <v>0.9</v>
      </c>
      <c r="AA13" s="864" t="e">
        <f t="shared" ref="AA13:AA21" si="1">$Y$13/Z13</f>
        <v>#REF!</v>
      </c>
    </row>
    <row r="14" spans="2:31" s="746" customFormat="1" ht="12.75" hidden="1" x14ac:dyDescent="0.2">
      <c r="H14" s="863">
        <v>0.85</v>
      </c>
      <c r="I14" s="864" t="e">
        <f t="shared" ref="I14:I21" si="2">$G$13/H14</f>
        <v>#REF!</v>
      </c>
      <c r="Q14" s="863">
        <v>0.85</v>
      </c>
      <c r="R14" s="864" t="e">
        <f t="shared" si="0"/>
        <v>#REF!</v>
      </c>
      <c r="Z14" s="863">
        <v>0.85</v>
      </c>
      <c r="AA14" s="864" t="e">
        <f t="shared" si="1"/>
        <v>#REF!</v>
      </c>
    </row>
    <row r="15" spans="2:31" s="747" customFormat="1" hidden="1" x14ac:dyDescent="0.2">
      <c r="D15" s="756"/>
      <c r="E15" s="756"/>
      <c r="H15" s="863">
        <v>0.8</v>
      </c>
      <c r="I15" s="864" t="e">
        <f t="shared" si="2"/>
        <v>#REF!</v>
      </c>
      <c r="K15" s="754"/>
      <c r="M15" s="756"/>
      <c r="N15" s="756"/>
      <c r="Q15" s="863">
        <v>0.8</v>
      </c>
      <c r="R15" s="864" t="e">
        <f t="shared" si="0"/>
        <v>#REF!</v>
      </c>
      <c r="V15" s="756"/>
      <c r="W15" s="756"/>
      <c r="Z15" s="863">
        <v>0.8</v>
      </c>
      <c r="AA15" s="864" t="e">
        <f t="shared" si="1"/>
        <v>#REF!</v>
      </c>
    </row>
    <row r="16" spans="2:31" s="747" customFormat="1" hidden="1" x14ac:dyDescent="0.2">
      <c r="H16" s="863">
        <v>0.75</v>
      </c>
      <c r="I16" s="864" t="e">
        <f t="shared" si="2"/>
        <v>#REF!</v>
      </c>
      <c r="Q16" s="863">
        <v>0.75</v>
      </c>
      <c r="R16" s="864" t="e">
        <f t="shared" si="0"/>
        <v>#REF!</v>
      </c>
      <c r="Z16" s="863">
        <v>0.75</v>
      </c>
      <c r="AA16" s="864" t="e">
        <f t="shared" si="1"/>
        <v>#REF!</v>
      </c>
    </row>
    <row r="17" spans="2:27" s="747" customFormat="1" hidden="1" x14ac:dyDescent="0.2">
      <c r="H17" s="863">
        <v>0.7</v>
      </c>
      <c r="I17" s="864" t="e">
        <f t="shared" si="2"/>
        <v>#REF!</v>
      </c>
      <c r="Q17" s="863">
        <v>0.7</v>
      </c>
      <c r="R17" s="864" t="e">
        <f t="shared" si="0"/>
        <v>#REF!</v>
      </c>
      <c r="Z17" s="863">
        <v>0.7</v>
      </c>
      <c r="AA17" s="864" t="e">
        <f t="shared" si="1"/>
        <v>#REF!</v>
      </c>
    </row>
    <row r="18" spans="2:27" s="747" customFormat="1" hidden="1" x14ac:dyDescent="0.2">
      <c r="H18" s="863">
        <v>0.65</v>
      </c>
      <c r="I18" s="864" t="e">
        <f t="shared" si="2"/>
        <v>#REF!</v>
      </c>
      <c r="Q18" s="863">
        <v>0.65</v>
      </c>
      <c r="R18" s="864" t="e">
        <f t="shared" si="0"/>
        <v>#REF!</v>
      </c>
      <c r="Z18" s="863">
        <v>0.65</v>
      </c>
      <c r="AA18" s="864" t="e">
        <f t="shared" si="1"/>
        <v>#REF!</v>
      </c>
    </row>
    <row r="19" spans="2:27" s="747" customFormat="1" hidden="1" x14ac:dyDescent="0.2">
      <c r="H19" s="863">
        <v>0.6</v>
      </c>
      <c r="I19" s="864" t="e">
        <f t="shared" si="2"/>
        <v>#REF!</v>
      </c>
      <c r="Q19" s="863">
        <v>0.6</v>
      </c>
      <c r="R19" s="864" t="e">
        <f t="shared" si="0"/>
        <v>#REF!</v>
      </c>
      <c r="Z19" s="863">
        <v>0.6</v>
      </c>
      <c r="AA19" s="864" t="e">
        <f t="shared" si="1"/>
        <v>#REF!</v>
      </c>
    </row>
    <row r="20" spans="2:27" s="747" customFormat="1" hidden="1" x14ac:dyDescent="0.2">
      <c r="H20" s="863">
        <v>0.55000000000000004</v>
      </c>
      <c r="I20" s="864" t="e">
        <f t="shared" si="2"/>
        <v>#REF!</v>
      </c>
      <c r="Q20" s="863">
        <v>0.55000000000000004</v>
      </c>
      <c r="R20" s="864" t="e">
        <f t="shared" si="0"/>
        <v>#REF!</v>
      </c>
      <c r="Z20" s="863">
        <v>0.55000000000000004</v>
      </c>
      <c r="AA20" s="864" t="e">
        <f t="shared" si="1"/>
        <v>#REF!</v>
      </c>
    </row>
    <row r="21" spans="2:27" s="747" customFormat="1" hidden="1" x14ac:dyDescent="0.2">
      <c r="H21" s="863">
        <v>0.5</v>
      </c>
      <c r="I21" s="864" t="e">
        <f t="shared" si="2"/>
        <v>#REF!</v>
      </c>
      <c r="Q21" s="863">
        <v>0.5</v>
      </c>
      <c r="R21" s="864" t="e">
        <f t="shared" si="0"/>
        <v>#REF!</v>
      </c>
      <c r="Z21" s="863">
        <v>0.5</v>
      </c>
      <c r="AA21" s="864" t="e">
        <f t="shared" si="1"/>
        <v>#REF!</v>
      </c>
    </row>
    <row r="22" spans="2:27" ht="15" thickBot="1" x14ac:dyDescent="0.25">
      <c r="C22" s="363"/>
      <c r="G22" s="364"/>
      <c r="H22" s="434"/>
      <c r="I22" s="364"/>
      <c r="L22" s="363"/>
      <c r="P22" s="364"/>
      <c r="Q22" s="434"/>
      <c r="R22" s="364"/>
      <c r="U22" s="363"/>
      <c r="Y22" s="364"/>
      <c r="Z22" s="434"/>
    </row>
    <row r="23" spans="2:27" s="72" customFormat="1" ht="13.5" thickBot="1" x14ac:dyDescent="0.25">
      <c r="B23" s="84" t="s">
        <v>359</v>
      </c>
      <c r="K23" s="73"/>
      <c r="L23" s="73"/>
      <c r="M23" s="73"/>
      <c r="N23" s="73"/>
    </row>
    <row r="24" spans="2:27" s="72" customFormat="1" ht="13.5" thickBot="1" x14ac:dyDescent="0.25">
      <c r="B24" s="78"/>
      <c r="C24" s="74"/>
      <c r="D24" s="90" t="s">
        <v>336</v>
      </c>
      <c r="E24" s="91"/>
      <c r="F24" s="92"/>
      <c r="G24" s="92"/>
      <c r="H24" s="75"/>
      <c r="I24" s="92"/>
      <c r="J24" s="92"/>
      <c r="K24" s="78"/>
      <c r="L24" s="74"/>
      <c r="M24" s="90" t="s">
        <v>336</v>
      </c>
      <c r="N24" s="91"/>
      <c r="O24" s="92"/>
      <c r="P24" s="125"/>
      <c r="Q24" s="75"/>
      <c r="R24" s="125"/>
      <c r="V24" s="1152" t="s">
        <v>249</v>
      </c>
      <c r="W24" s="1153"/>
      <c r="Z24" s="75"/>
    </row>
    <row r="25" spans="2:27" s="72" customFormat="1" thickTop="1" thickBot="1" x14ac:dyDescent="0.25">
      <c r="D25" s="96" t="s">
        <v>270</v>
      </c>
      <c r="G25" s="98"/>
      <c r="H25" s="281"/>
      <c r="I25" s="98"/>
      <c r="J25" s="98"/>
      <c r="M25" s="96" t="s">
        <v>270</v>
      </c>
      <c r="P25" s="97"/>
      <c r="Q25" s="281"/>
      <c r="R25" s="97"/>
      <c r="V25" s="230" t="s">
        <v>314</v>
      </c>
      <c r="W25" s="722">
        <f>'Youth Res Rate Models'!AC11</f>
        <v>56879.606800509006</v>
      </c>
      <c r="Z25" s="281"/>
    </row>
    <row r="26" spans="2:27" s="72" customFormat="1" ht="12.75" x14ac:dyDescent="0.2">
      <c r="D26" s="231">
        <v>0.5</v>
      </c>
      <c r="G26" s="98"/>
      <c r="H26" s="281"/>
      <c r="I26" s="98"/>
      <c r="J26" s="98"/>
      <c r="M26" s="231">
        <v>1</v>
      </c>
      <c r="P26" s="97"/>
      <c r="Q26" s="281"/>
      <c r="R26" s="97"/>
      <c r="Z26" s="281"/>
    </row>
    <row r="27" spans="2:27" s="72" customFormat="1" ht="12.75" x14ac:dyDescent="0.2">
      <c r="G27" s="229"/>
      <c r="H27" s="220"/>
      <c r="I27" s="229"/>
      <c r="P27" s="125"/>
      <c r="Q27" s="220"/>
      <c r="R27" s="125"/>
      <c r="Z27" s="220"/>
    </row>
    <row r="28" spans="2:27" s="72" customFormat="1" ht="12.75" x14ac:dyDescent="0.2">
      <c r="C28" s="125"/>
      <c r="D28" s="232" t="s">
        <v>304</v>
      </c>
      <c r="E28" s="232" t="s">
        <v>270</v>
      </c>
      <c r="F28" s="232" t="s">
        <v>305</v>
      </c>
      <c r="L28" s="125"/>
      <c r="M28" s="232" t="s">
        <v>304</v>
      </c>
      <c r="N28" s="232" t="s">
        <v>270</v>
      </c>
      <c r="O28" s="232" t="s">
        <v>305</v>
      </c>
      <c r="P28" s="125"/>
      <c r="R28" s="125"/>
    </row>
    <row r="29" spans="2:27" s="72" customFormat="1" ht="12.75" x14ac:dyDescent="0.2">
      <c r="B29" s="233" t="s">
        <v>315</v>
      </c>
      <c r="D29" s="919">
        <f>W25</f>
        <v>56879.606800509006</v>
      </c>
      <c r="E29" s="278">
        <f>D26</f>
        <v>0.5</v>
      </c>
      <c r="F29" s="234">
        <f>E29*D29</f>
        <v>28439.803400254503</v>
      </c>
      <c r="K29" s="233" t="s">
        <v>315</v>
      </c>
      <c r="M29" s="37">
        <f>W25</f>
        <v>56879.606800509006</v>
      </c>
      <c r="N29" s="278">
        <f>M26</f>
        <v>1</v>
      </c>
      <c r="O29" s="234">
        <f>N29*M29</f>
        <v>56879.606800509006</v>
      </c>
      <c r="P29" s="125"/>
      <c r="R29" s="125"/>
    </row>
    <row r="30" spans="2:27" s="72" customFormat="1" ht="12.75" x14ac:dyDescent="0.2">
      <c r="B30" s="233" t="s">
        <v>308</v>
      </c>
      <c r="C30" s="235">
        <f>'Rate Options'!$AJ$30</f>
        <v>0.25578770213785851</v>
      </c>
      <c r="D30" s="234"/>
      <c r="E30" s="234"/>
      <c r="F30" s="234">
        <f>F29*C30</f>
        <v>7274.5519610035544</v>
      </c>
      <c r="G30" s="232"/>
      <c r="H30" s="232"/>
      <c r="I30" s="232"/>
      <c r="K30" s="233" t="s">
        <v>308</v>
      </c>
      <c r="L30" s="235">
        <f>'Rate Options'!$AJ$30</f>
        <v>0.25578770213785851</v>
      </c>
      <c r="M30" s="234"/>
      <c r="N30" s="234"/>
      <c r="O30" s="234">
        <f>O29*L30</f>
        <v>14549.103922007109</v>
      </c>
      <c r="P30" s="125"/>
      <c r="Q30" s="232"/>
      <c r="R30" s="125"/>
      <c r="Z30" s="232"/>
    </row>
    <row r="31" spans="2:27" s="72" customFormat="1" ht="12.75" x14ac:dyDescent="0.2">
      <c r="B31" s="233" t="s">
        <v>309</v>
      </c>
      <c r="C31" s="235">
        <v>0.121061</v>
      </c>
      <c r="D31" s="234"/>
      <c r="E31" s="234"/>
      <c r="F31" s="234">
        <f>SUM(F29:F30)*C31</f>
        <v>4323.6155743892623</v>
      </c>
      <c r="G31" s="234"/>
      <c r="H31" s="234"/>
      <c r="I31" s="234"/>
      <c r="K31" s="233" t="s">
        <v>309</v>
      </c>
      <c r="L31" s="235">
        <v>0.121061</v>
      </c>
      <c r="M31" s="234"/>
      <c r="N31" s="234"/>
      <c r="O31" s="234">
        <f>SUM(O29:O30)*L31</f>
        <v>8647.2311487785246</v>
      </c>
      <c r="P31" s="125"/>
      <c r="Q31" s="234"/>
      <c r="R31" s="125"/>
      <c r="Z31" s="234"/>
    </row>
    <row r="32" spans="2:27" s="72" customFormat="1" ht="12.75" x14ac:dyDescent="0.2">
      <c r="B32" s="1024" t="s">
        <v>539</v>
      </c>
      <c r="C32" s="1025">
        <v>7.4999999999999997E-3</v>
      </c>
      <c r="D32" s="1026"/>
      <c r="E32" s="1026"/>
      <c r="F32" s="1026">
        <f>F29*C32</f>
        <v>213.29852550190876</v>
      </c>
      <c r="G32" s="234"/>
      <c r="H32" s="234"/>
      <c r="I32" s="234"/>
      <c r="K32" s="1024" t="s">
        <v>539</v>
      </c>
      <c r="L32" s="1025">
        <v>7.4999999999999997E-3</v>
      </c>
      <c r="M32" s="1026"/>
      <c r="N32" s="1026"/>
      <c r="O32" s="1026">
        <f>O29*L32</f>
        <v>426.59705100381751</v>
      </c>
      <c r="P32" s="125"/>
      <c r="Q32" s="234"/>
      <c r="R32" s="125"/>
      <c r="Z32" s="234"/>
    </row>
    <row r="33" spans="2:26" s="72" customFormat="1" ht="13.15" customHeight="1" x14ac:dyDescent="0.2">
      <c r="B33" s="236" t="s">
        <v>288</v>
      </c>
      <c r="C33" s="237"/>
      <c r="D33" s="237"/>
      <c r="E33" s="237"/>
      <c r="F33" s="238">
        <f>SUM(F29:F32)</f>
        <v>40251.269461149226</v>
      </c>
      <c r="G33" s="234"/>
      <c r="H33" s="234"/>
      <c r="I33" s="234"/>
      <c r="K33" s="236" t="s">
        <v>288</v>
      </c>
      <c r="L33" s="237"/>
      <c r="M33" s="237"/>
      <c r="N33" s="237"/>
      <c r="O33" s="238">
        <f>SUM(O29:O32)</f>
        <v>80502.538922298452</v>
      </c>
      <c r="P33" s="125"/>
      <c r="Q33" s="234"/>
      <c r="R33" s="125"/>
      <c r="Z33" s="234"/>
    </row>
    <row r="34" spans="2:26" s="72" customFormat="1" ht="12.75" x14ac:dyDescent="0.2">
      <c r="B34" s="94" t="s">
        <v>290</v>
      </c>
      <c r="C34" s="428">
        <f>'Spring 2019 CAF'!BU25</f>
        <v>1.8120393120392975E-2</v>
      </c>
      <c r="D34" s="96"/>
      <c r="E34" s="96"/>
      <c r="F34" s="229"/>
      <c r="G34" s="234"/>
      <c r="H34" s="234"/>
      <c r="I34" s="234"/>
      <c r="K34" s="94" t="s">
        <v>290</v>
      </c>
      <c r="L34" s="428">
        <f>C34</f>
        <v>1.8120393120392975E-2</v>
      </c>
      <c r="M34" s="96"/>
      <c r="N34" s="96"/>
      <c r="O34" s="229"/>
      <c r="P34" s="125"/>
      <c r="Q34" s="234"/>
      <c r="R34" s="125"/>
      <c r="Z34" s="234"/>
    </row>
    <row r="35" spans="2:26" s="72" customFormat="1" ht="12.75" x14ac:dyDescent="0.2">
      <c r="B35" s="94"/>
      <c r="C35" s="240"/>
      <c r="D35" s="96"/>
      <c r="E35" s="96"/>
      <c r="F35" s="241"/>
      <c r="G35" s="229"/>
      <c r="H35" s="233"/>
      <c r="K35" s="94"/>
      <c r="L35" s="240"/>
      <c r="M35" s="96"/>
      <c r="N35" s="96"/>
      <c r="O35" s="241"/>
      <c r="P35" s="125"/>
      <c r="Q35" s="233"/>
      <c r="R35" s="125"/>
      <c r="Z35" s="233"/>
    </row>
    <row r="36" spans="2:26" s="72" customFormat="1" ht="12.75" x14ac:dyDescent="0.2">
      <c r="B36" s="233" t="s">
        <v>261</v>
      </c>
      <c r="C36" s="295" t="s">
        <v>339</v>
      </c>
      <c r="D36" s="121" t="s">
        <v>262</v>
      </c>
      <c r="E36" s="280">
        <v>365</v>
      </c>
      <c r="F36" s="281">
        <f>E36*C37</f>
        <v>4380</v>
      </c>
      <c r="G36" s="432" t="s">
        <v>378</v>
      </c>
      <c r="H36" s="357" t="s">
        <v>377</v>
      </c>
      <c r="I36" s="357" t="s">
        <v>405</v>
      </c>
      <c r="J36" s="99"/>
      <c r="K36" s="233" t="s">
        <v>261</v>
      </c>
      <c r="L36" s="295" t="s">
        <v>339</v>
      </c>
      <c r="M36" s="121" t="s">
        <v>262</v>
      </c>
      <c r="N36" s="280">
        <v>365</v>
      </c>
      <c r="O36" s="281">
        <f>N36*L37</f>
        <v>4380</v>
      </c>
      <c r="P36" s="98" t="s">
        <v>378</v>
      </c>
      <c r="Q36" s="357" t="s">
        <v>377</v>
      </c>
      <c r="R36" s="98"/>
      <c r="Z36" s="357"/>
    </row>
    <row r="37" spans="2:26" s="72" customFormat="1" ht="12.75" x14ac:dyDescent="0.2">
      <c r="B37" s="233"/>
      <c r="C37" s="74">
        <v>12</v>
      </c>
      <c r="D37" s="279" t="s">
        <v>310</v>
      </c>
      <c r="E37" s="280"/>
      <c r="F37" s="283">
        <f>F$33/F36</f>
        <v>9.189787548207585</v>
      </c>
      <c r="G37" s="429">
        <f>F37*(C34+1)</f>
        <v>9.3563101112739986</v>
      </c>
      <c r="H37" s="433">
        <v>0.9</v>
      </c>
      <c r="I37" s="870">
        <f>$G$37/H37</f>
        <v>10.395900123637777</v>
      </c>
      <c r="J37" s="99"/>
      <c r="K37" s="233"/>
      <c r="L37" s="74">
        <v>12</v>
      </c>
      <c r="M37" s="279" t="s">
        <v>310</v>
      </c>
      <c r="N37" s="280"/>
      <c r="O37" s="283">
        <f>O$33/O36</f>
        <v>18.37957509641517</v>
      </c>
      <c r="P37" s="429">
        <f>O37*(L34+1)</f>
        <v>18.712620222547997</v>
      </c>
      <c r="Q37" s="433">
        <v>0.9</v>
      </c>
      <c r="R37" s="870">
        <f>$P$37/Q37</f>
        <v>20.791800247275553</v>
      </c>
      <c r="Z37" s="433"/>
    </row>
    <row r="38" spans="2:26" s="72" customFormat="1" ht="12.75" x14ac:dyDescent="0.2">
      <c r="B38" s="233"/>
      <c r="C38" s="74"/>
      <c r="D38" s="279"/>
      <c r="E38" s="280"/>
      <c r="F38" s="283"/>
      <c r="G38" s="429"/>
      <c r="H38" s="433">
        <v>0.85</v>
      </c>
      <c r="I38" s="870">
        <f t="shared" ref="I38:I45" si="3">$G$37/H38</f>
        <v>11.007423660322351</v>
      </c>
      <c r="J38" s="99"/>
      <c r="K38" s="233"/>
      <c r="L38" s="74"/>
      <c r="M38" s="279"/>
      <c r="N38" s="280"/>
      <c r="O38" s="283"/>
      <c r="P38" s="429"/>
      <c r="Q38" s="433">
        <v>0.85</v>
      </c>
      <c r="R38" s="870">
        <f t="shared" ref="R38:R45" si="4">$P$37/Q38</f>
        <v>22.014847320644702</v>
      </c>
      <c r="Z38" s="433"/>
    </row>
    <row r="39" spans="2:26" s="72" customFormat="1" ht="12.75" x14ac:dyDescent="0.2">
      <c r="B39" s="233"/>
      <c r="C39" s="74"/>
      <c r="D39" s="279"/>
      <c r="E39" s="280"/>
      <c r="F39" s="283"/>
      <c r="G39" s="429"/>
      <c r="H39" s="433">
        <v>0.8</v>
      </c>
      <c r="I39" s="870">
        <f t="shared" si="3"/>
        <v>11.695387639092498</v>
      </c>
      <c r="J39" s="99"/>
      <c r="K39" s="233"/>
      <c r="L39" s="74"/>
      <c r="M39" s="279"/>
      <c r="N39" s="280"/>
      <c r="O39" s="283"/>
      <c r="P39" s="429"/>
      <c r="Q39" s="433">
        <v>0.8</v>
      </c>
      <c r="R39" s="870">
        <f t="shared" si="4"/>
        <v>23.390775278184996</v>
      </c>
      <c r="Z39" s="433"/>
    </row>
    <row r="40" spans="2:26" s="72" customFormat="1" ht="12.75" x14ac:dyDescent="0.2">
      <c r="B40" s="233"/>
      <c r="C40" s="74"/>
      <c r="D40" s="279"/>
      <c r="E40" s="280"/>
      <c r="F40" s="283"/>
      <c r="G40" s="429"/>
      <c r="H40" s="433">
        <v>0.75</v>
      </c>
      <c r="I40" s="870">
        <f t="shared" si="3"/>
        <v>12.475080148365331</v>
      </c>
      <c r="J40" s="1084"/>
      <c r="K40" s="233"/>
      <c r="L40" s="74"/>
      <c r="M40" s="279"/>
      <c r="N40" s="280"/>
      <c r="O40" s="283"/>
      <c r="P40" s="429"/>
      <c r="Q40" s="433">
        <v>0.75</v>
      </c>
      <c r="R40" s="870">
        <f t="shared" si="4"/>
        <v>24.950160296730662</v>
      </c>
      <c r="Z40" s="433"/>
    </row>
    <row r="41" spans="2:26" s="72" customFormat="1" ht="12.75" x14ac:dyDescent="0.2">
      <c r="B41" s="233"/>
      <c r="C41" s="74"/>
      <c r="D41" s="279"/>
      <c r="E41" s="280"/>
      <c r="F41" s="283"/>
      <c r="G41" s="429"/>
      <c r="H41" s="433">
        <v>0.7</v>
      </c>
      <c r="I41" s="870">
        <f t="shared" si="3"/>
        <v>13.36615730182</v>
      </c>
      <c r="J41" s="99"/>
      <c r="K41" s="233"/>
      <c r="L41" s="74"/>
      <c r="M41" s="279"/>
      <c r="N41" s="280"/>
      <c r="O41" s="283"/>
      <c r="P41" s="429"/>
      <c r="Q41" s="433">
        <v>0.7</v>
      </c>
      <c r="R41" s="870">
        <f t="shared" si="4"/>
        <v>26.732314603639999</v>
      </c>
      <c r="Z41" s="433"/>
    </row>
    <row r="42" spans="2:26" s="72" customFormat="1" ht="12.75" x14ac:dyDescent="0.2">
      <c r="B42" s="233"/>
      <c r="C42" s="74"/>
      <c r="D42" s="279"/>
      <c r="E42" s="280"/>
      <c r="F42" s="283"/>
      <c r="G42" s="429"/>
      <c r="H42" s="433">
        <v>0.65</v>
      </c>
      <c r="I42" s="870">
        <f t="shared" si="3"/>
        <v>14.394323248113844</v>
      </c>
      <c r="J42" s="99"/>
      <c r="K42" s="233"/>
      <c r="L42" s="74"/>
      <c r="M42" s="279"/>
      <c r="N42" s="280"/>
      <c r="O42" s="283"/>
      <c r="P42" s="429"/>
      <c r="Q42" s="433">
        <v>0.65</v>
      </c>
      <c r="R42" s="870">
        <f t="shared" si="4"/>
        <v>28.788646496227688</v>
      </c>
      <c r="Z42" s="433"/>
    </row>
    <row r="43" spans="2:26" s="72" customFormat="1" ht="12.75" x14ac:dyDescent="0.2">
      <c r="B43" s="233"/>
      <c r="C43" s="74"/>
      <c r="D43" s="279"/>
      <c r="E43" s="280"/>
      <c r="F43" s="283"/>
      <c r="G43" s="429"/>
      <c r="H43" s="433">
        <v>0.6</v>
      </c>
      <c r="I43" s="870">
        <f t="shared" si="3"/>
        <v>15.593850185456665</v>
      </c>
      <c r="J43" s="99"/>
      <c r="K43" s="233"/>
      <c r="L43" s="74"/>
      <c r="M43" s="279"/>
      <c r="N43" s="280"/>
      <c r="O43" s="283"/>
      <c r="P43" s="429"/>
      <c r="Q43" s="433">
        <v>0.6</v>
      </c>
      <c r="R43" s="870">
        <f t="shared" si="4"/>
        <v>31.18770037091333</v>
      </c>
      <c r="Z43" s="433"/>
    </row>
    <row r="44" spans="2:26" s="72" customFormat="1" ht="12.75" x14ac:dyDescent="0.2">
      <c r="B44" s="233"/>
      <c r="C44" s="74"/>
      <c r="D44" s="279"/>
      <c r="E44" s="280"/>
      <c r="F44" s="283"/>
      <c r="G44" s="429"/>
      <c r="H44" s="433">
        <v>0.55000000000000004</v>
      </c>
      <c r="I44" s="870">
        <f t="shared" si="3"/>
        <v>17.011472929589086</v>
      </c>
      <c r="J44" s="99"/>
      <c r="K44" s="233"/>
      <c r="L44" s="74"/>
      <c r="M44" s="279"/>
      <c r="N44" s="280"/>
      <c r="O44" s="283"/>
      <c r="P44" s="429"/>
      <c r="Q44" s="433">
        <v>0.55000000000000004</v>
      </c>
      <c r="R44" s="870">
        <f t="shared" si="4"/>
        <v>34.022945859178172</v>
      </c>
      <c r="Z44" s="433"/>
    </row>
    <row r="45" spans="2:26" s="72" customFormat="1" ht="12.75" x14ac:dyDescent="0.2">
      <c r="B45" s="233"/>
      <c r="C45" s="74"/>
      <c r="D45" s="279"/>
      <c r="E45" s="280"/>
      <c r="F45" s="283"/>
      <c r="G45" s="429"/>
      <c r="H45" s="433">
        <v>0.5</v>
      </c>
      <c r="I45" s="870">
        <f t="shared" si="3"/>
        <v>18.712620222547997</v>
      </c>
      <c r="J45" s="99"/>
      <c r="K45" s="233"/>
      <c r="L45" s="74"/>
      <c r="M45" s="279"/>
      <c r="N45" s="280"/>
      <c r="O45" s="283"/>
      <c r="P45" s="429"/>
      <c r="Q45" s="433">
        <v>0.5</v>
      </c>
      <c r="R45" s="870">
        <f t="shared" si="4"/>
        <v>37.425240445095994</v>
      </c>
      <c r="Z45" s="433"/>
    </row>
    <row r="46" spans="2:26" s="72" customFormat="1" ht="12.75" x14ac:dyDescent="0.2">
      <c r="B46" s="233" t="s">
        <v>261</v>
      </c>
      <c r="C46" s="282" t="s">
        <v>340</v>
      </c>
      <c r="D46" s="121" t="s">
        <v>262</v>
      </c>
      <c r="E46" s="280">
        <v>365</v>
      </c>
      <c r="F46" s="281">
        <f>C47*E46</f>
        <v>5657.5</v>
      </c>
      <c r="G46" s="241"/>
      <c r="H46" s="433"/>
      <c r="I46" s="871"/>
      <c r="K46" s="233" t="s">
        <v>261</v>
      </c>
      <c r="L46" s="282" t="s">
        <v>340</v>
      </c>
      <c r="M46" s="121" t="s">
        <v>262</v>
      </c>
      <c r="N46" s="280">
        <v>365</v>
      </c>
      <c r="O46" s="281">
        <f>L47*N46</f>
        <v>5657.5</v>
      </c>
      <c r="Q46" s="433"/>
      <c r="R46" s="871"/>
      <c r="Z46" s="433"/>
    </row>
    <row r="47" spans="2:26" s="72" customFormat="1" ht="12.75" x14ac:dyDescent="0.2">
      <c r="B47" s="233"/>
      <c r="C47" s="74">
        <v>15.5</v>
      </c>
      <c r="D47" s="279" t="s">
        <v>310</v>
      </c>
      <c r="E47" s="280"/>
      <c r="F47" s="283">
        <f>F$33/F46</f>
        <v>7.1146742308703894</v>
      </c>
      <c r="G47" s="429">
        <f>F47*(C34+1)</f>
        <v>7.2435949248572911</v>
      </c>
      <c r="H47" s="433">
        <v>0.9</v>
      </c>
      <c r="I47" s="870">
        <f>$G$47/H47</f>
        <v>8.0484388053969891</v>
      </c>
      <c r="K47" s="233"/>
      <c r="L47" s="74">
        <v>15.5</v>
      </c>
      <c r="M47" s="279" t="s">
        <v>310</v>
      </c>
      <c r="N47" s="280"/>
      <c r="O47" s="283">
        <f>O$33/O46</f>
        <v>14.229348461740779</v>
      </c>
      <c r="P47" s="429">
        <f>O47*(L34+1)</f>
        <v>14.487189849714582</v>
      </c>
      <c r="Q47" s="433">
        <v>0.9</v>
      </c>
      <c r="R47" s="870">
        <f>$P$47/Q47</f>
        <v>16.096877610793978</v>
      </c>
      <c r="Z47" s="433"/>
    </row>
    <row r="48" spans="2:26" s="72" customFormat="1" ht="12.75" x14ac:dyDescent="0.2">
      <c r="B48" s="233"/>
      <c r="C48" s="74"/>
      <c r="D48" s="279"/>
      <c r="E48" s="280"/>
      <c r="F48" s="283"/>
      <c r="G48" s="429"/>
      <c r="H48" s="433">
        <v>0.85</v>
      </c>
      <c r="I48" s="870">
        <f t="shared" ref="I48:I55" si="5">$G$47/H48</f>
        <v>8.5218763821850487</v>
      </c>
      <c r="J48" s="99"/>
      <c r="K48" s="233"/>
      <c r="L48" s="74"/>
      <c r="M48" s="279"/>
      <c r="N48" s="280"/>
      <c r="O48" s="283"/>
      <c r="P48" s="429"/>
      <c r="Q48" s="433">
        <v>0.85</v>
      </c>
      <c r="R48" s="870">
        <f t="shared" ref="R48:R55" si="6">$P$47/Q48</f>
        <v>17.043752764370097</v>
      </c>
      <c r="Z48" s="433"/>
    </row>
    <row r="49" spans="2:26" s="72" customFormat="1" ht="12.75" x14ac:dyDescent="0.2">
      <c r="B49" s="233"/>
      <c r="C49" s="74"/>
      <c r="D49" s="279"/>
      <c r="E49" s="280"/>
      <c r="F49" s="283"/>
      <c r="G49" s="429"/>
      <c r="H49" s="433">
        <v>0.8</v>
      </c>
      <c r="I49" s="870">
        <f t="shared" si="5"/>
        <v>9.0544936560716138</v>
      </c>
      <c r="J49" s="99"/>
      <c r="K49" s="233"/>
      <c r="L49" s="74"/>
      <c r="M49" s="279"/>
      <c r="N49" s="280"/>
      <c r="O49" s="283"/>
      <c r="P49" s="429"/>
      <c r="Q49" s="433">
        <v>0.8</v>
      </c>
      <c r="R49" s="870">
        <f t="shared" si="6"/>
        <v>18.108987312143228</v>
      </c>
      <c r="Z49" s="433"/>
    </row>
    <row r="50" spans="2:26" s="72" customFormat="1" ht="12.75" x14ac:dyDescent="0.2">
      <c r="B50" s="233"/>
      <c r="C50" s="74"/>
      <c r="D50" s="279"/>
      <c r="E50" s="280"/>
      <c r="F50" s="283"/>
      <c r="G50" s="429"/>
      <c r="H50" s="433">
        <v>0.75</v>
      </c>
      <c r="I50" s="870">
        <f t="shared" si="5"/>
        <v>9.6581265664763887</v>
      </c>
      <c r="J50" s="1084"/>
      <c r="K50" s="233"/>
      <c r="L50" s="74"/>
      <c r="M50" s="279"/>
      <c r="N50" s="280"/>
      <c r="O50" s="283"/>
      <c r="P50" s="429"/>
      <c r="Q50" s="433">
        <v>0.75</v>
      </c>
      <c r="R50" s="870">
        <f t="shared" si="6"/>
        <v>19.316253132952777</v>
      </c>
      <c r="Z50" s="433"/>
    </row>
    <row r="51" spans="2:26" s="72" customFormat="1" ht="12.75" x14ac:dyDescent="0.2">
      <c r="B51" s="233"/>
      <c r="C51" s="74"/>
      <c r="D51" s="279"/>
      <c r="E51" s="280"/>
      <c r="F51" s="283"/>
      <c r="G51" s="429"/>
      <c r="H51" s="433">
        <v>0.7</v>
      </c>
      <c r="I51" s="870">
        <f t="shared" si="5"/>
        <v>10.347992749796131</v>
      </c>
      <c r="J51" s="99"/>
      <c r="K51" s="233"/>
      <c r="L51" s="74"/>
      <c r="M51" s="279"/>
      <c r="N51" s="280"/>
      <c r="O51" s="283"/>
      <c r="P51" s="429"/>
      <c r="Q51" s="433">
        <v>0.7</v>
      </c>
      <c r="R51" s="870">
        <f t="shared" si="6"/>
        <v>20.695985499592261</v>
      </c>
      <c r="Z51" s="433"/>
    </row>
    <row r="52" spans="2:26" s="72" customFormat="1" ht="12.75" x14ac:dyDescent="0.2">
      <c r="B52" s="233"/>
      <c r="C52" s="74"/>
      <c r="D52" s="279"/>
      <c r="E52" s="280"/>
      <c r="F52" s="283"/>
      <c r="G52" s="429"/>
      <c r="H52" s="433">
        <v>0.65</v>
      </c>
      <c r="I52" s="870">
        <f t="shared" si="5"/>
        <v>11.14399219208814</v>
      </c>
      <c r="J52" s="99"/>
      <c r="K52" s="233"/>
      <c r="L52" s="74"/>
      <c r="M52" s="279"/>
      <c r="N52" s="280"/>
      <c r="O52" s="283"/>
      <c r="P52" s="429"/>
      <c r="Q52" s="433">
        <v>0.65</v>
      </c>
      <c r="R52" s="870">
        <f t="shared" si="6"/>
        <v>22.28798438417628</v>
      </c>
      <c r="Z52" s="433"/>
    </row>
    <row r="53" spans="2:26" s="72" customFormat="1" ht="12.75" x14ac:dyDescent="0.2">
      <c r="B53" s="233"/>
      <c r="C53" s="74"/>
      <c r="D53" s="279"/>
      <c r="E53" s="280"/>
      <c r="F53" s="283"/>
      <c r="G53" s="429"/>
      <c r="H53" s="433">
        <v>0.6</v>
      </c>
      <c r="I53" s="870">
        <f t="shared" si="5"/>
        <v>12.072658208095486</v>
      </c>
      <c r="J53" s="99"/>
      <c r="K53" s="233"/>
      <c r="L53" s="74"/>
      <c r="M53" s="279"/>
      <c r="N53" s="280"/>
      <c r="O53" s="283"/>
      <c r="P53" s="429"/>
      <c r="Q53" s="433">
        <v>0.6</v>
      </c>
      <c r="R53" s="870">
        <f t="shared" si="6"/>
        <v>24.145316416190973</v>
      </c>
      <c r="Z53" s="433"/>
    </row>
    <row r="54" spans="2:26" s="72" customFormat="1" ht="12.75" x14ac:dyDescent="0.2">
      <c r="B54" s="233"/>
      <c r="C54" s="74"/>
      <c r="D54" s="279"/>
      <c r="E54" s="280"/>
      <c r="F54" s="283"/>
      <c r="G54" s="429"/>
      <c r="H54" s="433">
        <v>0.55000000000000004</v>
      </c>
      <c r="I54" s="870">
        <f t="shared" si="5"/>
        <v>13.170172590649619</v>
      </c>
      <c r="J54" s="99"/>
      <c r="K54" s="233"/>
      <c r="L54" s="74"/>
      <c r="M54" s="279"/>
      <c r="N54" s="280"/>
      <c r="O54" s="283"/>
      <c r="P54" s="429"/>
      <c r="Q54" s="433">
        <v>0.55000000000000004</v>
      </c>
      <c r="R54" s="870">
        <f t="shared" si="6"/>
        <v>26.340345181299238</v>
      </c>
      <c r="Z54" s="433"/>
    </row>
    <row r="55" spans="2:26" s="72" customFormat="1" ht="12.75" x14ac:dyDescent="0.2">
      <c r="B55" s="233"/>
      <c r="C55" s="74"/>
      <c r="D55" s="279"/>
      <c r="E55" s="280"/>
      <c r="F55" s="283"/>
      <c r="G55" s="429"/>
      <c r="H55" s="433">
        <v>0.5</v>
      </c>
      <c r="I55" s="870">
        <f t="shared" si="5"/>
        <v>14.487189849714582</v>
      </c>
      <c r="J55" s="99"/>
      <c r="K55" s="233"/>
      <c r="L55" s="74"/>
      <c r="M55" s="279"/>
      <c r="N55" s="280"/>
      <c r="O55" s="283"/>
      <c r="P55" s="429"/>
      <c r="Q55" s="433">
        <v>0.5</v>
      </c>
      <c r="R55" s="870">
        <f t="shared" si="6"/>
        <v>28.974379699429164</v>
      </c>
      <c r="Z55" s="433"/>
    </row>
    <row r="56" spans="2:26" s="72" customFormat="1" ht="12.75" x14ac:dyDescent="0.2">
      <c r="B56" s="233" t="s">
        <v>261</v>
      </c>
      <c r="C56" s="74" t="s">
        <v>263</v>
      </c>
      <c r="D56" s="121" t="s">
        <v>262</v>
      </c>
      <c r="E56" s="280">
        <v>365</v>
      </c>
      <c r="F56" s="281">
        <f>C57*E56</f>
        <v>7300</v>
      </c>
      <c r="G56" s="430"/>
      <c r="H56" s="433"/>
      <c r="I56" s="871"/>
      <c r="J56" s="99"/>
      <c r="K56" s="233" t="s">
        <v>261</v>
      </c>
      <c r="L56" s="74" t="s">
        <v>263</v>
      </c>
      <c r="M56" s="121" t="s">
        <v>262</v>
      </c>
      <c r="N56" s="280">
        <v>365</v>
      </c>
      <c r="O56" s="281">
        <f>L57*N56</f>
        <v>7300</v>
      </c>
      <c r="Q56" s="433"/>
      <c r="R56" s="871"/>
      <c r="Z56" s="433"/>
    </row>
    <row r="57" spans="2:26" s="72" customFormat="1" ht="12.75" x14ac:dyDescent="0.2">
      <c r="B57" s="233"/>
      <c r="C57" s="74">
        <v>20</v>
      </c>
      <c r="D57" s="279" t="s">
        <v>310</v>
      </c>
      <c r="E57" s="280"/>
      <c r="F57" s="283">
        <f>F$33/F56</f>
        <v>5.5138725289245514</v>
      </c>
      <c r="G57" s="429">
        <f>F57*(C34+1)</f>
        <v>5.6137860667644004</v>
      </c>
      <c r="H57" s="433">
        <v>0.9</v>
      </c>
      <c r="I57" s="870">
        <f>$G$57/H57</f>
        <v>6.2375400741826672</v>
      </c>
      <c r="J57" s="99"/>
      <c r="K57" s="233"/>
      <c r="L57" s="74">
        <v>20</v>
      </c>
      <c r="M57" s="279" t="s">
        <v>310</v>
      </c>
      <c r="N57" s="280"/>
      <c r="O57" s="283">
        <f>O$33/O56</f>
        <v>11.027745057849103</v>
      </c>
      <c r="P57" s="429">
        <f>O57*(L34+1)</f>
        <v>11.227572133528801</v>
      </c>
      <c r="Q57" s="433">
        <v>0.9</v>
      </c>
      <c r="R57" s="870">
        <f>$P$57/Q57</f>
        <v>12.475080148365334</v>
      </c>
      <c r="Z57" s="433"/>
    </row>
    <row r="58" spans="2:26" s="72" customFormat="1" ht="12.75" x14ac:dyDescent="0.2">
      <c r="B58" s="233"/>
      <c r="C58" s="74"/>
      <c r="D58" s="279"/>
      <c r="E58" s="280"/>
      <c r="F58" s="283"/>
      <c r="G58" s="429"/>
      <c r="H58" s="433">
        <v>0.85</v>
      </c>
      <c r="I58" s="870">
        <f t="shared" ref="I58:I65" si="7">$G$57/H58</f>
        <v>6.6044541961934122</v>
      </c>
      <c r="J58" s="99"/>
      <c r="K58" s="233"/>
      <c r="L58" s="74"/>
      <c r="M58" s="279"/>
      <c r="N58" s="280"/>
      <c r="O58" s="283"/>
      <c r="P58" s="429"/>
      <c r="Q58" s="433">
        <v>0.85</v>
      </c>
      <c r="R58" s="870">
        <f t="shared" ref="R58:R65" si="8">$P$57/Q58</f>
        <v>13.208908392386824</v>
      </c>
      <c r="Z58" s="433"/>
    </row>
    <row r="59" spans="2:26" s="72" customFormat="1" ht="12.75" x14ac:dyDescent="0.2">
      <c r="B59" s="233"/>
      <c r="C59" s="74"/>
      <c r="D59" s="279"/>
      <c r="E59" s="280"/>
      <c r="F59" s="283"/>
      <c r="G59" s="429"/>
      <c r="H59" s="433">
        <v>0.8</v>
      </c>
      <c r="I59" s="870">
        <f t="shared" si="7"/>
        <v>7.0172325834554998</v>
      </c>
      <c r="J59" s="99"/>
      <c r="K59" s="233"/>
      <c r="L59" s="74"/>
      <c r="M59" s="279"/>
      <c r="N59" s="280"/>
      <c r="O59" s="283"/>
      <c r="P59" s="429"/>
      <c r="Q59" s="433">
        <v>0.8</v>
      </c>
      <c r="R59" s="870">
        <f t="shared" si="8"/>
        <v>14.034465166911</v>
      </c>
      <c r="Z59" s="433"/>
    </row>
    <row r="60" spans="2:26" s="72" customFormat="1" ht="12.75" x14ac:dyDescent="0.2">
      <c r="B60" s="233"/>
      <c r="C60" s="74"/>
      <c r="D60" s="279"/>
      <c r="E60" s="280"/>
      <c r="F60" s="283"/>
      <c r="G60" s="429"/>
      <c r="H60" s="433">
        <v>0.75</v>
      </c>
      <c r="I60" s="870">
        <f t="shared" si="7"/>
        <v>7.4850480890192008</v>
      </c>
      <c r="J60" s="99"/>
      <c r="K60" s="233"/>
      <c r="L60" s="74"/>
      <c r="M60" s="279"/>
      <c r="N60" s="280"/>
      <c r="O60" s="283"/>
      <c r="P60" s="429"/>
      <c r="Q60" s="433">
        <v>0.75</v>
      </c>
      <c r="R60" s="870">
        <f t="shared" si="8"/>
        <v>14.970096178038402</v>
      </c>
      <c r="Z60" s="433"/>
    </row>
    <row r="61" spans="2:26" s="72" customFormat="1" ht="12.75" x14ac:dyDescent="0.2">
      <c r="B61" s="233"/>
      <c r="C61" s="74"/>
      <c r="D61" s="279"/>
      <c r="E61" s="280"/>
      <c r="F61" s="283"/>
      <c r="G61" s="429"/>
      <c r="H61" s="433">
        <v>0.7</v>
      </c>
      <c r="I61" s="870">
        <f t="shared" si="7"/>
        <v>8.0196943810920018</v>
      </c>
      <c r="J61" s="99"/>
      <c r="K61" s="233"/>
      <c r="L61" s="74"/>
      <c r="M61" s="279"/>
      <c r="N61" s="280"/>
      <c r="O61" s="283"/>
      <c r="P61" s="429"/>
      <c r="Q61" s="433">
        <v>0.7</v>
      </c>
      <c r="R61" s="870">
        <f t="shared" si="8"/>
        <v>16.039388762184004</v>
      </c>
      <c r="Z61" s="433"/>
    </row>
    <row r="62" spans="2:26" s="72" customFormat="1" ht="12.75" x14ac:dyDescent="0.2">
      <c r="B62" s="233"/>
      <c r="C62" s="74"/>
      <c r="D62" s="279"/>
      <c r="E62" s="280"/>
      <c r="F62" s="283"/>
      <c r="G62" s="429"/>
      <c r="H62" s="433">
        <v>0.65</v>
      </c>
      <c r="I62" s="870">
        <f t="shared" si="7"/>
        <v>8.6365939488683079</v>
      </c>
      <c r="J62" s="99"/>
      <c r="K62" s="233"/>
      <c r="L62" s="74"/>
      <c r="M62" s="279"/>
      <c r="N62" s="280"/>
      <c r="O62" s="283"/>
      <c r="P62" s="429"/>
      <c r="Q62" s="433">
        <v>0.65</v>
      </c>
      <c r="R62" s="870">
        <f t="shared" si="8"/>
        <v>17.273187897736616</v>
      </c>
      <c r="Z62" s="433"/>
    </row>
    <row r="63" spans="2:26" s="72" customFormat="1" ht="12.75" x14ac:dyDescent="0.2">
      <c r="B63" s="233"/>
      <c r="C63" s="74"/>
      <c r="D63" s="279"/>
      <c r="E63" s="280"/>
      <c r="F63" s="283"/>
      <c r="G63" s="429"/>
      <c r="H63" s="433">
        <v>0.6</v>
      </c>
      <c r="I63" s="870">
        <f t="shared" si="7"/>
        <v>9.3563101112740004</v>
      </c>
      <c r="J63" s="99"/>
      <c r="K63" s="233"/>
      <c r="L63" s="74"/>
      <c r="M63" s="279"/>
      <c r="N63" s="280"/>
      <c r="O63" s="283"/>
      <c r="P63" s="429"/>
      <c r="Q63" s="433">
        <v>0.6</v>
      </c>
      <c r="R63" s="870">
        <f t="shared" si="8"/>
        <v>18.712620222548001</v>
      </c>
      <c r="Z63" s="433"/>
    </row>
    <row r="64" spans="2:26" s="72" customFormat="1" ht="12.75" x14ac:dyDescent="0.2">
      <c r="B64" s="233"/>
      <c r="C64" s="74"/>
      <c r="D64" s="279"/>
      <c r="E64" s="280"/>
      <c r="F64" s="283"/>
      <c r="G64" s="429"/>
      <c r="H64" s="433">
        <v>0.55000000000000004</v>
      </c>
      <c r="I64" s="870">
        <f t="shared" si="7"/>
        <v>10.206883757753454</v>
      </c>
      <c r="J64" s="99"/>
      <c r="K64" s="233"/>
      <c r="L64" s="74"/>
      <c r="M64" s="279"/>
      <c r="N64" s="280"/>
      <c r="O64" s="283"/>
      <c r="P64" s="429"/>
      <c r="Q64" s="433">
        <v>0.55000000000000004</v>
      </c>
      <c r="R64" s="870">
        <f t="shared" si="8"/>
        <v>20.413767515506908</v>
      </c>
      <c r="Z64" s="433"/>
    </row>
    <row r="65" spans="2:26" s="72" customFormat="1" ht="12.75" x14ac:dyDescent="0.2">
      <c r="B65" s="233"/>
      <c r="C65" s="74"/>
      <c r="D65" s="279"/>
      <c r="E65" s="280"/>
      <c r="F65" s="283"/>
      <c r="G65" s="429"/>
      <c r="H65" s="433">
        <v>0.5</v>
      </c>
      <c r="I65" s="870">
        <f t="shared" si="7"/>
        <v>11.227572133528801</v>
      </c>
      <c r="J65" s="99"/>
      <c r="K65" s="233"/>
      <c r="L65" s="74"/>
      <c r="M65" s="279"/>
      <c r="N65" s="280"/>
      <c r="O65" s="283"/>
      <c r="P65" s="429"/>
      <c r="Q65" s="433">
        <v>0.5</v>
      </c>
      <c r="R65" s="870">
        <f t="shared" si="8"/>
        <v>22.455144267057602</v>
      </c>
      <c r="Z65" s="433"/>
    </row>
    <row r="66" spans="2:26" s="72" customFormat="1" ht="12.75" x14ac:dyDescent="0.2">
      <c r="B66" s="233" t="s">
        <v>261</v>
      </c>
      <c r="C66" s="74" t="s">
        <v>264</v>
      </c>
      <c r="D66" s="121" t="s">
        <v>262</v>
      </c>
      <c r="E66" s="280">
        <v>365</v>
      </c>
      <c r="F66" s="281">
        <f>C67*E66</f>
        <v>9125</v>
      </c>
      <c r="G66" s="431"/>
      <c r="H66" s="433"/>
      <c r="I66" s="872"/>
      <c r="K66" s="233" t="s">
        <v>261</v>
      </c>
      <c r="L66" s="74" t="s">
        <v>264</v>
      </c>
      <c r="M66" s="121" t="s">
        <v>262</v>
      </c>
      <c r="N66" s="280">
        <v>365</v>
      </c>
      <c r="O66" s="281">
        <f>L67*N66</f>
        <v>9125</v>
      </c>
      <c r="Q66" s="433"/>
      <c r="R66" s="871"/>
      <c r="Z66" s="433"/>
    </row>
    <row r="67" spans="2:26" s="72" customFormat="1" ht="12.75" x14ac:dyDescent="0.2">
      <c r="B67" s="233"/>
      <c r="C67" s="74">
        <v>25</v>
      </c>
      <c r="D67" s="279" t="s">
        <v>310</v>
      </c>
      <c r="E67" s="280"/>
      <c r="F67" s="283">
        <f>F$33/F66</f>
        <v>4.4110980231396413</v>
      </c>
      <c r="G67" s="429">
        <f>F67*(C34+1)</f>
        <v>4.4910288534115201</v>
      </c>
      <c r="H67" s="433">
        <v>0.9</v>
      </c>
      <c r="I67" s="870">
        <f>$G$67/H67</f>
        <v>4.9900320593461336</v>
      </c>
      <c r="K67" s="233"/>
      <c r="L67" s="74">
        <v>25</v>
      </c>
      <c r="M67" s="279" t="s">
        <v>310</v>
      </c>
      <c r="N67" s="280"/>
      <c r="O67" s="283">
        <f>O$33/O66</f>
        <v>8.8221960462792826</v>
      </c>
      <c r="P67" s="429">
        <f>O67*(L34+1)</f>
        <v>8.9820577068230403</v>
      </c>
      <c r="Q67" s="433">
        <v>0.9</v>
      </c>
      <c r="R67" s="870">
        <f>$P$67/Q67</f>
        <v>9.9800641186922672</v>
      </c>
      <c r="Z67" s="433"/>
    </row>
    <row r="68" spans="2:26" s="72" customFormat="1" ht="12.75" x14ac:dyDescent="0.2">
      <c r="B68" s="233"/>
      <c r="C68" s="74"/>
      <c r="D68" s="279"/>
      <c r="E68" s="280"/>
      <c r="F68" s="283"/>
      <c r="G68" s="429"/>
      <c r="H68" s="433">
        <v>0.85</v>
      </c>
      <c r="I68" s="870">
        <f t="shared" ref="I68:I75" si="9">$G$67/H68</f>
        <v>5.2835633569547298</v>
      </c>
      <c r="J68" s="99"/>
      <c r="K68" s="233"/>
      <c r="L68" s="74"/>
      <c r="M68" s="279"/>
      <c r="N68" s="280"/>
      <c r="O68" s="283"/>
      <c r="P68" s="429"/>
      <c r="Q68" s="433">
        <v>0.85</v>
      </c>
      <c r="R68" s="870">
        <f t="shared" ref="R68:R75" si="10">$P$67/Q68</f>
        <v>10.56712671390946</v>
      </c>
      <c r="Z68" s="433"/>
    </row>
    <row r="69" spans="2:26" s="72" customFormat="1" ht="12.75" x14ac:dyDescent="0.2">
      <c r="B69" s="233"/>
      <c r="C69" s="74"/>
      <c r="D69" s="279"/>
      <c r="E69" s="280"/>
      <c r="F69" s="283"/>
      <c r="G69" s="429"/>
      <c r="H69" s="433">
        <v>0.8</v>
      </c>
      <c r="I69" s="870">
        <f t="shared" si="9"/>
        <v>5.6137860667643995</v>
      </c>
      <c r="J69" s="99"/>
      <c r="K69" s="233"/>
      <c r="L69" s="74"/>
      <c r="M69" s="279"/>
      <c r="N69" s="280"/>
      <c r="O69" s="283"/>
      <c r="P69" s="429"/>
      <c r="Q69" s="433">
        <v>0.8</v>
      </c>
      <c r="R69" s="870">
        <f t="shared" si="10"/>
        <v>11.227572133528799</v>
      </c>
      <c r="Z69" s="433"/>
    </row>
    <row r="70" spans="2:26" s="72" customFormat="1" ht="12.75" x14ac:dyDescent="0.2">
      <c r="B70" s="233"/>
      <c r="C70" s="74"/>
      <c r="D70" s="279"/>
      <c r="E70" s="280"/>
      <c r="F70" s="283"/>
      <c r="G70" s="429"/>
      <c r="H70" s="433">
        <v>0.75</v>
      </c>
      <c r="I70" s="870">
        <f t="shared" si="9"/>
        <v>5.9880384712153605</v>
      </c>
      <c r="J70" s="99"/>
      <c r="K70" s="233"/>
      <c r="L70" s="74"/>
      <c r="M70" s="279"/>
      <c r="N70" s="280"/>
      <c r="O70" s="283"/>
      <c r="P70" s="429"/>
      <c r="Q70" s="433">
        <v>0.75</v>
      </c>
      <c r="R70" s="870">
        <f t="shared" si="10"/>
        <v>11.976076942430721</v>
      </c>
      <c r="Z70" s="433"/>
    </row>
    <row r="71" spans="2:26" s="72" customFormat="1" ht="12.75" x14ac:dyDescent="0.2">
      <c r="B71" s="233"/>
      <c r="C71" s="74"/>
      <c r="D71" s="279"/>
      <c r="E71" s="280"/>
      <c r="F71" s="283"/>
      <c r="G71" s="429"/>
      <c r="H71" s="433">
        <v>0.7</v>
      </c>
      <c r="I71" s="870">
        <f t="shared" si="9"/>
        <v>6.4157555048736006</v>
      </c>
      <c r="J71" s="99"/>
      <c r="K71" s="233"/>
      <c r="L71" s="74"/>
      <c r="M71" s="279"/>
      <c r="N71" s="280"/>
      <c r="O71" s="283"/>
      <c r="P71" s="429"/>
      <c r="Q71" s="433">
        <v>0.7</v>
      </c>
      <c r="R71" s="870">
        <f t="shared" si="10"/>
        <v>12.831511009747201</v>
      </c>
      <c r="Z71" s="433"/>
    </row>
    <row r="72" spans="2:26" s="72" customFormat="1" ht="12.75" x14ac:dyDescent="0.2">
      <c r="B72" s="233"/>
      <c r="C72" s="74"/>
      <c r="D72" s="279"/>
      <c r="E72" s="280"/>
      <c r="F72" s="283"/>
      <c r="G72" s="429"/>
      <c r="H72" s="433">
        <v>0.65</v>
      </c>
      <c r="I72" s="870">
        <f t="shared" si="9"/>
        <v>6.909275159094646</v>
      </c>
      <c r="J72" s="99"/>
      <c r="K72" s="233"/>
      <c r="L72" s="74"/>
      <c r="M72" s="279"/>
      <c r="N72" s="280"/>
      <c r="O72" s="283"/>
      <c r="P72" s="429"/>
      <c r="Q72" s="433">
        <v>0.65</v>
      </c>
      <c r="R72" s="870">
        <f t="shared" si="10"/>
        <v>13.818550318189292</v>
      </c>
      <c r="Z72" s="433"/>
    </row>
    <row r="73" spans="2:26" s="72" customFormat="1" ht="12.75" x14ac:dyDescent="0.2">
      <c r="B73" s="233"/>
      <c r="C73" s="74"/>
      <c r="D73" s="279"/>
      <c r="E73" s="280"/>
      <c r="F73" s="283"/>
      <c r="G73" s="429"/>
      <c r="H73" s="433">
        <v>0.6</v>
      </c>
      <c r="I73" s="870">
        <f t="shared" si="9"/>
        <v>7.4850480890192008</v>
      </c>
      <c r="J73" s="99"/>
      <c r="K73" s="233"/>
      <c r="L73" s="74"/>
      <c r="M73" s="279"/>
      <c r="N73" s="280"/>
      <c r="O73" s="283"/>
      <c r="P73" s="429"/>
      <c r="Q73" s="433">
        <v>0.6</v>
      </c>
      <c r="R73" s="870">
        <f t="shared" si="10"/>
        <v>14.970096178038402</v>
      </c>
      <c r="Z73" s="433"/>
    </row>
    <row r="74" spans="2:26" s="72" customFormat="1" ht="12.75" x14ac:dyDescent="0.2">
      <c r="B74" s="233"/>
      <c r="C74" s="74"/>
      <c r="D74" s="279"/>
      <c r="E74" s="280"/>
      <c r="F74" s="283"/>
      <c r="G74" s="429"/>
      <c r="H74" s="433">
        <v>0.55000000000000004</v>
      </c>
      <c r="I74" s="870">
        <f t="shared" si="9"/>
        <v>8.1655070062027626</v>
      </c>
      <c r="J74" s="99"/>
      <c r="K74" s="233"/>
      <c r="L74" s="74"/>
      <c r="M74" s="279"/>
      <c r="N74" s="280"/>
      <c r="O74" s="283"/>
      <c r="P74" s="429"/>
      <c r="Q74" s="433">
        <v>0.55000000000000004</v>
      </c>
      <c r="R74" s="870">
        <f t="shared" si="10"/>
        <v>16.331014012405525</v>
      </c>
      <c r="Z74" s="433"/>
    </row>
    <row r="75" spans="2:26" s="72" customFormat="1" ht="13.5" thickBot="1" x14ac:dyDescent="0.25">
      <c r="B75" s="233"/>
      <c r="C75" s="74"/>
      <c r="D75" s="279"/>
      <c r="E75" s="280"/>
      <c r="F75" s="283"/>
      <c r="G75" s="429"/>
      <c r="H75" s="433">
        <v>0.5</v>
      </c>
      <c r="I75" s="870">
        <f t="shared" si="9"/>
        <v>8.9820577068230403</v>
      </c>
      <c r="J75" s="99"/>
      <c r="K75" s="233"/>
      <c r="L75" s="74"/>
      <c r="M75" s="279"/>
      <c r="N75" s="280"/>
      <c r="O75" s="283"/>
      <c r="P75" s="429"/>
      <c r="Q75" s="433">
        <v>0.5</v>
      </c>
      <c r="R75" s="870">
        <f t="shared" si="10"/>
        <v>17.964115413646081</v>
      </c>
      <c r="Z75" s="433"/>
    </row>
    <row r="76" spans="2:26" s="746" customFormat="1" ht="13.5" hidden="1" thickBot="1" x14ac:dyDescent="0.25">
      <c r="B76" s="843" t="s">
        <v>261</v>
      </c>
      <c r="C76" s="750" t="s">
        <v>265</v>
      </c>
      <c r="D76" s="759" t="s">
        <v>262</v>
      </c>
      <c r="E76" s="865">
        <v>365</v>
      </c>
      <c r="F76" s="840">
        <f>C77*E76</f>
        <v>10950</v>
      </c>
      <c r="G76" s="857"/>
      <c r="H76" s="866"/>
      <c r="I76" s="857"/>
      <c r="K76" s="843" t="s">
        <v>261</v>
      </c>
      <c r="L76" s="750" t="s">
        <v>265</v>
      </c>
      <c r="M76" s="759" t="s">
        <v>262</v>
      </c>
      <c r="N76" s="865">
        <v>365</v>
      </c>
      <c r="O76" s="840">
        <f>L77*N76</f>
        <v>10950</v>
      </c>
      <c r="Q76" s="866"/>
      <c r="Z76" s="866"/>
    </row>
    <row r="77" spans="2:26" s="746" customFormat="1" ht="13.5" hidden="1" thickBot="1" x14ac:dyDescent="0.25">
      <c r="B77" s="843"/>
      <c r="C77" s="750">
        <v>30</v>
      </c>
      <c r="D77" s="868" t="s">
        <v>310</v>
      </c>
      <c r="E77" s="865"/>
      <c r="F77" s="869">
        <f>F$33/F76</f>
        <v>3.6759150192830345</v>
      </c>
      <c r="G77" s="862">
        <f>ROUND(F77*(1+C$34),2)</f>
        <v>3.74</v>
      </c>
      <c r="H77" s="863">
        <v>0.9</v>
      </c>
      <c r="I77" s="867">
        <f>$G$77/H77</f>
        <v>4.1555555555555559</v>
      </c>
      <c r="K77" s="843"/>
      <c r="L77" s="750">
        <v>30</v>
      </c>
      <c r="M77" s="868" t="s">
        <v>310</v>
      </c>
      <c r="N77" s="865"/>
      <c r="O77" s="869">
        <f>O$33/O76</f>
        <v>7.3518300385660691</v>
      </c>
      <c r="P77" s="862">
        <f>ROUND(O77*(1+L$34),2)</f>
        <v>7.49</v>
      </c>
      <c r="Q77" s="863">
        <v>0.9</v>
      </c>
      <c r="R77" s="867">
        <f>$P$77/Q77</f>
        <v>8.3222222222222229</v>
      </c>
      <c r="Z77" s="863"/>
    </row>
    <row r="78" spans="2:26" s="746" customFormat="1" ht="13.5" hidden="1" thickBot="1" x14ac:dyDescent="0.25">
      <c r="B78" s="843"/>
      <c r="C78" s="750"/>
      <c r="D78" s="868"/>
      <c r="E78" s="865"/>
      <c r="F78" s="869"/>
      <c r="G78" s="862"/>
      <c r="H78" s="863">
        <v>0.85</v>
      </c>
      <c r="I78" s="867">
        <f t="shared" ref="I78:I85" si="11">$G$77/H78</f>
        <v>4.4000000000000004</v>
      </c>
      <c r="K78" s="843"/>
      <c r="L78" s="750"/>
      <c r="M78" s="868"/>
      <c r="N78" s="865"/>
      <c r="O78" s="869"/>
      <c r="P78" s="862"/>
      <c r="Q78" s="863">
        <v>0.85</v>
      </c>
      <c r="R78" s="867">
        <f t="shared" ref="R78:R85" si="12">$P$77/Q78</f>
        <v>8.8117647058823536</v>
      </c>
      <c r="Z78" s="863"/>
    </row>
    <row r="79" spans="2:26" s="746" customFormat="1" ht="13.5" hidden="1" thickBot="1" x14ac:dyDescent="0.25">
      <c r="B79" s="843"/>
      <c r="C79" s="750"/>
      <c r="D79" s="868"/>
      <c r="E79" s="865"/>
      <c r="F79" s="869"/>
      <c r="G79" s="862"/>
      <c r="H79" s="863">
        <v>0.8</v>
      </c>
      <c r="I79" s="867">
        <f t="shared" si="11"/>
        <v>4.6749999999999998</v>
      </c>
      <c r="K79" s="843"/>
      <c r="L79" s="750"/>
      <c r="M79" s="868"/>
      <c r="N79" s="865"/>
      <c r="O79" s="869"/>
      <c r="P79" s="862"/>
      <c r="Q79" s="863">
        <v>0.8</v>
      </c>
      <c r="R79" s="867">
        <f t="shared" si="12"/>
        <v>9.3624999999999989</v>
      </c>
      <c r="Z79" s="863"/>
    </row>
    <row r="80" spans="2:26" s="746" customFormat="1" ht="13.5" hidden="1" thickBot="1" x14ac:dyDescent="0.25">
      <c r="B80" s="843"/>
      <c r="C80" s="750"/>
      <c r="D80" s="868"/>
      <c r="E80" s="865"/>
      <c r="F80" s="869"/>
      <c r="G80" s="862"/>
      <c r="H80" s="863">
        <v>0.75</v>
      </c>
      <c r="I80" s="867">
        <f t="shared" si="11"/>
        <v>4.9866666666666672</v>
      </c>
      <c r="K80" s="843"/>
      <c r="L80" s="750"/>
      <c r="M80" s="868"/>
      <c r="N80" s="865"/>
      <c r="O80" s="869"/>
      <c r="P80" s="862"/>
      <c r="Q80" s="863">
        <v>0.75</v>
      </c>
      <c r="R80" s="867">
        <f t="shared" si="12"/>
        <v>9.9866666666666664</v>
      </c>
      <c r="Z80" s="863"/>
    </row>
    <row r="81" spans="2:26" s="746" customFormat="1" ht="13.5" hidden="1" thickBot="1" x14ac:dyDescent="0.25">
      <c r="B81" s="843"/>
      <c r="C81" s="750"/>
      <c r="D81" s="868"/>
      <c r="E81" s="865"/>
      <c r="F81" s="869"/>
      <c r="G81" s="862"/>
      <c r="H81" s="863">
        <v>0.7</v>
      </c>
      <c r="I81" s="867">
        <f t="shared" si="11"/>
        <v>5.3428571428571434</v>
      </c>
      <c r="K81" s="843"/>
      <c r="L81" s="750"/>
      <c r="M81" s="868"/>
      <c r="N81" s="865"/>
      <c r="O81" s="869"/>
      <c r="P81" s="862"/>
      <c r="Q81" s="863">
        <v>0.7</v>
      </c>
      <c r="R81" s="867">
        <f t="shared" si="12"/>
        <v>10.700000000000001</v>
      </c>
      <c r="Z81" s="863"/>
    </row>
    <row r="82" spans="2:26" s="746" customFormat="1" ht="13.5" hidden="1" thickBot="1" x14ac:dyDescent="0.25">
      <c r="B82" s="843"/>
      <c r="C82" s="750"/>
      <c r="D82" s="868"/>
      <c r="E82" s="865"/>
      <c r="F82" s="869"/>
      <c r="G82" s="862"/>
      <c r="H82" s="863">
        <v>0.65</v>
      </c>
      <c r="I82" s="867">
        <f t="shared" si="11"/>
        <v>5.7538461538461538</v>
      </c>
      <c r="K82" s="843"/>
      <c r="L82" s="750"/>
      <c r="M82" s="868"/>
      <c r="N82" s="865"/>
      <c r="O82" s="869"/>
      <c r="P82" s="862"/>
      <c r="Q82" s="863">
        <v>0.65</v>
      </c>
      <c r="R82" s="867">
        <f t="shared" si="12"/>
        <v>11.523076923076923</v>
      </c>
      <c r="Z82" s="863"/>
    </row>
    <row r="83" spans="2:26" s="746" customFormat="1" ht="13.5" hidden="1" thickBot="1" x14ac:dyDescent="0.25">
      <c r="B83" s="843"/>
      <c r="C83" s="750"/>
      <c r="D83" s="868"/>
      <c r="E83" s="865"/>
      <c r="F83" s="869"/>
      <c r="G83" s="862"/>
      <c r="H83" s="863">
        <v>0.6</v>
      </c>
      <c r="I83" s="867">
        <f t="shared" si="11"/>
        <v>6.2333333333333343</v>
      </c>
      <c r="K83" s="843"/>
      <c r="L83" s="750"/>
      <c r="M83" s="868"/>
      <c r="N83" s="865"/>
      <c r="O83" s="869"/>
      <c r="P83" s="862"/>
      <c r="Q83" s="863">
        <v>0.6</v>
      </c>
      <c r="R83" s="867">
        <f t="shared" si="12"/>
        <v>12.483333333333334</v>
      </c>
      <c r="Z83" s="863"/>
    </row>
    <row r="84" spans="2:26" s="746" customFormat="1" ht="13.5" hidden="1" thickBot="1" x14ac:dyDescent="0.25">
      <c r="B84" s="843"/>
      <c r="C84" s="750"/>
      <c r="D84" s="868"/>
      <c r="E84" s="865"/>
      <c r="F84" s="869"/>
      <c r="G84" s="862"/>
      <c r="H84" s="863">
        <v>0.55000000000000004</v>
      </c>
      <c r="I84" s="867">
        <f t="shared" si="11"/>
        <v>6.8</v>
      </c>
      <c r="K84" s="843"/>
      <c r="L84" s="750"/>
      <c r="M84" s="868"/>
      <c r="N84" s="865"/>
      <c r="O84" s="869"/>
      <c r="P84" s="862"/>
      <c r="Q84" s="863">
        <v>0.55000000000000004</v>
      </c>
      <c r="R84" s="867">
        <f t="shared" si="12"/>
        <v>13.618181818181817</v>
      </c>
      <c r="Z84" s="863"/>
    </row>
    <row r="85" spans="2:26" s="746" customFormat="1" ht="13.5" hidden="1" thickBot="1" x14ac:dyDescent="0.25">
      <c r="B85" s="843"/>
      <c r="C85" s="750"/>
      <c r="D85" s="868"/>
      <c r="E85" s="865"/>
      <c r="F85" s="869"/>
      <c r="G85" s="862"/>
      <c r="H85" s="863">
        <v>0.5</v>
      </c>
      <c r="I85" s="867">
        <f t="shared" si="11"/>
        <v>7.48</v>
      </c>
      <c r="K85" s="843"/>
      <c r="L85" s="750"/>
      <c r="M85" s="868"/>
      <c r="N85" s="865"/>
      <c r="O85" s="869"/>
      <c r="P85" s="862"/>
      <c r="Q85" s="863">
        <v>0.5</v>
      </c>
      <c r="R85" s="867">
        <f t="shared" si="12"/>
        <v>14.98</v>
      </c>
      <c r="Z85" s="863"/>
    </row>
    <row r="86" spans="2:26" s="746" customFormat="1" ht="13.5" hidden="1" thickBot="1" x14ac:dyDescent="0.25">
      <c r="G86" s="857"/>
      <c r="H86" s="866"/>
      <c r="I86" s="857"/>
      <c r="Q86" s="866"/>
      <c r="Z86" s="866"/>
    </row>
    <row r="87" spans="2:26" s="72" customFormat="1" ht="13.5" thickBot="1" x14ac:dyDescent="0.25">
      <c r="B87" s="84" t="s">
        <v>360</v>
      </c>
      <c r="K87" s="73"/>
      <c r="L87" s="73"/>
      <c r="M87" s="73"/>
      <c r="N87" s="73"/>
    </row>
    <row r="88" spans="2:26" s="72" customFormat="1" ht="13.5" thickBot="1" x14ac:dyDescent="0.25">
      <c r="B88" s="78"/>
      <c r="C88" s="74"/>
      <c r="D88" s="90" t="s">
        <v>337</v>
      </c>
      <c r="E88" s="91"/>
      <c r="F88" s="92"/>
      <c r="G88" s="92"/>
      <c r="H88" s="75"/>
      <c r="I88" s="92"/>
      <c r="J88" s="92"/>
      <c r="K88" s="78"/>
      <c r="L88" s="74"/>
      <c r="M88" s="90" t="s">
        <v>337</v>
      </c>
      <c r="N88" s="91"/>
      <c r="O88" s="92"/>
      <c r="P88" s="125"/>
      <c r="Q88" s="75"/>
      <c r="R88" s="125"/>
      <c r="V88" s="1152" t="s">
        <v>249</v>
      </c>
      <c r="W88" s="1153"/>
      <c r="Z88" s="75"/>
    </row>
    <row r="89" spans="2:26" s="72" customFormat="1" thickTop="1" thickBot="1" x14ac:dyDescent="0.25">
      <c r="D89" s="96" t="s">
        <v>270</v>
      </c>
      <c r="G89" s="98"/>
      <c r="H89" s="281"/>
      <c r="I89" s="98"/>
      <c r="J89" s="98"/>
      <c r="M89" s="96" t="s">
        <v>270</v>
      </c>
      <c r="P89" s="97"/>
      <c r="Q89" s="281"/>
      <c r="R89" s="97"/>
      <c r="V89" s="230" t="s">
        <v>314</v>
      </c>
      <c r="W89" s="722">
        <f>60000*(4.464%+1)*(2.0354%+1)*(2.7236%+1)</f>
        <v>65696.011550599447</v>
      </c>
      <c r="Z89" s="281"/>
    </row>
    <row r="90" spans="2:26" s="72" customFormat="1" ht="12.75" x14ac:dyDescent="0.2">
      <c r="D90" s="231">
        <v>0.5</v>
      </c>
      <c r="G90" s="98"/>
      <c r="H90" s="281"/>
      <c r="I90" s="98"/>
      <c r="J90" s="98"/>
      <c r="M90" s="231">
        <v>1</v>
      </c>
      <c r="P90" s="97"/>
      <c r="Q90" s="281"/>
      <c r="R90" s="97"/>
      <c r="Z90" s="281"/>
    </row>
    <row r="91" spans="2:26" s="72" customFormat="1" ht="12.75" x14ac:dyDescent="0.2">
      <c r="G91" s="229"/>
      <c r="H91" s="220"/>
      <c r="I91" s="229"/>
      <c r="P91" s="125"/>
      <c r="Q91" s="220"/>
      <c r="R91" s="125"/>
      <c r="Z91" s="220"/>
    </row>
    <row r="92" spans="2:26" s="72" customFormat="1" ht="12.75" x14ac:dyDescent="0.2">
      <c r="C92" s="125"/>
      <c r="D92" s="232" t="s">
        <v>304</v>
      </c>
      <c r="E92" s="232" t="s">
        <v>270</v>
      </c>
      <c r="F92" s="232" t="s">
        <v>305</v>
      </c>
      <c r="L92" s="125"/>
      <c r="M92" s="232" t="s">
        <v>304</v>
      </c>
      <c r="N92" s="232" t="s">
        <v>270</v>
      </c>
      <c r="O92" s="232" t="s">
        <v>305</v>
      </c>
      <c r="P92" s="125"/>
      <c r="R92" s="125"/>
    </row>
    <row r="93" spans="2:26" s="72" customFormat="1" ht="12.75" x14ac:dyDescent="0.2">
      <c r="B93" s="233" t="s">
        <v>315</v>
      </c>
      <c r="D93" s="37">
        <f>W89</f>
        <v>65696.011550599447</v>
      </c>
      <c r="E93" s="278">
        <f>D90</f>
        <v>0.5</v>
      </c>
      <c r="F93" s="234">
        <f>E93*D93</f>
        <v>32848.005775299724</v>
      </c>
      <c r="K93" s="233" t="s">
        <v>315</v>
      </c>
      <c r="M93" s="37">
        <f>W89</f>
        <v>65696.011550599447</v>
      </c>
      <c r="N93" s="278">
        <f>M90</f>
        <v>1</v>
      </c>
      <c r="O93" s="234">
        <f>N93*M93</f>
        <v>65696.011550599447</v>
      </c>
      <c r="P93" s="125"/>
      <c r="R93" s="125"/>
    </row>
    <row r="94" spans="2:26" s="72" customFormat="1" ht="12.75" x14ac:dyDescent="0.2">
      <c r="B94" s="233" t="s">
        <v>308</v>
      </c>
      <c r="C94" s="235">
        <f>'Rate Options'!$AJ$30</f>
        <v>0.25578770213785851</v>
      </c>
      <c r="D94" s="234"/>
      <c r="E94" s="234"/>
      <c r="F94" s="234">
        <f>F93*C94</f>
        <v>8402.1159170750216</v>
      </c>
      <c r="G94" s="232"/>
      <c r="H94" s="232"/>
      <c r="I94" s="232"/>
      <c r="K94" s="233" t="s">
        <v>308</v>
      </c>
      <c r="L94" s="235">
        <f>'Rate Options'!$AJ$30</f>
        <v>0.25578770213785851</v>
      </c>
      <c r="M94" s="234"/>
      <c r="N94" s="234"/>
      <c r="O94" s="234">
        <f>O93*L94</f>
        <v>16804.231834150043</v>
      </c>
      <c r="P94" s="125"/>
      <c r="Q94" s="232"/>
      <c r="R94" s="125"/>
      <c r="Z94" s="232"/>
    </row>
    <row r="95" spans="2:26" s="72" customFormat="1" ht="12.75" x14ac:dyDescent="0.2">
      <c r="B95" s="233" t="s">
        <v>309</v>
      </c>
      <c r="C95" s="235">
        <f>C31</f>
        <v>0.121061</v>
      </c>
      <c r="D95" s="234"/>
      <c r="E95" s="234"/>
      <c r="F95" s="234">
        <f>SUM(F93:F94)*C95</f>
        <v>4993.7809822005784</v>
      </c>
      <c r="G95" s="234"/>
      <c r="H95" s="234"/>
      <c r="I95" s="234"/>
      <c r="K95" s="233" t="s">
        <v>309</v>
      </c>
      <c r="L95" s="235">
        <f>L31</f>
        <v>0.121061</v>
      </c>
      <c r="M95" s="234"/>
      <c r="N95" s="234"/>
      <c r="O95" s="234">
        <f>SUM(O93:O94)*L95</f>
        <v>9987.5619644011567</v>
      </c>
      <c r="P95" s="125"/>
      <c r="Q95" s="234"/>
      <c r="R95" s="125"/>
      <c r="Z95" s="234"/>
    </row>
    <row r="96" spans="2:26" s="72" customFormat="1" ht="12.75" x14ac:dyDescent="0.2">
      <c r="B96" s="1024" t="s">
        <v>539</v>
      </c>
      <c r="C96" s="1025">
        <f>C32</f>
        <v>7.4999999999999997E-3</v>
      </c>
      <c r="D96" s="1026"/>
      <c r="E96" s="1026"/>
      <c r="F96" s="1026">
        <f>F93*C96</f>
        <v>246.36004331474791</v>
      </c>
      <c r="G96" s="234"/>
      <c r="H96" s="234"/>
      <c r="I96" s="234"/>
      <c r="K96" s="1024" t="s">
        <v>539</v>
      </c>
      <c r="L96" s="1025">
        <f>C32</f>
        <v>7.4999999999999997E-3</v>
      </c>
      <c r="M96" s="1026"/>
      <c r="N96" s="1026"/>
      <c r="O96" s="1026">
        <f>O93*L96</f>
        <v>492.72008662949582</v>
      </c>
      <c r="P96" s="125"/>
      <c r="Q96" s="234"/>
      <c r="R96" s="125"/>
      <c r="Z96" s="234"/>
    </row>
    <row r="97" spans="2:26" s="72" customFormat="1" ht="12.75" x14ac:dyDescent="0.2">
      <c r="B97" s="236" t="s">
        <v>288</v>
      </c>
      <c r="C97" s="237"/>
      <c r="D97" s="237"/>
      <c r="E97" s="237"/>
      <c r="F97" s="238">
        <f>SUM(F93:F96)</f>
        <v>46490.262717890073</v>
      </c>
      <c r="G97" s="234"/>
      <c r="H97" s="234"/>
      <c r="I97" s="234"/>
      <c r="K97" s="236" t="s">
        <v>288</v>
      </c>
      <c r="L97" s="237"/>
      <c r="M97" s="237"/>
      <c r="N97" s="237"/>
      <c r="O97" s="238">
        <f>SUM(O93:O96)</f>
        <v>92980.525435780146</v>
      </c>
      <c r="P97" s="125"/>
      <c r="Q97" s="234"/>
      <c r="R97" s="125"/>
      <c r="Z97" s="234"/>
    </row>
    <row r="98" spans="2:26" s="72" customFormat="1" ht="13.15" customHeight="1" x14ac:dyDescent="0.2">
      <c r="B98" s="94" t="s">
        <v>290</v>
      </c>
      <c r="C98" s="428">
        <f>C34</f>
        <v>1.8120393120392975E-2</v>
      </c>
      <c r="D98" s="96"/>
      <c r="E98" s="96"/>
      <c r="F98" s="229"/>
      <c r="G98" s="234"/>
      <c r="H98" s="234"/>
      <c r="I98" s="234"/>
      <c r="K98" s="94" t="s">
        <v>290</v>
      </c>
      <c r="L98" s="428">
        <f>C98</f>
        <v>1.8120393120392975E-2</v>
      </c>
      <c r="M98" s="96"/>
      <c r="N98" s="96"/>
      <c r="O98" s="229"/>
      <c r="P98" s="125"/>
      <c r="Q98" s="234"/>
      <c r="R98" s="125"/>
      <c r="Z98" s="234"/>
    </row>
    <row r="99" spans="2:26" s="72" customFormat="1" ht="12.75" x14ac:dyDescent="0.2">
      <c r="C99" s="240"/>
      <c r="D99" s="96"/>
      <c r="E99" s="96"/>
      <c r="F99" s="241"/>
      <c r="G99" s="239"/>
      <c r="H99" s="239"/>
      <c r="I99" s="239"/>
      <c r="L99" s="240"/>
      <c r="M99" s="96"/>
      <c r="N99" s="96"/>
      <c r="O99" s="241"/>
      <c r="P99" s="125"/>
      <c r="Q99" s="239"/>
      <c r="R99" s="125"/>
      <c r="Z99" s="239"/>
    </row>
    <row r="100" spans="2:26" s="72" customFormat="1" ht="12.75" x14ac:dyDescent="0.2">
      <c r="B100" s="94"/>
      <c r="C100" s="240"/>
      <c r="D100" s="96"/>
      <c r="E100" s="96"/>
      <c r="F100" s="241"/>
      <c r="G100" s="229"/>
      <c r="H100" s="220"/>
      <c r="I100" s="229"/>
      <c r="K100" s="94"/>
      <c r="L100" s="240"/>
      <c r="M100" s="96"/>
      <c r="N100" s="96"/>
      <c r="O100" s="241"/>
      <c r="P100" s="125"/>
      <c r="Q100" s="220"/>
      <c r="R100" s="125"/>
      <c r="Z100" s="220"/>
    </row>
    <row r="101" spans="2:26" s="72" customFormat="1" ht="12.75" x14ac:dyDescent="0.2">
      <c r="B101" s="233" t="s">
        <v>261</v>
      </c>
      <c r="C101" s="295" t="s">
        <v>339</v>
      </c>
      <c r="D101" s="121" t="s">
        <v>262</v>
      </c>
      <c r="E101" s="280">
        <v>365</v>
      </c>
      <c r="F101" s="281">
        <f>E101*C102</f>
        <v>4380</v>
      </c>
      <c r="G101" s="432" t="s">
        <v>378</v>
      </c>
      <c r="H101" s="357" t="s">
        <v>377</v>
      </c>
      <c r="I101" s="98"/>
      <c r="J101" s="99"/>
      <c r="K101" s="233" t="s">
        <v>261</v>
      </c>
      <c r="L101" s="295" t="s">
        <v>339</v>
      </c>
      <c r="M101" s="121" t="s">
        <v>262</v>
      </c>
      <c r="N101" s="280">
        <v>365</v>
      </c>
      <c r="O101" s="281">
        <f>N101*L102</f>
        <v>4380</v>
      </c>
      <c r="P101" s="98" t="s">
        <v>378</v>
      </c>
      <c r="Q101" s="357" t="s">
        <v>377</v>
      </c>
      <c r="R101" s="98"/>
      <c r="Z101" s="357"/>
    </row>
    <row r="102" spans="2:26" s="72" customFormat="1" ht="12.75" x14ac:dyDescent="0.2">
      <c r="B102" s="233"/>
      <c r="C102" s="74">
        <v>12</v>
      </c>
      <c r="D102" s="279" t="s">
        <v>310</v>
      </c>
      <c r="E102" s="280"/>
      <c r="F102" s="283">
        <f>F$97/F101</f>
        <v>10.614215232394994</v>
      </c>
      <c r="G102" s="429">
        <f>F102*(C98+1)</f>
        <v>10.806548985070455</v>
      </c>
      <c r="H102" s="433">
        <v>0.9</v>
      </c>
      <c r="I102" s="873">
        <f>$G$102/H102</f>
        <v>12.007276650078282</v>
      </c>
      <c r="J102" s="99"/>
      <c r="K102" s="233"/>
      <c r="L102" s="74">
        <v>12</v>
      </c>
      <c r="M102" s="279" t="s">
        <v>310</v>
      </c>
      <c r="N102" s="280"/>
      <c r="O102" s="283">
        <f>O$97/O101</f>
        <v>21.228430464789987</v>
      </c>
      <c r="P102" s="429">
        <f>O102*(L98+1)</f>
        <v>21.61309797014091</v>
      </c>
      <c r="Q102" s="433">
        <v>0.9</v>
      </c>
      <c r="R102" s="364">
        <f>$P$102/Q102</f>
        <v>24.014553300156564</v>
      </c>
      <c r="Z102" s="433"/>
    </row>
    <row r="103" spans="2:26" s="72" customFormat="1" ht="12.75" x14ac:dyDescent="0.2">
      <c r="B103" s="233"/>
      <c r="C103" s="74"/>
      <c r="D103" s="279"/>
      <c r="E103" s="280"/>
      <c r="F103" s="283"/>
      <c r="G103" s="429"/>
      <c r="H103" s="433">
        <v>0.85</v>
      </c>
      <c r="I103" s="873">
        <f t="shared" ref="I103:I110" si="13">$G$102/H103</f>
        <v>12.713587041259359</v>
      </c>
      <c r="J103" s="99"/>
      <c r="K103" s="233"/>
      <c r="L103" s="74"/>
      <c r="M103" s="279"/>
      <c r="N103" s="280"/>
      <c r="O103" s="283"/>
      <c r="P103" s="429"/>
      <c r="Q103" s="433">
        <v>0.85</v>
      </c>
      <c r="R103" s="364">
        <f t="shared" ref="R103:R110" si="14">$P$102/Q103</f>
        <v>25.427174082518718</v>
      </c>
      <c r="Z103" s="433"/>
    </row>
    <row r="104" spans="2:26" s="72" customFormat="1" ht="12.75" x14ac:dyDescent="0.2">
      <c r="B104" s="233"/>
      <c r="C104" s="74"/>
      <c r="D104" s="279"/>
      <c r="E104" s="280"/>
      <c r="F104" s="283"/>
      <c r="G104" s="429"/>
      <c r="H104" s="433">
        <v>0.8</v>
      </c>
      <c r="I104" s="873">
        <f t="shared" si="13"/>
        <v>13.508186231338067</v>
      </c>
      <c r="J104" s="99"/>
      <c r="K104" s="233"/>
      <c r="L104" s="74"/>
      <c r="M104" s="279"/>
      <c r="N104" s="280"/>
      <c r="O104" s="283"/>
      <c r="P104" s="429"/>
      <c r="Q104" s="433">
        <v>0.8</v>
      </c>
      <c r="R104" s="364">
        <f t="shared" si="14"/>
        <v>27.016372462676134</v>
      </c>
      <c r="Z104" s="433"/>
    </row>
    <row r="105" spans="2:26" s="72" customFormat="1" ht="12.75" x14ac:dyDescent="0.2">
      <c r="B105" s="233"/>
      <c r="C105" s="74"/>
      <c r="D105" s="279"/>
      <c r="E105" s="280"/>
      <c r="F105" s="283"/>
      <c r="G105" s="429"/>
      <c r="H105" s="433">
        <v>0.75</v>
      </c>
      <c r="I105" s="873">
        <f t="shared" si="13"/>
        <v>14.40873198009394</v>
      </c>
      <c r="J105" s="99"/>
      <c r="K105" s="233"/>
      <c r="L105" s="74"/>
      <c r="M105" s="279"/>
      <c r="N105" s="280"/>
      <c r="O105" s="283"/>
      <c r="P105" s="429"/>
      <c r="Q105" s="433">
        <v>0.75</v>
      </c>
      <c r="R105" s="364">
        <f t="shared" si="14"/>
        <v>28.817463960187879</v>
      </c>
      <c r="Z105" s="433"/>
    </row>
    <row r="106" spans="2:26" s="72" customFormat="1" ht="12.75" x14ac:dyDescent="0.2">
      <c r="B106" s="233"/>
      <c r="C106" s="74"/>
      <c r="D106" s="279"/>
      <c r="E106" s="280"/>
      <c r="F106" s="283"/>
      <c r="G106" s="429"/>
      <c r="H106" s="433">
        <v>0.7</v>
      </c>
      <c r="I106" s="873">
        <f t="shared" si="13"/>
        <v>15.437927121529222</v>
      </c>
      <c r="J106" s="99"/>
      <c r="K106" s="233"/>
      <c r="L106" s="74"/>
      <c r="M106" s="279"/>
      <c r="N106" s="280"/>
      <c r="O106" s="283"/>
      <c r="P106" s="429"/>
      <c r="Q106" s="433">
        <v>0.7</v>
      </c>
      <c r="R106" s="364">
        <f t="shared" si="14"/>
        <v>30.875854243058445</v>
      </c>
      <c r="Z106" s="433"/>
    </row>
    <row r="107" spans="2:26" s="72" customFormat="1" ht="12.75" x14ac:dyDescent="0.2">
      <c r="B107" s="233"/>
      <c r="C107" s="74"/>
      <c r="D107" s="279"/>
      <c r="E107" s="280"/>
      <c r="F107" s="283"/>
      <c r="G107" s="429"/>
      <c r="H107" s="433">
        <v>0.65</v>
      </c>
      <c r="I107" s="873">
        <f t="shared" si="13"/>
        <v>16.625459977031468</v>
      </c>
      <c r="J107" s="99"/>
      <c r="K107" s="233"/>
      <c r="L107" s="74"/>
      <c r="M107" s="279"/>
      <c r="N107" s="280"/>
      <c r="O107" s="283"/>
      <c r="P107" s="429"/>
      <c r="Q107" s="433">
        <v>0.65</v>
      </c>
      <c r="R107" s="364">
        <f t="shared" si="14"/>
        <v>33.250919954062937</v>
      </c>
      <c r="Z107" s="433"/>
    </row>
    <row r="108" spans="2:26" s="72" customFormat="1" ht="12.75" x14ac:dyDescent="0.2">
      <c r="B108" s="233"/>
      <c r="C108" s="74"/>
      <c r="D108" s="279"/>
      <c r="E108" s="280"/>
      <c r="F108" s="283"/>
      <c r="G108" s="429"/>
      <c r="H108" s="433">
        <v>0.6</v>
      </c>
      <c r="I108" s="873">
        <f t="shared" si="13"/>
        <v>18.010914975117426</v>
      </c>
      <c r="J108" s="99"/>
      <c r="K108" s="233"/>
      <c r="L108" s="74"/>
      <c r="M108" s="279"/>
      <c r="N108" s="280"/>
      <c r="O108" s="283"/>
      <c r="P108" s="429"/>
      <c r="Q108" s="433">
        <v>0.6</v>
      </c>
      <c r="R108" s="364">
        <f t="shared" si="14"/>
        <v>36.021829950234853</v>
      </c>
      <c r="Z108" s="433"/>
    </row>
    <row r="109" spans="2:26" s="72" customFormat="1" ht="12.75" x14ac:dyDescent="0.2">
      <c r="B109" s="233"/>
      <c r="C109" s="74"/>
      <c r="D109" s="279"/>
      <c r="E109" s="280"/>
      <c r="F109" s="283"/>
      <c r="G109" s="429"/>
      <c r="H109" s="433">
        <v>0.55000000000000004</v>
      </c>
      <c r="I109" s="873">
        <f t="shared" si="13"/>
        <v>19.648270881946281</v>
      </c>
      <c r="J109" s="99"/>
      <c r="K109" s="233"/>
      <c r="L109" s="74"/>
      <c r="M109" s="279"/>
      <c r="N109" s="280"/>
      <c r="O109" s="283"/>
      <c r="P109" s="429"/>
      <c r="Q109" s="433">
        <v>0.55000000000000004</v>
      </c>
      <c r="R109" s="364">
        <f t="shared" si="14"/>
        <v>39.296541763892563</v>
      </c>
      <c r="Z109" s="433"/>
    </row>
    <row r="110" spans="2:26" s="72" customFormat="1" ht="12.75" x14ac:dyDescent="0.2">
      <c r="B110" s="233"/>
      <c r="C110" s="74"/>
      <c r="D110" s="279"/>
      <c r="E110" s="280"/>
      <c r="F110" s="283"/>
      <c r="G110" s="429"/>
      <c r="H110" s="433">
        <v>0.5</v>
      </c>
      <c r="I110" s="873">
        <f t="shared" si="13"/>
        <v>21.61309797014091</v>
      </c>
      <c r="J110" s="99"/>
      <c r="K110" s="233"/>
      <c r="L110" s="74"/>
      <c r="M110" s="279"/>
      <c r="N110" s="280"/>
      <c r="O110" s="283"/>
      <c r="P110" s="429"/>
      <c r="Q110" s="433">
        <v>0.5</v>
      </c>
      <c r="R110" s="364">
        <f t="shared" si="14"/>
        <v>43.226195940281819</v>
      </c>
      <c r="Z110" s="433"/>
    </row>
    <row r="111" spans="2:26" s="72" customFormat="1" ht="12.75" x14ac:dyDescent="0.2">
      <c r="B111" s="233" t="s">
        <v>261</v>
      </c>
      <c r="C111" s="282" t="s">
        <v>340</v>
      </c>
      <c r="D111" s="121" t="s">
        <v>262</v>
      </c>
      <c r="E111" s="280">
        <v>365</v>
      </c>
      <c r="F111" s="281">
        <f>C112*E111</f>
        <v>5657.5</v>
      </c>
      <c r="G111" s="241"/>
      <c r="H111" s="326"/>
      <c r="I111" s="874"/>
      <c r="K111" s="233" t="s">
        <v>261</v>
      </c>
      <c r="L111" s="282" t="s">
        <v>340</v>
      </c>
      <c r="M111" s="121" t="s">
        <v>262</v>
      </c>
      <c r="N111" s="280">
        <v>365</v>
      </c>
      <c r="O111" s="281">
        <f>L112*N111</f>
        <v>5657.5</v>
      </c>
      <c r="Q111" s="326"/>
      <c r="Z111" s="326"/>
    </row>
    <row r="112" spans="2:26" s="72" customFormat="1" ht="12.75" x14ac:dyDescent="0.2">
      <c r="B112" s="233"/>
      <c r="C112" s="74">
        <v>15.5</v>
      </c>
      <c r="D112" s="279" t="s">
        <v>310</v>
      </c>
      <c r="E112" s="280"/>
      <c r="F112" s="283">
        <f>F$97/F111</f>
        <v>8.2174569541122526</v>
      </c>
      <c r="G112" s="429">
        <f>F112*(C98+1)</f>
        <v>8.3663605045706735</v>
      </c>
      <c r="H112" s="433">
        <v>0.9</v>
      </c>
      <c r="I112" s="873">
        <f>$G$112/H112</f>
        <v>9.2959561161896378</v>
      </c>
      <c r="K112" s="233"/>
      <c r="L112" s="74">
        <v>15.5</v>
      </c>
      <c r="M112" s="279" t="s">
        <v>310</v>
      </c>
      <c r="N112" s="280"/>
      <c r="O112" s="283">
        <f>O$97/O111</f>
        <v>16.434913908224505</v>
      </c>
      <c r="P112" s="429">
        <f>O112*(L98+1)</f>
        <v>16.732721009141347</v>
      </c>
      <c r="Q112" s="433">
        <v>0.9</v>
      </c>
      <c r="R112" s="364">
        <f>$P$112/Q112</f>
        <v>18.591912232379276</v>
      </c>
      <c r="Z112" s="433"/>
    </row>
    <row r="113" spans="2:26" s="72" customFormat="1" ht="12.75" x14ac:dyDescent="0.2">
      <c r="B113" s="233"/>
      <c r="C113" s="74"/>
      <c r="D113" s="279"/>
      <c r="E113" s="280"/>
      <c r="F113" s="283"/>
      <c r="G113" s="429"/>
      <c r="H113" s="433">
        <v>0.85</v>
      </c>
      <c r="I113" s="873">
        <f t="shared" ref="I113:I120" si="15">$G$112/H113</f>
        <v>9.8427770642007921</v>
      </c>
      <c r="K113" s="233"/>
      <c r="L113" s="74"/>
      <c r="M113" s="279"/>
      <c r="N113" s="280"/>
      <c r="O113" s="283"/>
      <c r="P113" s="429"/>
      <c r="Q113" s="433">
        <v>0.85</v>
      </c>
      <c r="R113" s="364">
        <f t="shared" ref="R113:R120" si="16">$P$112/Q113</f>
        <v>19.685554128401584</v>
      </c>
      <c r="Z113" s="433"/>
    </row>
    <row r="114" spans="2:26" s="72" customFormat="1" ht="12.75" x14ac:dyDescent="0.2">
      <c r="B114" s="233"/>
      <c r="C114" s="74"/>
      <c r="D114" s="279"/>
      <c r="E114" s="280"/>
      <c r="F114" s="283"/>
      <c r="G114" s="429"/>
      <c r="H114" s="433">
        <v>0.8</v>
      </c>
      <c r="I114" s="873">
        <f t="shared" si="15"/>
        <v>10.457950630713341</v>
      </c>
      <c r="K114" s="233"/>
      <c r="L114" s="74"/>
      <c r="M114" s="279"/>
      <c r="N114" s="280"/>
      <c r="O114" s="283"/>
      <c r="P114" s="429"/>
      <c r="Q114" s="433">
        <v>0.8</v>
      </c>
      <c r="R114" s="364">
        <f t="shared" si="16"/>
        <v>20.915901261426683</v>
      </c>
      <c r="Z114" s="433"/>
    </row>
    <row r="115" spans="2:26" s="72" customFormat="1" ht="12.75" x14ac:dyDescent="0.2">
      <c r="B115" s="233"/>
      <c r="C115" s="74"/>
      <c r="D115" s="279"/>
      <c r="E115" s="280"/>
      <c r="F115" s="283"/>
      <c r="G115" s="429"/>
      <c r="H115" s="433">
        <v>0.75</v>
      </c>
      <c r="I115" s="873">
        <f t="shared" si="15"/>
        <v>11.155147339427565</v>
      </c>
      <c r="K115" s="233"/>
      <c r="L115" s="74"/>
      <c r="M115" s="279"/>
      <c r="N115" s="280"/>
      <c r="O115" s="283"/>
      <c r="P115" s="429"/>
      <c r="Q115" s="433">
        <v>0.75</v>
      </c>
      <c r="R115" s="364">
        <f t="shared" si="16"/>
        <v>22.310294678855129</v>
      </c>
      <c r="Z115" s="433"/>
    </row>
    <row r="116" spans="2:26" s="72" customFormat="1" ht="12.75" x14ac:dyDescent="0.2">
      <c r="B116" s="233"/>
      <c r="C116" s="74"/>
      <c r="D116" s="279"/>
      <c r="E116" s="280"/>
      <c r="F116" s="283"/>
      <c r="G116" s="429"/>
      <c r="H116" s="433">
        <v>0.7</v>
      </c>
      <c r="I116" s="873">
        <f t="shared" si="15"/>
        <v>11.951943577958106</v>
      </c>
      <c r="K116" s="233"/>
      <c r="L116" s="74"/>
      <c r="M116" s="279"/>
      <c r="N116" s="280"/>
      <c r="O116" s="283"/>
      <c r="P116" s="429"/>
      <c r="Q116" s="433">
        <v>0.7</v>
      </c>
      <c r="R116" s="364">
        <f t="shared" si="16"/>
        <v>23.903887155916212</v>
      </c>
      <c r="Z116" s="433"/>
    </row>
    <row r="117" spans="2:26" s="72" customFormat="1" ht="12.75" x14ac:dyDescent="0.2">
      <c r="B117" s="233"/>
      <c r="C117" s="74"/>
      <c r="D117" s="279"/>
      <c r="E117" s="280"/>
      <c r="F117" s="283"/>
      <c r="G117" s="429"/>
      <c r="H117" s="433">
        <v>0.65</v>
      </c>
      <c r="I117" s="873">
        <f t="shared" si="15"/>
        <v>12.87132385318565</v>
      </c>
      <c r="K117" s="233"/>
      <c r="L117" s="74"/>
      <c r="M117" s="279"/>
      <c r="N117" s="280"/>
      <c r="O117" s="283"/>
      <c r="P117" s="429"/>
      <c r="Q117" s="433">
        <v>0.65</v>
      </c>
      <c r="R117" s="364">
        <f t="shared" si="16"/>
        <v>25.742647706371301</v>
      </c>
      <c r="Z117" s="433"/>
    </row>
    <row r="118" spans="2:26" s="72" customFormat="1" ht="12.75" x14ac:dyDescent="0.2">
      <c r="B118" s="233"/>
      <c r="C118" s="74"/>
      <c r="D118" s="279"/>
      <c r="E118" s="280"/>
      <c r="F118" s="283"/>
      <c r="G118" s="429"/>
      <c r="H118" s="433">
        <v>0.6</v>
      </c>
      <c r="I118" s="873">
        <f t="shared" si="15"/>
        <v>13.943934174284456</v>
      </c>
      <c r="K118" s="233"/>
      <c r="L118" s="74"/>
      <c r="M118" s="279"/>
      <c r="N118" s="280"/>
      <c r="O118" s="283"/>
      <c r="P118" s="429"/>
      <c r="Q118" s="433">
        <v>0.6</v>
      </c>
      <c r="R118" s="364">
        <f t="shared" si="16"/>
        <v>27.887868348568912</v>
      </c>
      <c r="Z118" s="433"/>
    </row>
    <row r="119" spans="2:26" s="72" customFormat="1" ht="12.75" x14ac:dyDescent="0.2">
      <c r="B119" s="233"/>
      <c r="C119" s="74"/>
      <c r="D119" s="279"/>
      <c r="E119" s="280"/>
      <c r="F119" s="283"/>
      <c r="G119" s="429"/>
      <c r="H119" s="433">
        <v>0.55000000000000004</v>
      </c>
      <c r="I119" s="873">
        <f t="shared" si="15"/>
        <v>15.211564553764859</v>
      </c>
      <c r="K119" s="233"/>
      <c r="L119" s="74"/>
      <c r="M119" s="279"/>
      <c r="N119" s="280"/>
      <c r="O119" s="283"/>
      <c r="P119" s="429"/>
      <c r="Q119" s="433">
        <v>0.55000000000000004</v>
      </c>
      <c r="R119" s="364">
        <f t="shared" si="16"/>
        <v>30.423129107529718</v>
      </c>
      <c r="Z119" s="433"/>
    </row>
    <row r="120" spans="2:26" s="72" customFormat="1" ht="12.75" x14ac:dyDescent="0.2">
      <c r="B120" s="233"/>
      <c r="C120" s="74"/>
      <c r="D120" s="279"/>
      <c r="E120" s="280"/>
      <c r="F120" s="283"/>
      <c r="G120" s="429"/>
      <c r="H120" s="433">
        <v>0.5</v>
      </c>
      <c r="I120" s="873">
        <f t="shared" si="15"/>
        <v>16.732721009141347</v>
      </c>
      <c r="K120" s="233"/>
      <c r="L120" s="74"/>
      <c r="M120" s="279"/>
      <c r="N120" s="280"/>
      <c r="O120" s="283"/>
      <c r="P120" s="429"/>
      <c r="Q120" s="433">
        <v>0.5</v>
      </c>
      <c r="R120" s="364">
        <f t="shared" si="16"/>
        <v>33.465442018282694</v>
      </c>
      <c r="Z120" s="433"/>
    </row>
    <row r="121" spans="2:26" s="72" customFormat="1" ht="12.75" x14ac:dyDescent="0.2">
      <c r="B121" s="233" t="s">
        <v>261</v>
      </c>
      <c r="C121" s="74" t="s">
        <v>263</v>
      </c>
      <c r="D121" s="121" t="s">
        <v>262</v>
      </c>
      <c r="E121" s="280">
        <v>365</v>
      </c>
      <c r="F121" s="281">
        <f>C122*E121</f>
        <v>7300</v>
      </c>
      <c r="G121" s="99"/>
      <c r="H121" s="435"/>
      <c r="I121" s="835"/>
      <c r="J121" s="99"/>
      <c r="K121" s="233" t="s">
        <v>261</v>
      </c>
      <c r="L121" s="74" t="s">
        <v>263</v>
      </c>
      <c r="M121" s="121" t="s">
        <v>262</v>
      </c>
      <c r="N121" s="280">
        <v>365</v>
      </c>
      <c r="O121" s="281">
        <f>L122*N121</f>
        <v>7300</v>
      </c>
      <c r="Q121" s="435"/>
      <c r="Z121" s="435"/>
    </row>
    <row r="122" spans="2:26" s="72" customFormat="1" ht="12.75" x14ac:dyDescent="0.2">
      <c r="B122" s="233"/>
      <c r="C122" s="74">
        <v>20</v>
      </c>
      <c r="D122" s="279" t="s">
        <v>310</v>
      </c>
      <c r="E122" s="280"/>
      <c r="F122" s="283">
        <f>F$97/F121</f>
        <v>6.3685291394369967</v>
      </c>
      <c r="G122" s="429">
        <f>F122*(C98+1)</f>
        <v>6.4839293910422731</v>
      </c>
      <c r="H122" s="433">
        <v>0.9</v>
      </c>
      <c r="I122" s="873">
        <f>$G$122/H122</f>
        <v>7.2043659900469699</v>
      </c>
      <c r="J122" s="99"/>
      <c r="K122" s="233"/>
      <c r="L122" s="74">
        <v>20</v>
      </c>
      <c r="M122" s="279" t="s">
        <v>310</v>
      </c>
      <c r="N122" s="280"/>
      <c r="O122" s="283">
        <f>O$97/O121</f>
        <v>12.737058278873993</v>
      </c>
      <c r="P122" s="429">
        <f>O122*(L98+1)</f>
        <v>12.967858782084546</v>
      </c>
      <c r="Q122" s="433">
        <v>0.9</v>
      </c>
      <c r="R122" s="364">
        <f>$P$122/Q122</f>
        <v>14.40873198009394</v>
      </c>
      <c r="Z122" s="433"/>
    </row>
    <row r="123" spans="2:26" s="72" customFormat="1" ht="12.75" x14ac:dyDescent="0.2">
      <c r="B123" s="233"/>
      <c r="C123" s="74"/>
      <c r="D123" s="279"/>
      <c r="E123" s="280"/>
      <c r="F123" s="283"/>
      <c r="G123" s="429"/>
      <c r="H123" s="433">
        <v>0.85</v>
      </c>
      <c r="I123" s="873">
        <f t="shared" ref="I123:I130" si="17">$G$122/H123</f>
        <v>7.6281522247556159</v>
      </c>
      <c r="J123" s="99"/>
      <c r="K123" s="233"/>
      <c r="L123" s="74"/>
      <c r="M123" s="279"/>
      <c r="N123" s="280"/>
      <c r="O123" s="283"/>
      <c r="P123" s="429"/>
      <c r="Q123" s="433">
        <v>0.85</v>
      </c>
      <c r="R123" s="364">
        <f t="shared" ref="R123:R130" si="18">$P$122/Q123</f>
        <v>15.256304449511232</v>
      </c>
      <c r="Z123" s="433"/>
    </row>
    <row r="124" spans="2:26" s="72" customFormat="1" ht="12.75" x14ac:dyDescent="0.2">
      <c r="B124" s="233"/>
      <c r="C124" s="74"/>
      <c r="D124" s="279"/>
      <c r="E124" s="280"/>
      <c r="F124" s="283"/>
      <c r="G124" s="429"/>
      <c r="H124" s="433">
        <v>0.8</v>
      </c>
      <c r="I124" s="873">
        <f t="shared" si="17"/>
        <v>8.1049117388028407</v>
      </c>
      <c r="J124" s="99"/>
      <c r="K124" s="233"/>
      <c r="L124" s="74"/>
      <c r="M124" s="279"/>
      <c r="N124" s="280"/>
      <c r="O124" s="283"/>
      <c r="P124" s="429"/>
      <c r="Q124" s="433">
        <v>0.8</v>
      </c>
      <c r="R124" s="364">
        <f t="shared" si="18"/>
        <v>16.209823477605681</v>
      </c>
      <c r="Z124" s="433"/>
    </row>
    <row r="125" spans="2:26" s="72" customFormat="1" ht="12.75" x14ac:dyDescent="0.2">
      <c r="B125" s="233"/>
      <c r="C125" s="74"/>
      <c r="D125" s="279"/>
      <c r="E125" s="280"/>
      <c r="F125" s="283"/>
      <c r="G125" s="429"/>
      <c r="H125" s="433">
        <v>0.75</v>
      </c>
      <c r="I125" s="873">
        <f t="shared" si="17"/>
        <v>8.6452391880563635</v>
      </c>
      <c r="J125" s="99"/>
      <c r="K125" s="233"/>
      <c r="L125" s="74"/>
      <c r="M125" s="279"/>
      <c r="N125" s="280"/>
      <c r="O125" s="283"/>
      <c r="P125" s="429"/>
      <c r="Q125" s="433">
        <v>0.75</v>
      </c>
      <c r="R125" s="364">
        <f t="shared" si="18"/>
        <v>17.290478376112727</v>
      </c>
      <c r="Z125" s="433"/>
    </row>
    <row r="126" spans="2:26" s="72" customFormat="1" ht="12.75" x14ac:dyDescent="0.2">
      <c r="B126" s="233"/>
      <c r="C126" s="74"/>
      <c r="D126" s="279"/>
      <c r="E126" s="280"/>
      <c r="F126" s="283"/>
      <c r="G126" s="429"/>
      <c r="H126" s="433">
        <v>0.7</v>
      </c>
      <c r="I126" s="873">
        <f t="shared" si="17"/>
        <v>9.2627562729175335</v>
      </c>
      <c r="J126" s="99"/>
      <c r="K126" s="233"/>
      <c r="L126" s="74"/>
      <c r="M126" s="279"/>
      <c r="N126" s="280"/>
      <c r="O126" s="283"/>
      <c r="P126" s="429"/>
      <c r="Q126" s="433">
        <v>0.7</v>
      </c>
      <c r="R126" s="364">
        <f t="shared" si="18"/>
        <v>18.525512545835067</v>
      </c>
      <c r="Z126" s="433"/>
    </row>
    <row r="127" spans="2:26" s="72" customFormat="1" ht="12.75" x14ac:dyDescent="0.2">
      <c r="B127" s="233"/>
      <c r="C127" s="74"/>
      <c r="D127" s="279"/>
      <c r="E127" s="280"/>
      <c r="F127" s="283"/>
      <c r="G127" s="429"/>
      <c r="H127" s="433">
        <v>0.65</v>
      </c>
      <c r="I127" s="873">
        <f t="shared" si="17"/>
        <v>9.9752759862188807</v>
      </c>
      <c r="J127" s="99"/>
      <c r="K127" s="233"/>
      <c r="L127" s="74"/>
      <c r="M127" s="279"/>
      <c r="N127" s="280"/>
      <c r="O127" s="283"/>
      <c r="P127" s="429"/>
      <c r="Q127" s="433">
        <v>0.65</v>
      </c>
      <c r="R127" s="364">
        <f t="shared" si="18"/>
        <v>19.950551972437761</v>
      </c>
      <c r="Z127" s="433"/>
    </row>
    <row r="128" spans="2:26" s="72" customFormat="1" ht="12.75" x14ac:dyDescent="0.2">
      <c r="B128" s="233"/>
      <c r="C128" s="74"/>
      <c r="D128" s="279"/>
      <c r="E128" s="280"/>
      <c r="F128" s="283"/>
      <c r="G128" s="429"/>
      <c r="H128" s="433">
        <v>0.6</v>
      </c>
      <c r="I128" s="873">
        <f t="shared" si="17"/>
        <v>10.806548985070455</v>
      </c>
      <c r="J128" s="99"/>
      <c r="K128" s="233"/>
      <c r="L128" s="74"/>
      <c r="M128" s="279"/>
      <c r="N128" s="280"/>
      <c r="O128" s="283"/>
      <c r="P128" s="429"/>
      <c r="Q128" s="433">
        <v>0.6</v>
      </c>
      <c r="R128" s="364">
        <f t="shared" si="18"/>
        <v>21.61309797014091</v>
      </c>
      <c r="Z128" s="433"/>
    </row>
    <row r="129" spans="2:26" s="72" customFormat="1" ht="12.75" x14ac:dyDescent="0.2">
      <c r="B129" s="233"/>
      <c r="C129" s="74"/>
      <c r="D129" s="279"/>
      <c r="E129" s="280"/>
      <c r="F129" s="283"/>
      <c r="G129" s="429"/>
      <c r="H129" s="433">
        <v>0.55000000000000004</v>
      </c>
      <c r="I129" s="873">
        <f t="shared" si="17"/>
        <v>11.788962529167769</v>
      </c>
      <c r="J129" s="99"/>
      <c r="K129" s="233"/>
      <c r="L129" s="74"/>
      <c r="M129" s="279"/>
      <c r="N129" s="280"/>
      <c r="O129" s="283"/>
      <c r="P129" s="429"/>
      <c r="Q129" s="433">
        <v>0.55000000000000004</v>
      </c>
      <c r="R129" s="364">
        <f t="shared" si="18"/>
        <v>23.577925058335538</v>
      </c>
      <c r="Z129" s="433"/>
    </row>
    <row r="130" spans="2:26" s="72" customFormat="1" ht="12.75" x14ac:dyDescent="0.2">
      <c r="B130" s="233"/>
      <c r="C130" s="74"/>
      <c r="D130" s="279"/>
      <c r="E130" s="280"/>
      <c r="F130" s="283"/>
      <c r="G130" s="429"/>
      <c r="H130" s="433">
        <v>0.5</v>
      </c>
      <c r="I130" s="873">
        <f t="shared" si="17"/>
        <v>12.967858782084546</v>
      </c>
      <c r="J130" s="99"/>
      <c r="K130" s="233"/>
      <c r="L130" s="74"/>
      <c r="M130" s="279"/>
      <c r="N130" s="280"/>
      <c r="O130" s="283"/>
      <c r="P130" s="429"/>
      <c r="Q130" s="433">
        <v>0.5</v>
      </c>
      <c r="R130" s="364">
        <f t="shared" si="18"/>
        <v>25.935717564169092</v>
      </c>
      <c r="Z130" s="433"/>
    </row>
    <row r="131" spans="2:26" s="72" customFormat="1" ht="12.75" x14ac:dyDescent="0.2">
      <c r="B131" s="233" t="s">
        <v>261</v>
      </c>
      <c r="C131" s="74" t="s">
        <v>264</v>
      </c>
      <c r="D131" s="121" t="s">
        <v>262</v>
      </c>
      <c r="E131" s="280">
        <v>365</v>
      </c>
      <c r="F131" s="281">
        <f>C132*E131</f>
        <v>9125</v>
      </c>
      <c r="I131" s="875"/>
      <c r="K131" s="233" t="s">
        <v>261</v>
      </c>
      <c r="L131" s="74" t="s">
        <v>264</v>
      </c>
      <c r="M131" s="121" t="s">
        <v>262</v>
      </c>
      <c r="N131" s="280">
        <v>365</v>
      </c>
      <c r="O131" s="281">
        <f>L132*N131</f>
        <v>9125</v>
      </c>
    </row>
    <row r="132" spans="2:26" s="72" customFormat="1" ht="12.75" x14ac:dyDescent="0.2">
      <c r="B132" s="233"/>
      <c r="C132" s="74">
        <v>25</v>
      </c>
      <c r="D132" s="279" t="s">
        <v>310</v>
      </c>
      <c r="E132" s="280"/>
      <c r="F132" s="283">
        <f>F$97/F131</f>
        <v>5.0948233115495967</v>
      </c>
      <c r="G132" s="429">
        <f>F132*(C98+1)</f>
        <v>5.1871435128338179</v>
      </c>
      <c r="H132" s="433">
        <v>0.9</v>
      </c>
      <c r="I132" s="873">
        <f>$G$132/H132</f>
        <v>5.7634927920375754</v>
      </c>
      <c r="K132" s="233"/>
      <c r="L132" s="74">
        <v>25</v>
      </c>
      <c r="M132" s="279" t="s">
        <v>310</v>
      </c>
      <c r="N132" s="280"/>
      <c r="O132" s="283">
        <f>O$97/O131</f>
        <v>10.189646623099193</v>
      </c>
      <c r="P132" s="429">
        <f>O132*(L98+1)</f>
        <v>10.374287025667636</v>
      </c>
      <c r="Q132" s="433">
        <v>0.9</v>
      </c>
      <c r="R132" s="364">
        <f>$P$132/Q132</f>
        <v>11.526985584075151</v>
      </c>
      <c r="Z132" s="433"/>
    </row>
    <row r="133" spans="2:26" s="72" customFormat="1" ht="12.75" x14ac:dyDescent="0.2">
      <c r="B133" s="233"/>
      <c r="C133" s="74"/>
      <c r="D133" s="279"/>
      <c r="E133" s="280"/>
      <c r="F133" s="283"/>
      <c r="G133" s="429"/>
      <c r="H133" s="433">
        <v>0.85</v>
      </c>
      <c r="I133" s="873">
        <f t="shared" ref="I133:I140" si="19">$G$132/H133</f>
        <v>6.1025217798044915</v>
      </c>
      <c r="K133" s="233"/>
      <c r="L133" s="74"/>
      <c r="M133" s="279"/>
      <c r="N133" s="280"/>
      <c r="O133" s="283"/>
      <c r="P133" s="429"/>
      <c r="Q133" s="433">
        <v>0.85</v>
      </c>
      <c r="R133" s="364">
        <f t="shared" ref="R133:R140" si="20">$P$132/Q133</f>
        <v>12.205043559608983</v>
      </c>
      <c r="Z133" s="433"/>
    </row>
    <row r="134" spans="2:26" s="72" customFormat="1" ht="12.75" x14ac:dyDescent="0.2">
      <c r="B134" s="233"/>
      <c r="C134" s="74"/>
      <c r="D134" s="279"/>
      <c r="E134" s="280"/>
      <c r="F134" s="283"/>
      <c r="G134" s="429"/>
      <c r="H134" s="433">
        <v>0.8</v>
      </c>
      <c r="I134" s="873">
        <f t="shared" si="19"/>
        <v>6.4839293910422722</v>
      </c>
      <c r="K134" s="233"/>
      <c r="L134" s="74"/>
      <c r="M134" s="279"/>
      <c r="N134" s="280"/>
      <c r="O134" s="283"/>
      <c r="P134" s="429"/>
      <c r="Q134" s="433">
        <v>0.8</v>
      </c>
      <c r="R134" s="364">
        <f t="shared" si="20"/>
        <v>12.967858782084544</v>
      </c>
      <c r="Z134" s="433"/>
    </row>
    <row r="135" spans="2:26" s="72" customFormat="1" ht="12.75" x14ac:dyDescent="0.2">
      <c r="B135" s="233"/>
      <c r="C135" s="74"/>
      <c r="D135" s="279"/>
      <c r="E135" s="280"/>
      <c r="F135" s="283"/>
      <c r="G135" s="429"/>
      <c r="H135" s="433">
        <v>0.75</v>
      </c>
      <c r="I135" s="873">
        <f t="shared" si="19"/>
        <v>6.9161913504450903</v>
      </c>
      <c r="K135" s="233"/>
      <c r="L135" s="74"/>
      <c r="M135" s="279"/>
      <c r="N135" s="280"/>
      <c r="O135" s="283"/>
      <c r="P135" s="429"/>
      <c r="Q135" s="433">
        <v>0.75</v>
      </c>
      <c r="R135" s="364">
        <f t="shared" si="20"/>
        <v>13.832382700890181</v>
      </c>
      <c r="Z135" s="433"/>
    </row>
    <row r="136" spans="2:26" s="72" customFormat="1" ht="12.75" x14ac:dyDescent="0.2">
      <c r="B136" s="233"/>
      <c r="C136" s="74"/>
      <c r="D136" s="279"/>
      <c r="E136" s="280"/>
      <c r="F136" s="283"/>
      <c r="G136" s="429"/>
      <c r="H136" s="433">
        <v>0.7</v>
      </c>
      <c r="I136" s="873">
        <f t="shared" si="19"/>
        <v>7.4102050183340262</v>
      </c>
      <c r="K136" s="233"/>
      <c r="L136" s="74"/>
      <c r="M136" s="279"/>
      <c r="N136" s="280"/>
      <c r="O136" s="283"/>
      <c r="P136" s="429"/>
      <c r="Q136" s="433">
        <v>0.7</v>
      </c>
      <c r="R136" s="364">
        <f t="shared" si="20"/>
        <v>14.820410036668052</v>
      </c>
      <c r="Z136" s="433"/>
    </row>
    <row r="137" spans="2:26" s="72" customFormat="1" ht="12.75" x14ac:dyDescent="0.2">
      <c r="B137" s="233"/>
      <c r="C137" s="74"/>
      <c r="D137" s="279"/>
      <c r="E137" s="280"/>
      <c r="F137" s="283"/>
      <c r="G137" s="429"/>
      <c r="H137" s="433">
        <v>0.65</v>
      </c>
      <c r="I137" s="873">
        <f t="shared" si="19"/>
        <v>7.980220788975104</v>
      </c>
      <c r="K137" s="233"/>
      <c r="L137" s="74"/>
      <c r="M137" s="279"/>
      <c r="N137" s="280"/>
      <c r="O137" s="283"/>
      <c r="P137" s="429"/>
      <c r="Q137" s="433">
        <v>0.65</v>
      </c>
      <c r="R137" s="364">
        <f t="shared" si="20"/>
        <v>15.960441577950208</v>
      </c>
      <c r="Z137" s="433"/>
    </row>
    <row r="138" spans="2:26" s="72" customFormat="1" ht="12.75" x14ac:dyDescent="0.2">
      <c r="B138" s="233"/>
      <c r="C138" s="74"/>
      <c r="D138" s="279"/>
      <c r="E138" s="280"/>
      <c r="F138" s="283"/>
      <c r="G138" s="429"/>
      <c r="H138" s="433">
        <v>0.6</v>
      </c>
      <c r="I138" s="873">
        <f t="shared" si="19"/>
        <v>8.6452391880563635</v>
      </c>
      <c r="K138" s="233"/>
      <c r="L138" s="74"/>
      <c r="M138" s="279"/>
      <c r="N138" s="280"/>
      <c r="O138" s="283"/>
      <c r="P138" s="429"/>
      <c r="Q138" s="433">
        <v>0.6</v>
      </c>
      <c r="R138" s="364">
        <f t="shared" si="20"/>
        <v>17.290478376112727</v>
      </c>
      <c r="Z138" s="433"/>
    </row>
    <row r="139" spans="2:26" s="72" customFormat="1" ht="12.75" x14ac:dyDescent="0.2">
      <c r="B139" s="233"/>
      <c r="C139" s="74"/>
      <c r="D139" s="279"/>
      <c r="E139" s="280"/>
      <c r="F139" s="283"/>
      <c r="G139" s="429"/>
      <c r="H139" s="433">
        <v>0.55000000000000004</v>
      </c>
      <c r="I139" s="873">
        <f t="shared" si="19"/>
        <v>9.4311700233342144</v>
      </c>
      <c r="K139" s="233"/>
      <c r="L139" s="74"/>
      <c r="M139" s="279"/>
      <c r="N139" s="280"/>
      <c r="O139" s="283"/>
      <c r="P139" s="429"/>
      <c r="Q139" s="433">
        <v>0.55000000000000004</v>
      </c>
      <c r="R139" s="364">
        <f t="shared" si="20"/>
        <v>18.862340046668429</v>
      </c>
      <c r="Z139" s="433"/>
    </row>
    <row r="140" spans="2:26" s="72" customFormat="1" ht="12.75" x14ac:dyDescent="0.2">
      <c r="B140" s="233"/>
      <c r="C140" s="74"/>
      <c r="D140" s="279"/>
      <c r="E140" s="280"/>
      <c r="F140" s="283"/>
      <c r="G140" s="429"/>
      <c r="H140" s="433">
        <v>0.5</v>
      </c>
      <c r="I140" s="873">
        <f t="shared" si="19"/>
        <v>10.374287025667636</v>
      </c>
      <c r="K140" s="233"/>
      <c r="L140" s="74"/>
      <c r="M140" s="279"/>
      <c r="N140" s="280"/>
      <c r="O140" s="283"/>
      <c r="P140" s="429"/>
      <c r="Q140" s="433">
        <v>0.5</v>
      </c>
      <c r="R140" s="364">
        <f t="shared" si="20"/>
        <v>20.748574051335272</v>
      </c>
      <c r="Z140" s="433"/>
    </row>
    <row r="141" spans="2:26" s="746" customFormat="1" ht="12.75" hidden="1" x14ac:dyDescent="0.2">
      <c r="B141" s="843" t="s">
        <v>261</v>
      </c>
      <c r="C141" s="750" t="s">
        <v>265</v>
      </c>
      <c r="D141" s="759" t="s">
        <v>262</v>
      </c>
      <c r="E141" s="865">
        <v>365</v>
      </c>
      <c r="F141" s="840">
        <f>C142*E141</f>
        <v>10950</v>
      </c>
      <c r="G141" s="857"/>
      <c r="H141" s="866"/>
      <c r="I141" s="857"/>
      <c r="K141" s="843" t="s">
        <v>261</v>
      </c>
      <c r="L141" s="750" t="s">
        <v>265</v>
      </c>
      <c r="M141" s="759" t="s">
        <v>262</v>
      </c>
      <c r="N141" s="865">
        <v>365</v>
      </c>
      <c r="O141" s="840">
        <f>L142*N141</f>
        <v>10950</v>
      </c>
      <c r="Q141" s="866"/>
      <c r="Z141" s="866"/>
    </row>
    <row r="142" spans="2:26" s="746" customFormat="1" ht="12.75" hidden="1" x14ac:dyDescent="0.2">
      <c r="B142" s="843"/>
      <c r="C142" s="750">
        <v>30</v>
      </c>
      <c r="D142" s="868" t="s">
        <v>310</v>
      </c>
      <c r="E142" s="865"/>
      <c r="F142" s="869">
        <f>F$97/F141</f>
        <v>4.2456860929579978</v>
      </c>
      <c r="G142" s="862">
        <f>ROUND(F142*(1+C$98),2)</f>
        <v>4.32</v>
      </c>
      <c r="H142" s="863">
        <v>0.9</v>
      </c>
      <c r="I142" s="867">
        <f>$G$142/H142</f>
        <v>4.8</v>
      </c>
      <c r="K142" s="843"/>
      <c r="L142" s="750">
        <v>30</v>
      </c>
      <c r="M142" s="868" t="s">
        <v>310</v>
      </c>
      <c r="N142" s="865"/>
      <c r="O142" s="869">
        <f>O$97/O141</f>
        <v>8.4913721859159956</v>
      </c>
      <c r="P142" s="862">
        <f>ROUND(O142*(1+L$98),2)</f>
        <v>8.65</v>
      </c>
      <c r="Q142" s="863">
        <v>0.9</v>
      </c>
      <c r="R142" s="867">
        <f>$P$142/Q142</f>
        <v>9.6111111111111107</v>
      </c>
      <c r="Z142" s="863"/>
    </row>
    <row r="143" spans="2:26" s="746" customFormat="1" ht="12.75" hidden="1" x14ac:dyDescent="0.2">
      <c r="B143" s="843"/>
      <c r="C143" s="750"/>
      <c r="D143" s="868"/>
      <c r="E143" s="865"/>
      <c r="F143" s="869"/>
      <c r="G143" s="862"/>
      <c r="H143" s="863">
        <v>0.85</v>
      </c>
      <c r="I143" s="867">
        <f t="shared" ref="I143:I150" si="21">$G$142/H143</f>
        <v>5.0823529411764712</v>
      </c>
      <c r="K143" s="843"/>
      <c r="L143" s="750"/>
      <c r="M143" s="868"/>
      <c r="N143" s="865"/>
      <c r="O143" s="869"/>
      <c r="P143" s="862"/>
      <c r="Q143" s="863">
        <v>0.85</v>
      </c>
      <c r="R143" s="867">
        <f t="shared" ref="R143:R150" si="22">$P$142/Q143</f>
        <v>10.176470588235295</v>
      </c>
      <c r="Z143" s="863"/>
    </row>
    <row r="144" spans="2:26" s="746" customFormat="1" ht="12.75" hidden="1" x14ac:dyDescent="0.2">
      <c r="B144" s="843"/>
      <c r="C144" s="750"/>
      <c r="D144" s="868"/>
      <c r="E144" s="865"/>
      <c r="F144" s="869"/>
      <c r="G144" s="862"/>
      <c r="H144" s="863">
        <v>0.8</v>
      </c>
      <c r="I144" s="867">
        <f t="shared" si="21"/>
        <v>5.4</v>
      </c>
      <c r="K144" s="843"/>
      <c r="L144" s="750"/>
      <c r="M144" s="868"/>
      <c r="N144" s="865"/>
      <c r="O144" s="869"/>
      <c r="P144" s="862"/>
      <c r="Q144" s="863">
        <v>0.8</v>
      </c>
      <c r="R144" s="867">
        <f t="shared" si="22"/>
        <v>10.8125</v>
      </c>
      <c r="Z144" s="863"/>
    </row>
    <row r="145" spans="2:26" s="746" customFormat="1" ht="12.75" hidden="1" x14ac:dyDescent="0.2">
      <c r="B145" s="843"/>
      <c r="C145" s="750"/>
      <c r="D145" s="868"/>
      <c r="E145" s="865"/>
      <c r="F145" s="869"/>
      <c r="G145" s="862"/>
      <c r="H145" s="863">
        <v>0.75</v>
      </c>
      <c r="I145" s="867">
        <f t="shared" si="21"/>
        <v>5.7600000000000007</v>
      </c>
      <c r="K145" s="843"/>
      <c r="L145" s="750"/>
      <c r="M145" s="868"/>
      <c r="N145" s="865"/>
      <c r="O145" s="869"/>
      <c r="P145" s="862"/>
      <c r="Q145" s="863">
        <v>0.75</v>
      </c>
      <c r="R145" s="867">
        <f t="shared" si="22"/>
        <v>11.533333333333333</v>
      </c>
      <c r="Z145" s="863"/>
    </row>
    <row r="146" spans="2:26" s="746" customFormat="1" ht="12.75" hidden="1" x14ac:dyDescent="0.2">
      <c r="B146" s="843"/>
      <c r="C146" s="750"/>
      <c r="D146" s="868"/>
      <c r="E146" s="865"/>
      <c r="F146" s="869"/>
      <c r="G146" s="862"/>
      <c r="H146" s="863">
        <v>0.7</v>
      </c>
      <c r="I146" s="867">
        <f t="shared" si="21"/>
        <v>6.1714285714285726</v>
      </c>
      <c r="K146" s="843"/>
      <c r="L146" s="750"/>
      <c r="M146" s="868"/>
      <c r="N146" s="865"/>
      <c r="O146" s="869"/>
      <c r="P146" s="862"/>
      <c r="Q146" s="863">
        <v>0.7</v>
      </c>
      <c r="R146" s="867">
        <f t="shared" si="22"/>
        <v>12.357142857142858</v>
      </c>
      <c r="Z146" s="863"/>
    </row>
    <row r="147" spans="2:26" s="746" customFormat="1" ht="12.75" hidden="1" x14ac:dyDescent="0.2">
      <c r="B147" s="843"/>
      <c r="C147" s="750"/>
      <c r="D147" s="868"/>
      <c r="E147" s="865"/>
      <c r="F147" s="869"/>
      <c r="G147" s="862"/>
      <c r="H147" s="863">
        <v>0.65</v>
      </c>
      <c r="I147" s="867">
        <f t="shared" si="21"/>
        <v>6.6461538461538465</v>
      </c>
      <c r="K147" s="843"/>
      <c r="L147" s="750"/>
      <c r="M147" s="868"/>
      <c r="N147" s="865"/>
      <c r="O147" s="869"/>
      <c r="P147" s="862"/>
      <c r="Q147" s="863">
        <v>0.65</v>
      </c>
      <c r="R147" s="867">
        <f t="shared" si="22"/>
        <v>13.307692307692308</v>
      </c>
      <c r="Z147" s="863"/>
    </row>
    <row r="148" spans="2:26" s="746" customFormat="1" ht="12.75" hidden="1" x14ac:dyDescent="0.2">
      <c r="B148" s="843"/>
      <c r="C148" s="750"/>
      <c r="D148" s="868"/>
      <c r="E148" s="865"/>
      <c r="F148" s="869"/>
      <c r="G148" s="862"/>
      <c r="H148" s="863">
        <v>0.6</v>
      </c>
      <c r="I148" s="867">
        <f t="shared" si="21"/>
        <v>7.2000000000000011</v>
      </c>
      <c r="K148" s="843"/>
      <c r="L148" s="750"/>
      <c r="M148" s="868"/>
      <c r="N148" s="865"/>
      <c r="O148" s="869"/>
      <c r="P148" s="862"/>
      <c r="Q148" s="863">
        <v>0.6</v>
      </c>
      <c r="R148" s="867">
        <f t="shared" si="22"/>
        <v>14.416666666666668</v>
      </c>
      <c r="Z148" s="863"/>
    </row>
    <row r="149" spans="2:26" s="746" customFormat="1" ht="12.75" hidden="1" x14ac:dyDescent="0.2">
      <c r="B149" s="843"/>
      <c r="C149" s="750"/>
      <c r="D149" s="868"/>
      <c r="E149" s="865"/>
      <c r="F149" s="869"/>
      <c r="G149" s="862"/>
      <c r="H149" s="863">
        <v>0.55000000000000004</v>
      </c>
      <c r="I149" s="867">
        <f t="shared" si="21"/>
        <v>7.8545454545454545</v>
      </c>
      <c r="K149" s="843"/>
      <c r="L149" s="750"/>
      <c r="M149" s="868"/>
      <c r="N149" s="865"/>
      <c r="O149" s="869"/>
      <c r="P149" s="862"/>
      <c r="Q149" s="863">
        <v>0.55000000000000004</v>
      </c>
      <c r="R149" s="867">
        <f t="shared" si="22"/>
        <v>15.727272727272727</v>
      </c>
      <c r="Z149" s="863"/>
    </row>
    <row r="150" spans="2:26" s="747" customFormat="1" hidden="1" x14ac:dyDescent="0.2">
      <c r="H150" s="863">
        <v>0.5</v>
      </c>
      <c r="I150" s="867">
        <f t="shared" si="21"/>
        <v>8.64</v>
      </c>
      <c r="Q150" s="863">
        <v>0.5</v>
      </c>
      <c r="R150" s="867">
        <f t="shared" si="22"/>
        <v>17.3</v>
      </c>
      <c r="V150" s="746"/>
      <c r="W150" s="746"/>
      <c r="Z150" s="863"/>
    </row>
    <row r="151" spans="2:26" ht="15" thickBot="1" x14ac:dyDescent="0.25"/>
    <row r="152" spans="2:26" s="72" customFormat="1" ht="13.5" thickBot="1" x14ac:dyDescent="0.25">
      <c r="B152" s="84" t="s">
        <v>316</v>
      </c>
      <c r="K152" s="73"/>
      <c r="L152" s="73"/>
      <c r="M152" s="73"/>
      <c r="N152" s="73"/>
    </row>
    <row r="153" spans="2:26" s="72" customFormat="1" ht="13.5" thickBot="1" x14ac:dyDescent="0.25">
      <c r="B153" s="78"/>
      <c r="C153" s="74"/>
      <c r="D153" s="90"/>
      <c r="E153" s="91"/>
      <c r="F153" s="92"/>
      <c r="G153" s="92"/>
      <c r="H153" s="75"/>
      <c r="I153" s="92"/>
      <c r="J153" s="92"/>
      <c r="K153" s="78"/>
      <c r="L153" s="74"/>
      <c r="M153" s="90"/>
      <c r="N153" s="91"/>
      <c r="O153" s="92"/>
      <c r="P153" s="125"/>
      <c r="Q153" s="75"/>
      <c r="R153" s="125"/>
      <c r="V153" s="1152" t="s">
        <v>249</v>
      </c>
      <c r="W153" s="1153"/>
      <c r="Z153" s="75"/>
    </row>
    <row r="154" spans="2:26" s="72" customFormat="1" ht="13.15" customHeight="1" thickTop="1" thickBot="1" x14ac:dyDescent="0.25">
      <c r="D154" s="96" t="s">
        <v>270</v>
      </c>
      <c r="G154" s="98"/>
      <c r="H154" s="281"/>
      <c r="I154" s="98"/>
      <c r="J154" s="98"/>
      <c r="M154" s="96" t="s">
        <v>270</v>
      </c>
      <c r="P154" s="97"/>
      <c r="Q154" s="281"/>
      <c r="R154" s="97"/>
      <c r="V154" s="230" t="s">
        <v>317</v>
      </c>
      <c r="W154" s="722">
        <f>'Youth Res Rate Models'!AC12</f>
        <v>34055.717454304911</v>
      </c>
      <c r="Z154" s="281"/>
    </row>
    <row r="155" spans="2:26" s="72" customFormat="1" ht="12.75" x14ac:dyDescent="0.2">
      <c r="D155" s="231">
        <v>0.5</v>
      </c>
      <c r="G155" s="98"/>
      <c r="H155" s="281"/>
      <c r="I155" s="98"/>
      <c r="J155" s="98"/>
      <c r="M155" s="231">
        <v>1</v>
      </c>
      <c r="P155" s="97"/>
      <c r="Q155" s="281"/>
      <c r="R155" s="97"/>
      <c r="Z155" s="281"/>
    </row>
    <row r="156" spans="2:26" s="72" customFormat="1" ht="12.75" x14ac:dyDescent="0.2">
      <c r="G156" s="229"/>
      <c r="H156" s="220"/>
      <c r="I156" s="229"/>
      <c r="P156" s="125"/>
      <c r="Q156" s="220"/>
      <c r="R156" s="125"/>
      <c r="Z156" s="220"/>
    </row>
    <row r="157" spans="2:26" s="72" customFormat="1" ht="12.75" x14ac:dyDescent="0.2">
      <c r="C157" s="125"/>
      <c r="D157" s="232" t="s">
        <v>304</v>
      </c>
      <c r="E157" s="232" t="s">
        <v>270</v>
      </c>
      <c r="F157" s="232" t="s">
        <v>305</v>
      </c>
      <c r="L157" s="125"/>
      <c r="M157" s="232" t="s">
        <v>304</v>
      </c>
      <c r="N157" s="232" t="s">
        <v>270</v>
      </c>
      <c r="O157" s="232" t="s">
        <v>305</v>
      </c>
      <c r="P157" s="125"/>
      <c r="R157" s="125"/>
    </row>
    <row r="158" spans="2:26" s="72" customFormat="1" ht="12.75" x14ac:dyDescent="0.2">
      <c r="B158" s="233" t="s">
        <v>338</v>
      </c>
      <c r="D158" s="37">
        <f>W154</f>
        <v>34055.717454304911</v>
      </c>
      <c r="E158" s="278">
        <f>D155</f>
        <v>0.5</v>
      </c>
      <c r="F158" s="234">
        <f>E158*D158</f>
        <v>17027.858727152456</v>
      </c>
      <c r="K158" s="233" t="s">
        <v>338</v>
      </c>
      <c r="M158" s="37">
        <f>W154</f>
        <v>34055.717454304911</v>
      </c>
      <c r="N158" s="278">
        <f>M155</f>
        <v>1</v>
      </c>
      <c r="O158" s="234">
        <f>N158*M158</f>
        <v>34055.717454304911</v>
      </c>
      <c r="P158" s="125"/>
      <c r="R158" s="125"/>
    </row>
    <row r="159" spans="2:26" s="72" customFormat="1" ht="12.75" x14ac:dyDescent="0.2">
      <c r="B159" s="233" t="s">
        <v>308</v>
      </c>
      <c r="C159" s="235">
        <f>'Rate Options'!$AJ$30</f>
        <v>0.25578770213785851</v>
      </c>
      <c r="D159" s="234"/>
      <c r="E159" s="234"/>
      <c r="F159" s="234">
        <f>F158*C159</f>
        <v>4355.516856146407</v>
      </c>
      <c r="G159" s="232"/>
      <c r="H159" s="232"/>
      <c r="I159" s="232"/>
      <c r="K159" s="233" t="s">
        <v>308</v>
      </c>
      <c r="L159" s="235">
        <f>'Rate Options'!$AJ$30</f>
        <v>0.25578770213785851</v>
      </c>
      <c r="M159" s="234"/>
      <c r="N159" s="234"/>
      <c r="O159" s="234">
        <f>O158*L159</f>
        <v>8711.033712292814</v>
      </c>
      <c r="P159" s="125"/>
      <c r="Q159" s="232"/>
      <c r="R159" s="125"/>
      <c r="Z159" s="232"/>
    </row>
    <row r="160" spans="2:26" s="72" customFormat="1" ht="12.75" x14ac:dyDescent="0.2">
      <c r="B160" s="233" t="s">
        <v>309</v>
      </c>
      <c r="C160" s="235">
        <f>C95</f>
        <v>0.121061</v>
      </c>
      <c r="D160" s="234"/>
      <c r="E160" s="234"/>
      <c r="F160" s="234">
        <f>SUM(F158:F159)*C160</f>
        <v>2588.6928314897436</v>
      </c>
      <c r="G160" s="234"/>
      <c r="H160" s="234"/>
      <c r="I160" s="234"/>
      <c r="K160" s="233" t="s">
        <v>309</v>
      </c>
      <c r="L160" s="235">
        <f>L95</f>
        <v>0.121061</v>
      </c>
      <c r="M160" s="234"/>
      <c r="N160" s="234"/>
      <c r="O160" s="234">
        <f>SUM(O158:O159)*L160</f>
        <v>5177.3856629794873</v>
      </c>
      <c r="P160" s="125"/>
      <c r="Q160" s="234"/>
      <c r="R160" s="125"/>
      <c r="Z160" s="234"/>
    </row>
    <row r="161" spans="2:26" s="72" customFormat="1" ht="12.75" x14ac:dyDescent="0.2">
      <c r="B161" s="1024" t="s">
        <v>539</v>
      </c>
      <c r="C161" s="1025">
        <f>C32</f>
        <v>7.4999999999999997E-3</v>
      </c>
      <c r="D161" s="1026"/>
      <c r="E161" s="1026"/>
      <c r="F161" s="1026">
        <f>F158*C161</f>
        <v>127.70894045364341</v>
      </c>
      <c r="G161" s="234"/>
      <c r="H161" s="234"/>
      <c r="I161" s="234"/>
      <c r="K161" s="1024" t="s">
        <v>539</v>
      </c>
      <c r="L161" s="1025">
        <f>C32</f>
        <v>7.4999999999999997E-3</v>
      </c>
      <c r="M161" s="1026"/>
      <c r="N161" s="1026"/>
      <c r="O161" s="1026">
        <f>O158*L161</f>
        <v>255.41788090728681</v>
      </c>
      <c r="P161" s="125"/>
      <c r="Q161" s="234"/>
      <c r="R161" s="125"/>
      <c r="Z161" s="234"/>
    </row>
    <row r="162" spans="2:26" s="72" customFormat="1" ht="12.75" x14ac:dyDescent="0.2">
      <c r="B162" s="236" t="s">
        <v>288</v>
      </c>
      <c r="C162" s="237"/>
      <c r="D162" s="237"/>
      <c r="E162" s="237"/>
      <c r="F162" s="238">
        <f>SUM(F158:F161)</f>
        <v>24099.777355242248</v>
      </c>
      <c r="G162" s="234"/>
      <c r="H162" s="234"/>
      <c r="I162" s="234"/>
      <c r="K162" s="236" t="s">
        <v>288</v>
      </c>
      <c r="L162" s="237"/>
      <c r="M162" s="237"/>
      <c r="N162" s="237"/>
      <c r="O162" s="238">
        <f>SUM(O158:O161)</f>
        <v>48199.554710484495</v>
      </c>
      <c r="P162" s="125"/>
      <c r="Q162" s="234"/>
      <c r="R162" s="125"/>
      <c r="Z162" s="234"/>
    </row>
    <row r="163" spans="2:26" s="72" customFormat="1" ht="13.15" customHeight="1" x14ac:dyDescent="0.2">
      <c r="B163" s="94" t="s">
        <v>290</v>
      </c>
      <c r="C163" s="428">
        <f>C98</f>
        <v>1.8120393120392975E-2</v>
      </c>
      <c r="D163" s="96"/>
      <c r="E163" s="96"/>
      <c r="F163" s="229"/>
      <c r="G163" s="234"/>
      <c r="H163" s="234"/>
      <c r="I163" s="234"/>
      <c r="K163" s="94" t="s">
        <v>290</v>
      </c>
      <c r="L163" s="428">
        <f>C163</f>
        <v>1.8120393120392975E-2</v>
      </c>
      <c r="M163" s="96"/>
      <c r="N163" s="96"/>
      <c r="O163" s="229"/>
      <c r="P163" s="125"/>
      <c r="Q163" s="234"/>
      <c r="R163" s="125"/>
      <c r="Z163" s="234"/>
    </row>
    <row r="164" spans="2:26" s="72" customFormat="1" ht="12.75" x14ac:dyDescent="0.2">
      <c r="C164" s="240"/>
      <c r="D164" s="96"/>
      <c r="E164" s="96"/>
      <c r="F164" s="241"/>
      <c r="G164" s="239"/>
      <c r="H164" s="239"/>
      <c r="I164" s="239"/>
      <c r="L164" s="240"/>
      <c r="M164" s="96"/>
      <c r="N164" s="96"/>
      <c r="O164" s="241"/>
      <c r="P164" s="125"/>
      <c r="Q164" s="239"/>
      <c r="R164" s="125"/>
      <c r="Z164" s="239"/>
    </row>
    <row r="165" spans="2:26" s="72" customFormat="1" ht="12.75" x14ac:dyDescent="0.2">
      <c r="B165" s="94"/>
      <c r="C165" s="240"/>
      <c r="D165" s="96"/>
      <c r="E165" s="96"/>
      <c r="F165" s="241"/>
      <c r="G165" s="229"/>
      <c r="H165" s="220"/>
      <c r="I165" s="229"/>
      <c r="K165" s="94"/>
      <c r="L165" s="240"/>
      <c r="M165" s="96"/>
      <c r="N165" s="96"/>
      <c r="O165" s="241"/>
      <c r="P165" s="125"/>
      <c r="Q165" s="220"/>
      <c r="R165" s="125"/>
      <c r="Z165" s="220"/>
    </row>
    <row r="166" spans="2:26" s="72" customFormat="1" ht="12.75" x14ac:dyDescent="0.2">
      <c r="B166" s="233" t="s">
        <v>261</v>
      </c>
      <c r="C166" s="295" t="s">
        <v>339</v>
      </c>
      <c r="D166" s="121" t="s">
        <v>262</v>
      </c>
      <c r="E166" s="280">
        <v>365</v>
      </c>
      <c r="F166" s="281">
        <f>E166*C167</f>
        <v>4380</v>
      </c>
      <c r="G166" s="432" t="s">
        <v>378</v>
      </c>
      <c r="H166" s="357" t="s">
        <v>377</v>
      </c>
      <c r="I166" s="98"/>
      <c r="J166" s="99"/>
      <c r="K166" s="233" t="s">
        <v>261</v>
      </c>
      <c r="L166" s="295" t="s">
        <v>339</v>
      </c>
      <c r="M166" s="121" t="s">
        <v>262</v>
      </c>
      <c r="N166" s="280">
        <v>365</v>
      </c>
      <c r="O166" s="281">
        <f>N166*L167</f>
        <v>4380</v>
      </c>
      <c r="P166" s="98" t="s">
        <v>378</v>
      </c>
      <c r="Q166" s="357" t="s">
        <v>377</v>
      </c>
      <c r="R166" s="98"/>
      <c r="Z166" s="357"/>
    </row>
    <row r="167" spans="2:26" s="72" customFormat="1" ht="12.75" x14ac:dyDescent="0.2">
      <c r="B167" s="233"/>
      <c r="C167" s="74">
        <v>12</v>
      </c>
      <c r="D167" s="279" t="s">
        <v>310</v>
      </c>
      <c r="E167" s="280"/>
      <c r="F167" s="283">
        <f>F$162/F166</f>
        <v>5.5022322728863582</v>
      </c>
      <c r="G167" s="429">
        <f>F167*(C163+1)</f>
        <v>5.6019348847107731</v>
      </c>
      <c r="H167" s="433">
        <v>0.9</v>
      </c>
      <c r="I167" s="873">
        <f>$G$167/H167</f>
        <v>6.2243720941230807</v>
      </c>
      <c r="J167" s="99"/>
      <c r="K167" s="233"/>
      <c r="L167" s="74">
        <v>12</v>
      </c>
      <c r="M167" s="279" t="s">
        <v>310</v>
      </c>
      <c r="N167" s="280"/>
      <c r="O167" s="283">
        <f>O$162/O166</f>
        <v>11.004464545772716</v>
      </c>
      <c r="P167" s="429">
        <f>O167*(L163+1)</f>
        <v>11.203869769421546</v>
      </c>
      <c r="Q167" s="433">
        <v>0.9</v>
      </c>
      <c r="R167" s="873">
        <f>$P$167/Q167</f>
        <v>12.448744188246161</v>
      </c>
      <c r="Z167" s="433"/>
    </row>
    <row r="168" spans="2:26" s="72" customFormat="1" ht="12.75" x14ac:dyDescent="0.2">
      <c r="B168" s="233"/>
      <c r="C168" s="74"/>
      <c r="D168" s="279"/>
      <c r="E168" s="280"/>
      <c r="F168" s="283"/>
      <c r="G168" s="429"/>
      <c r="H168" s="433">
        <v>0.85</v>
      </c>
      <c r="I168" s="873">
        <f t="shared" ref="I168:I175" si="23">$G$167/H168</f>
        <v>6.5905116290714982</v>
      </c>
      <c r="J168" s="99"/>
      <c r="K168" s="233"/>
      <c r="L168" s="74"/>
      <c r="M168" s="279"/>
      <c r="N168" s="280"/>
      <c r="O168" s="283"/>
      <c r="P168" s="429"/>
      <c r="Q168" s="433">
        <v>0.85</v>
      </c>
      <c r="R168" s="873">
        <f t="shared" ref="R168:R175" si="24">$P$167/Q168</f>
        <v>13.181023258142996</v>
      </c>
      <c r="Z168" s="433"/>
    </row>
    <row r="169" spans="2:26" s="72" customFormat="1" ht="12.75" x14ac:dyDescent="0.2">
      <c r="B169" s="233"/>
      <c r="C169" s="74"/>
      <c r="D169" s="279"/>
      <c r="E169" s="280"/>
      <c r="F169" s="283"/>
      <c r="G169" s="429"/>
      <c r="H169" s="433">
        <v>0.8</v>
      </c>
      <c r="I169" s="873">
        <f t="shared" si="23"/>
        <v>7.0024186058884661</v>
      </c>
      <c r="J169" s="99"/>
      <c r="K169" s="233"/>
      <c r="L169" s="74"/>
      <c r="M169" s="279"/>
      <c r="N169" s="280"/>
      <c r="O169" s="283"/>
      <c r="P169" s="429"/>
      <c r="Q169" s="433">
        <v>0.8</v>
      </c>
      <c r="R169" s="873">
        <f t="shared" si="24"/>
        <v>14.004837211776932</v>
      </c>
      <c r="Z169" s="433"/>
    </row>
    <row r="170" spans="2:26" s="72" customFormat="1" ht="12.75" x14ac:dyDescent="0.2">
      <c r="B170" s="233"/>
      <c r="C170" s="74"/>
      <c r="D170" s="279"/>
      <c r="E170" s="280"/>
      <c r="F170" s="283"/>
      <c r="G170" s="429"/>
      <c r="H170" s="433">
        <v>0.75</v>
      </c>
      <c r="I170" s="873">
        <f t="shared" si="23"/>
        <v>7.4692465129476977</v>
      </c>
      <c r="J170" s="99"/>
      <c r="K170" s="233"/>
      <c r="L170" s="74"/>
      <c r="M170" s="279"/>
      <c r="N170" s="280"/>
      <c r="O170" s="283"/>
      <c r="P170" s="429"/>
      <c r="Q170" s="433">
        <v>0.75</v>
      </c>
      <c r="R170" s="873">
        <f t="shared" si="24"/>
        <v>14.938493025895395</v>
      </c>
      <c r="Z170" s="433"/>
    </row>
    <row r="171" spans="2:26" s="72" customFormat="1" ht="12.75" x14ac:dyDescent="0.2">
      <c r="B171" s="233"/>
      <c r="C171" s="74"/>
      <c r="D171" s="279"/>
      <c r="E171" s="280"/>
      <c r="F171" s="283"/>
      <c r="G171" s="429"/>
      <c r="H171" s="433">
        <v>0.7</v>
      </c>
      <c r="I171" s="873">
        <f t="shared" si="23"/>
        <v>8.0027641210153906</v>
      </c>
      <c r="J171" s="99"/>
      <c r="K171" s="233"/>
      <c r="L171" s="74"/>
      <c r="M171" s="279"/>
      <c r="N171" s="280"/>
      <c r="O171" s="283"/>
      <c r="P171" s="429"/>
      <c r="Q171" s="433">
        <v>0.7</v>
      </c>
      <c r="R171" s="873">
        <f t="shared" si="24"/>
        <v>16.005528242030781</v>
      </c>
      <c r="Z171" s="433"/>
    </row>
    <row r="172" spans="2:26" s="72" customFormat="1" ht="12.75" x14ac:dyDescent="0.2">
      <c r="B172" s="233"/>
      <c r="C172" s="74"/>
      <c r="D172" s="279"/>
      <c r="E172" s="280"/>
      <c r="F172" s="283"/>
      <c r="G172" s="429"/>
      <c r="H172" s="433">
        <v>0.65</v>
      </c>
      <c r="I172" s="873">
        <f t="shared" si="23"/>
        <v>8.6183613610934966</v>
      </c>
      <c r="J172" s="99"/>
      <c r="K172" s="233"/>
      <c r="L172" s="74"/>
      <c r="M172" s="279"/>
      <c r="N172" s="280"/>
      <c r="O172" s="283"/>
      <c r="P172" s="429"/>
      <c r="Q172" s="433">
        <v>0.65</v>
      </c>
      <c r="R172" s="873">
        <f t="shared" si="24"/>
        <v>17.236722722186993</v>
      </c>
      <c r="Z172" s="433"/>
    </row>
    <row r="173" spans="2:26" s="72" customFormat="1" ht="12.75" x14ac:dyDescent="0.2">
      <c r="B173" s="233"/>
      <c r="C173" s="74"/>
      <c r="D173" s="279"/>
      <c r="E173" s="280"/>
      <c r="F173" s="283"/>
      <c r="G173" s="429"/>
      <c r="H173" s="433">
        <v>0.6</v>
      </c>
      <c r="I173" s="873">
        <f t="shared" si="23"/>
        <v>9.3365581411846215</v>
      </c>
      <c r="J173" s="99"/>
      <c r="K173" s="233"/>
      <c r="L173" s="74"/>
      <c r="M173" s="279"/>
      <c r="N173" s="280"/>
      <c r="O173" s="283"/>
      <c r="P173" s="429"/>
      <c r="Q173" s="433">
        <v>0.6</v>
      </c>
      <c r="R173" s="873">
        <f t="shared" si="24"/>
        <v>18.673116282369243</v>
      </c>
      <c r="Z173" s="433"/>
    </row>
    <row r="174" spans="2:26" s="72" customFormat="1" ht="12.75" x14ac:dyDescent="0.2">
      <c r="B174" s="233"/>
      <c r="C174" s="74"/>
      <c r="D174" s="279"/>
      <c r="E174" s="280"/>
      <c r="F174" s="283"/>
      <c r="G174" s="429"/>
      <c r="H174" s="433">
        <v>0.55000000000000004</v>
      </c>
      <c r="I174" s="873">
        <f t="shared" si="23"/>
        <v>10.185336154019586</v>
      </c>
      <c r="J174" s="99"/>
      <c r="K174" s="233"/>
      <c r="L174" s="74"/>
      <c r="M174" s="279"/>
      <c r="N174" s="280"/>
      <c r="O174" s="283"/>
      <c r="P174" s="429"/>
      <c r="Q174" s="433">
        <v>0.55000000000000004</v>
      </c>
      <c r="R174" s="873">
        <f t="shared" si="24"/>
        <v>20.370672308039172</v>
      </c>
      <c r="Z174" s="433"/>
    </row>
    <row r="175" spans="2:26" s="72" customFormat="1" ht="12.75" x14ac:dyDescent="0.2">
      <c r="B175" s="233"/>
      <c r="C175" s="74"/>
      <c r="D175" s="279"/>
      <c r="E175" s="280"/>
      <c r="F175" s="283"/>
      <c r="G175" s="429"/>
      <c r="H175" s="433">
        <v>0.5</v>
      </c>
      <c r="I175" s="873">
        <f t="shared" si="23"/>
        <v>11.203869769421546</v>
      </c>
      <c r="J175" s="99"/>
      <c r="K175" s="233"/>
      <c r="L175" s="74"/>
      <c r="M175" s="279"/>
      <c r="N175" s="280"/>
      <c r="O175" s="283"/>
      <c r="P175" s="429"/>
      <c r="Q175" s="433">
        <v>0.5</v>
      </c>
      <c r="R175" s="873">
        <f t="shared" si="24"/>
        <v>22.407739538843092</v>
      </c>
      <c r="Z175" s="433"/>
    </row>
    <row r="176" spans="2:26" s="72" customFormat="1" ht="12.75" x14ac:dyDescent="0.2">
      <c r="B176" s="233" t="s">
        <v>261</v>
      </c>
      <c r="C176" s="282" t="s">
        <v>340</v>
      </c>
      <c r="D176" s="121" t="s">
        <v>262</v>
      </c>
      <c r="E176" s="280">
        <v>365</v>
      </c>
      <c r="F176" s="281">
        <f>C177*E176</f>
        <v>5657.5</v>
      </c>
      <c r="G176" s="241"/>
      <c r="H176" s="326"/>
      <c r="I176" s="874"/>
      <c r="K176" s="233" t="s">
        <v>261</v>
      </c>
      <c r="L176" s="282" t="s">
        <v>340</v>
      </c>
      <c r="M176" s="121" t="s">
        <v>262</v>
      </c>
      <c r="N176" s="280">
        <v>365</v>
      </c>
      <c r="O176" s="281">
        <f>L177*N176</f>
        <v>5657.5</v>
      </c>
      <c r="Q176" s="326"/>
      <c r="R176" s="875"/>
      <c r="Z176" s="326"/>
    </row>
    <row r="177" spans="2:26" s="72" customFormat="1" ht="12.75" x14ac:dyDescent="0.2">
      <c r="B177" s="233"/>
      <c r="C177" s="74">
        <v>15.5</v>
      </c>
      <c r="D177" s="279" t="s">
        <v>310</v>
      </c>
      <c r="E177" s="280"/>
      <c r="F177" s="283">
        <f>F$162/F176</f>
        <v>4.2597927273958902</v>
      </c>
      <c r="G177" s="429">
        <f>F177*(C163+1)</f>
        <v>4.3369818462276948</v>
      </c>
      <c r="H177" s="433">
        <v>0.9</v>
      </c>
      <c r="I177" s="873">
        <f>$G$177/H177</f>
        <v>4.8188687180307719</v>
      </c>
      <c r="K177" s="233"/>
      <c r="L177" s="74">
        <v>15.5</v>
      </c>
      <c r="M177" s="279" t="s">
        <v>310</v>
      </c>
      <c r="N177" s="280"/>
      <c r="O177" s="283">
        <f>O$162/O176</f>
        <v>8.5195854547917804</v>
      </c>
      <c r="P177" s="429">
        <f>O177*(L163+1)</f>
        <v>8.6739636924553896</v>
      </c>
      <c r="Q177" s="433">
        <v>0.9</v>
      </c>
      <c r="R177" s="873">
        <f>$P$177/Q177</f>
        <v>9.6377374360615438</v>
      </c>
      <c r="Z177" s="433"/>
    </row>
    <row r="178" spans="2:26" s="72" customFormat="1" ht="12.75" x14ac:dyDescent="0.2">
      <c r="B178" s="233"/>
      <c r="C178" s="74"/>
      <c r="D178" s="279"/>
      <c r="E178" s="280"/>
      <c r="F178" s="283"/>
      <c r="G178" s="429"/>
      <c r="H178" s="433">
        <v>0.85</v>
      </c>
      <c r="I178" s="873">
        <f t="shared" ref="I178:I185" si="25">$G$177/H178</f>
        <v>5.1023315837972882</v>
      </c>
      <c r="K178" s="233"/>
      <c r="L178" s="74"/>
      <c r="M178" s="279"/>
      <c r="N178" s="280"/>
      <c r="O178" s="283"/>
      <c r="P178" s="429"/>
      <c r="Q178" s="433">
        <v>0.85</v>
      </c>
      <c r="R178" s="873">
        <f t="shared" ref="R178:R185" si="26">$P$177/Q178</f>
        <v>10.204663167594576</v>
      </c>
      <c r="Z178" s="433"/>
    </row>
    <row r="179" spans="2:26" s="72" customFormat="1" ht="12.75" x14ac:dyDescent="0.2">
      <c r="B179" s="233"/>
      <c r="C179" s="74"/>
      <c r="D179" s="279"/>
      <c r="E179" s="280"/>
      <c r="F179" s="283"/>
      <c r="G179" s="429"/>
      <c r="H179" s="433">
        <v>0.8</v>
      </c>
      <c r="I179" s="873">
        <f t="shared" si="25"/>
        <v>5.4212273077846183</v>
      </c>
      <c r="K179" s="233"/>
      <c r="L179" s="74"/>
      <c r="M179" s="279"/>
      <c r="N179" s="280"/>
      <c r="O179" s="283"/>
      <c r="P179" s="429"/>
      <c r="Q179" s="433">
        <v>0.8</v>
      </c>
      <c r="R179" s="873">
        <f t="shared" si="26"/>
        <v>10.842454615569237</v>
      </c>
      <c r="Z179" s="433"/>
    </row>
    <row r="180" spans="2:26" s="72" customFormat="1" ht="12.75" x14ac:dyDescent="0.2">
      <c r="B180" s="233"/>
      <c r="C180" s="74"/>
      <c r="D180" s="279"/>
      <c r="E180" s="280"/>
      <c r="F180" s="283"/>
      <c r="G180" s="429"/>
      <c r="H180" s="433">
        <v>0.75</v>
      </c>
      <c r="I180" s="873">
        <f t="shared" si="25"/>
        <v>5.7826424616369261</v>
      </c>
      <c r="K180" s="233"/>
      <c r="L180" s="74"/>
      <c r="M180" s="279"/>
      <c r="N180" s="280"/>
      <c r="O180" s="283"/>
      <c r="P180" s="429"/>
      <c r="Q180" s="433">
        <v>0.75</v>
      </c>
      <c r="R180" s="873">
        <f t="shared" si="26"/>
        <v>11.565284923273852</v>
      </c>
      <c r="Z180" s="433"/>
    </row>
    <row r="181" spans="2:26" s="72" customFormat="1" ht="12.75" x14ac:dyDescent="0.2">
      <c r="B181" s="233"/>
      <c r="C181" s="74"/>
      <c r="D181" s="279"/>
      <c r="E181" s="280"/>
      <c r="F181" s="283"/>
      <c r="G181" s="429"/>
      <c r="H181" s="433">
        <v>0.7</v>
      </c>
      <c r="I181" s="873">
        <f t="shared" si="25"/>
        <v>6.1956883517538497</v>
      </c>
      <c r="K181" s="233"/>
      <c r="L181" s="74"/>
      <c r="M181" s="279"/>
      <c r="N181" s="280"/>
      <c r="O181" s="283"/>
      <c r="P181" s="429"/>
      <c r="Q181" s="433">
        <v>0.7</v>
      </c>
      <c r="R181" s="873">
        <f t="shared" si="26"/>
        <v>12.391376703507699</v>
      </c>
      <c r="Z181" s="433"/>
    </row>
    <row r="182" spans="2:26" s="72" customFormat="1" ht="12.75" x14ac:dyDescent="0.2">
      <c r="B182" s="233"/>
      <c r="C182" s="74"/>
      <c r="D182" s="279"/>
      <c r="E182" s="280"/>
      <c r="F182" s="283"/>
      <c r="G182" s="429"/>
      <c r="H182" s="433">
        <v>0.65</v>
      </c>
      <c r="I182" s="873">
        <f t="shared" si="25"/>
        <v>6.6722797634272224</v>
      </c>
      <c r="K182" s="233"/>
      <c r="L182" s="74"/>
      <c r="M182" s="279"/>
      <c r="N182" s="280"/>
      <c r="O182" s="283"/>
      <c r="P182" s="429"/>
      <c r="Q182" s="433">
        <v>0.65</v>
      </c>
      <c r="R182" s="873">
        <f t="shared" si="26"/>
        <v>13.344559526854445</v>
      </c>
      <c r="Z182" s="433"/>
    </row>
    <row r="183" spans="2:26" s="72" customFormat="1" ht="12.75" x14ac:dyDescent="0.2">
      <c r="B183" s="233"/>
      <c r="C183" s="74"/>
      <c r="D183" s="279"/>
      <c r="E183" s="280"/>
      <c r="F183" s="283"/>
      <c r="G183" s="429"/>
      <c r="H183" s="433">
        <v>0.6</v>
      </c>
      <c r="I183" s="873">
        <f t="shared" si="25"/>
        <v>7.2283030770461583</v>
      </c>
      <c r="K183" s="233"/>
      <c r="L183" s="74"/>
      <c r="M183" s="279"/>
      <c r="N183" s="280"/>
      <c r="O183" s="283"/>
      <c r="P183" s="429"/>
      <c r="Q183" s="433">
        <v>0.6</v>
      </c>
      <c r="R183" s="873">
        <f t="shared" si="26"/>
        <v>14.456606154092317</v>
      </c>
      <c r="Z183" s="433"/>
    </row>
    <row r="184" spans="2:26" s="72" customFormat="1" ht="12.75" x14ac:dyDescent="0.2">
      <c r="B184" s="233"/>
      <c r="C184" s="74"/>
      <c r="D184" s="279"/>
      <c r="E184" s="280"/>
      <c r="F184" s="283"/>
      <c r="G184" s="429"/>
      <c r="H184" s="433">
        <v>0.55000000000000004</v>
      </c>
      <c r="I184" s="873">
        <f t="shared" si="25"/>
        <v>7.885421538595808</v>
      </c>
      <c r="K184" s="233"/>
      <c r="L184" s="74"/>
      <c r="M184" s="279"/>
      <c r="N184" s="280"/>
      <c r="O184" s="283"/>
      <c r="P184" s="429"/>
      <c r="Q184" s="433">
        <v>0.55000000000000004</v>
      </c>
      <c r="R184" s="873">
        <f t="shared" si="26"/>
        <v>15.770843077191616</v>
      </c>
      <c r="Z184" s="433"/>
    </row>
    <row r="185" spans="2:26" s="72" customFormat="1" ht="12.75" x14ac:dyDescent="0.2">
      <c r="B185" s="233"/>
      <c r="C185" s="74"/>
      <c r="D185" s="279"/>
      <c r="E185" s="280"/>
      <c r="F185" s="283"/>
      <c r="G185" s="429"/>
      <c r="H185" s="433">
        <v>0.5</v>
      </c>
      <c r="I185" s="873">
        <f t="shared" si="25"/>
        <v>8.6739636924553896</v>
      </c>
      <c r="K185" s="233"/>
      <c r="L185" s="74"/>
      <c r="M185" s="279"/>
      <c r="N185" s="280"/>
      <c r="O185" s="283"/>
      <c r="P185" s="429"/>
      <c r="Q185" s="433">
        <v>0.5</v>
      </c>
      <c r="R185" s="873">
        <f t="shared" si="26"/>
        <v>17.347927384910779</v>
      </c>
      <c r="Z185" s="433"/>
    </row>
    <row r="186" spans="2:26" s="72" customFormat="1" ht="12.75" x14ac:dyDescent="0.2">
      <c r="B186" s="233" t="s">
        <v>261</v>
      </c>
      <c r="C186" s="74" t="s">
        <v>263</v>
      </c>
      <c r="D186" s="121" t="s">
        <v>262</v>
      </c>
      <c r="E186" s="280">
        <v>365</v>
      </c>
      <c r="F186" s="281">
        <f>C187*E186</f>
        <v>7300</v>
      </c>
      <c r="G186" s="99"/>
      <c r="H186" s="435"/>
      <c r="I186" s="835"/>
      <c r="J186" s="99"/>
      <c r="K186" s="233" t="s">
        <v>261</v>
      </c>
      <c r="L186" s="74" t="s">
        <v>263</v>
      </c>
      <c r="M186" s="121" t="s">
        <v>262</v>
      </c>
      <c r="N186" s="280">
        <v>365</v>
      </c>
      <c r="O186" s="281">
        <f>L187*N186</f>
        <v>7300</v>
      </c>
      <c r="Q186" s="435"/>
      <c r="R186" s="875"/>
      <c r="Z186" s="435"/>
    </row>
    <row r="187" spans="2:26" s="72" customFormat="1" ht="12.75" x14ac:dyDescent="0.2">
      <c r="B187" s="233"/>
      <c r="C187" s="74">
        <v>20</v>
      </c>
      <c r="D187" s="279" t="s">
        <v>310</v>
      </c>
      <c r="E187" s="280"/>
      <c r="F187" s="283">
        <f>F$162/F186</f>
        <v>3.3013393637318149</v>
      </c>
      <c r="G187" s="429">
        <f>F187*(C163+1)</f>
        <v>3.3611609308264638</v>
      </c>
      <c r="H187" s="433">
        <v>0.9</v>
      </c>
      <c r="I187" s="873">
        <f>$G$187/H187</f>
        <v>3.7346232564738484</v>
      </c>
      <c r="J187" s="99"/>
      <c r="K187" s="233"/>
      <c r="L187" s="74">
        <v>20</v>
      </c>
      <c r="M187" s="279" t="s">
        <v>310</v>
      </c>
      <c r="N187" s="280"/>
      <c r="O187" s="283">
        <f>O$162/O186</f>
        <v>6.6026787274636298</v>
      </c>
      <c r="P187" s="429">
        <f>O187*(L163+1)</f>
        <v>6.7223218616529277</v>
      </c>
      <c r="Q187" s="433">
        <v>0.9</v>
      </c>
      <c r="R187" s="873">
        <f>$P$187/Q187</f>
        <v>7.4692465129476968</v>
      </c>
      <c r="Z187" s="433"/>
    </row>
    <row r="188" spans="2:26" s="72" customFormat="1" ht="12.75" x14ac:dyDescent="0.2">
      <c r="B188" s="233"/>
      <c r="C188" s="74"/>
      <c r="D188" s="279"/>
      <c r="E188" s="280"/>
      <c r="F188" s="283"/>
      <c r="G188" s="429"/>
      <c r="H188" s="433">
        <v>0.85</v>
      </c>
      <c r="I188" s="873">
        <f t="shared" ref="I188:I195" si="27">$G$187/H188</f>
        <v>3.9543069774428989</v>
      </c>
      <c r="J188" s="99"/>
      <c r="K188" s="233"/>
      <c r="L188" s="74"/>
      <c r="M188" s="279"/>
      <c r="N188" s="280"/>
      <c r="O188" s="283"/>
      <c r="P188" s="429"/>
      <c r="Q188" s="433">
        <v>0.85</v>
      </c>
      <c r="R188" s="873">
        <f t="shared" ref="R188:R195" si="28">$P$187/Q188</f>
        <v>7.9086139548857979</v>
      </c>
      <c r="Z188" s="433"/>
    </row>
    <row r="189" spans="2:26" s="72" customFormat="1" ht="12.75" x14ac:dyDescent="0.2">
      <c r="B189" s="233"/>
      <c r="C189" s="74"/>
      <c r="D189" s="279"/>
      <c r="E189" s="280"/>
      <c r="F189" s="283"/>
      <c r="G189" s="429"/>
      <c r="H189" s="433">
        <v>0.8</v>
      </c>
      <c r="I189" s="873">
        <f t="shared" si="27"/>
        <v>4.2014511635330791</v>
      </c>
      <c r="J189" s="99"/>
      <c r="K189" s="233"/>
      <c r="L189" s="74"/>
      <c r="M189" s="279"/>
      <c r="N189" s="280"/>
      <c r="O189" s="283"/>
      <c r="P189" s="429"/>
      <c r="Q189" s="433">
        <v>0.8</v>
      </c>
      <c r="R189" s="873">
        <f t="shared" si="28"/>
        <v>8.4029023270661583</v>
      </c>
      <c r="Z189" s="433"/>
    </row>
    <row r="190" spans="2:26" s="72" customFormat="1" ht="12.75" x14ac:dyDescent="0.2">
      <c r="B190" s="233"/>
      <c r="C190" s="74"/>
      <c r="D190" s="279"/>
      <c r="E190" s="280"/>
      <c r="F190" s="283"/>
      <c r="G190" s="429"/>
      <c r="H190" s="433">
        <v>0.75</v>
      </c>
      <c r="I190" s="873">
        <f t="shared" si="27"/>
        <v>4.4815479077686184</v>
      </c>
      <c r="J190" s="99"/>
      <c r="K190" s="233"/>
      <c r="L190" s="74"/>
      <c r="M190" s="279"/>
      <c r="N190" s="280"/>
      <c r="O190" s="283"/>
      <c r="P190" s="429"/>
      <c r="Q190" s="433">
        <v>0.75</v>
      </c>
      <c r="R190" s="873">
        <f t="shared" si="28"/>
        <v>8.9630958155372369</v>
      </c>
      <c r="Z190" s="433"/>
    </row>
    <row r="191" spans="2:26" s="72" customFormat="1" ht="12.75" x14ac:dyDescent="0.2">
      <c r="B191" s="233"/>
      <c r="C191" s="74"/>
      <c r="D191" s="279"/>
      <c r="E191" s="280"/>
      <c r="F191" s="283"/>
      <c r="G191" s="429"/>
      <c r="H191" s="433">
        <v>0.7</v>
      </c>
      <c r="I191" s="873">
        <f t="shared" si="27"/>
        <v>4.8016584726092342</v>
      </c>
      <c r="J191" s="99"/>
      <c r="K191" s="233"/>
      <c r="L191" s="74"/>
      <c r="M191" s="279"/>
      <c r="N191" s="280"/>
      <c r="O191" s="283"/>
      <c r="P191" s="429"/>
      <c r="Q191" s="433">
        <v>0.7</v>
      </c>
      <c r="R191" s="873">
        <f t="shared" si="28"/>
        <v>9.6033169452184683</v>
      </c>
      <c r="Z191" s="433"/>
    </row>
    <row r="192" spans="2:26" s="72" customFormat="1" ht="12.75" x14ac:dyDescent="0.2">
      <c r="B192" s="233"/>
      <c r="C192" s="74"/>
      <c r="D192" s="279"/>
      <c r="E192" s="280"/>
      <c r="F192" s="283"/>
      <c r="G192" s="429"/>
      <c r="H192" s="433">
        <v>0.65</v>
      </c>
      <c r="I192" s="873">
        <f t="shared" si="27"/>
        <v>5.1710168166560981</v>
      </c>
      <c r="J192" s="99"/>
      <c r="K192" s="233"/>
      <c r="L192" s="74"/>
      <c r="M192" s="279"/>
      <c r="N192" s="280"/>
      <c r="O192" s="283"/>
      <c r="P192" s="429"/>
      <c r="Q192" s="433">
        <v>0.65</v>
      </c>
      <c r="R192" s="873">
        <f t="shared" si="28"/>
        <v>10.342033633312196</v>
      </c>
      <c r="Z192" s="433"/>
    </row>
    <row r="193" spans="2:26" s="72" customFormat="1" ht="12.75" x14ac:dyDescent="0.2">
      <c r="B193" s="233"/>
      <c r="C193" s="74"/>
      <c r="D193" s="279"/>
      <c r="E193" s="280"/>
      <c r="F193" s="283"/>
      <c r="G193" s="429"/>
      <c r="H193" s="433">
        <v>0.6</v>
      </c>
      <c r="I193" s="873">
        <f t="shared" si="27"/>
        <v>5.6019348847107731</v>
      </c>
      <c r="J193" s="99"/>
      <c r="K193" s="233"/>
      <c r="L193" s="74"/>
      <c r="M193" s="279"/>
      <c r="N193" s="280"/>
      <c r="O193" s="283"/>
      <c r="P193" s="429"/>
      <c r="Q193" s="433">
        <v>0.6</v>
      </c>
      <c r="R193" s="873">
        <f t="shared" si="28"/>
        <v>11.203869769421546</v>
      </c>
      <c r="Z193" s="433"/>
    </row>
    <row r="194" spans="2:26" s="72" customFormat="1" ht="12.75" x14ac:dyDescent="0.2">
      <c r="B194" s="233"/>
      <c r="C194" s="74"/>
      <c r="D194" s="279"/>
      <c r="E194" s="280"/>
      <c r="F194" s="283"/>
      <c r="G194" s="429"/>
      <c r="H194" s="433">
        <v>0.55000000000000004</v>
      </c>
      <c r="I194" s="873">
        <f t="shared" si="27"/>
        <v>6.1112016924117523</v>
      </c>
      <c r="J194" s="99"/>
      <c r="K194" s="233"/>
      <c r="L194" s="74"/>
      <c r="M194" s="279"/>
      <c r="N194" s="280"/>
      <c r="O194" s="283"/>
      <c r="P194" s="429"/>
      <c r="Q194" s="433">
        <v>0.55000000000000004</v>
      </c>
      <c r="R194" s="873">
        <f t="shared" si="28"/>
        <v>12.222403384823505</v>
      </c>
      <c r="Z194" s="433"/>
    </row>
    <row r="195" spans="2:26" s="72" customFormat="1" ht="12.75" x14ac:dyDescent="0.2">
      <c r="B195" s="233"/>
      <c r="C195" s="74"/>
      <c r="D195" s="279"/>
      <c r="E195" s="280"/>
      <c r="F195" s="283"/>
      <c r="G195" s="429"/>
      <c r="H195" s="433">
        <v>0.5</v>
      </c>
      <c r="I195" s="873">
        <f t="shared" si="27"/>
        <v>6.7223218616529277</v>
      </c>
      <c r="J195" s="99"/>
      <c r="K195" s="233"/>
      <c r="L195" s="74"/>
      <c r="M195" s="279"/>
      <c r="N195" s="280"/>
      <c r="O195" s="283"/>
      <c r="P195" s="429"/>
      <c r="Q195" s="433">
        <v>0.5</v>
      </c>
      <c r="R195" s="873">
        <f t="shared" si="28"/>
        <v>13.444643723305855</v>
      </c>
      <c r="Z195" s="433"/>
    </row>
    <row r="196" spans="2:26" s="72" customFormat="1" ht="12.75" x14ac:dyDescent="0.2">
      <c r="B196" s="233" t="s">
        <v>261</v>
      </c>
      <c r="C196" s="74" t="s">
        <v>264</v>
      </c>
      <c r="D196" s="121" t="s">
        <v>262</v>
      </c>
      <c r="E196" s="280">
        <v>365</v>
      </c>
      <c r="F196" s="281">
        <f>C197*E196</f>
        <v>9125</v>
      </c>
      <c r="I196" s="875"/>
      <c r="K196" s="233" t="s">
        <v>261</v>
      </c>
      <c r="L196" s="74" t="s">
        <v>264</v>
      </c>
      <c r="M196" s="121" t="s">
        <v>262</v>
      </c>
      <c r="N196" s="280">
        <v>365</v>
      </c>
      <c r="O196" s="281">
        <f>L197*N196</f>
        <v>9125</v>
      </c>
      <c r="R196" s="875"/>
    </row>
    <row r="197" spans="2:26" s="72" customFormat="1" ht="12.75" x14ac:dyDescent="0.2">
      <c r="B197" s="233"/>
      <c r="C197" s="74">
        <v>25</v>
      </c>
      <c r="D197" s="279" t="s">
        <v>310</v>
      </c>
      <c r="E197" s="280"/>
      <c r="F197" s="283">
        <f>F$162/F196</f>
        <v>2.641071490985452</v>
      </c>
      <c r="G197" s="429">
        <f>F197*(C163+1)</f>
        <v>2.6889287446611712</v>
      </c>
      <c r="H197" s="433">
        <v>0.9</v>
      </c>
      <c r="I197" s="873">
        <f>$G$197/H197</f>
        <v>2.9876986051790788</v>
      </c>
      <c r="K197" s="233"/>
      <c r="L197" s="74">
        <v>25</v>
      </c>
      <c r="M197" s="279" t="s">
        <v>310</v>
      </c>
      <c r="N197" s="280"/>
      <c r="O197" s="283">
        <f>O$162/O196</f>
        <v>5.282142981970904</v>
      </c>
      <c r="P197" s="429">
        <f>O197*(L163+1)</f>
        <v>5.3778574893223423</v>
      </c>
      <c r="Q197" s="433">
        <v>0.9</v>
      </c>
      <c r="R197" s="873">
        <f>$P$197/Q197</f>
        <v>5.9753972103581576</v>
      </c>
      <c r="Z197" s="433"/>
    </row>
    <row r="198" spans="2:26" s="72" customFormat="1" ht="12.75" x14ac:dyDescent="0.2">
      <c r="B198" s="233"/>
      <c r="C198" s="74"/>
      <c r="D198" s="279"/>
      <c r="E198" s="280"/>
      <c r="F198" s="283"/>
      <c r="G198" s="429"/>
      <c r="H198" s="433">
        <v>0.85</v>
      </c>
      <c r="I198" s="873">
        <f t="shared" ref="I198:I205" si="29">$G$197/H198</f>
        <v>3.1634455819543192</v>
      </c>
      <c r="K198" s="233"/>
      <c r="L198" s="74"/>
      <c r="M198" s="279"/>
      <c r="N198" s="280"/>
      <c r="O198" s="283"/>
      <c r="P198" s="429"/>
      <c r="Q198" s="433">
        <v>0.85</v>
      </c>
      <c r="R198" s="873">
        <f t="shared" ref="R198:R205" si="30">$P$197/Q198</f>
        <v>6.3268911639086385</v>
      </c>
      <c r="Z198" s="433"/>
    </row>
    <row r="199" spans="2:26" s="72" customFormat="1" ht="12.75" x14ac:dyDescent="0.2">
      <c r="B199" s="233"/>
      <c r="C199" s="74"/>
      <c r="D199" s="279"/>
      <c r="E199" s="280"/>
      <c r="F199" s="283"/>
      <c r="G199" s="429"/>
      <c r="H199" s="433">
        <v>0.8</v>
      </c>
      <c r="I199" s="873">
        <f t="shared" si="29"/>
        <v>3.3611609308264638</v>
      </c>
      <c r="K199" s="233"/>
      <c r="L199" s="74"/>
      <c r="M199" s="279"/>
      <c r="N199" s="280"/>
      <c r="O199" s="283"/>
      <c r="P199" s="429"/>
      <c r="Q199" s="433">
        <v>0.8</v>
      </c>
      <c r="R199" s="873">
        <f t="shared" si="30"/>
        <v>6.7223218616529277</v>
      </c>
      <c r="Z199" s="433"/>
    </row>
    <row r="200" spans="2:26" s="72" customFormat="1" ht="12.75" x14ac:dyDescent="0.2">
      <c r="B200" s="233"/>
      <c r="C200" s="74"/>
      <c r="D200" s="279"/>
      <c r="E200" s="280"/>
      <c r="F200" s="283"/>
      <c r="G200" s="429"/>
      <c r="H200" s="433">
        <v>0.75</v>
      </c>
      <c r="I200" s="873">
        <f t="shared" si="29"/>
        <v>3.585238326214895</v>
      </c>
      <c r="K200" s="233"/>
      <c r="L200" s="74"/>
      <c r="M200" s="279"/>
      <c r="N200" s="280"/>
      <c r="O200" s="283"/>
      <c r="P200" s="429"/>
      <c r="Q200" s="433">
        <v>0.75</v>
      </c>
      <c r="R200" s="873">
        <f t="shared" si="30"/>
        <v>7.17047665242979</v>
      </c>
      <c r="Z200" s="433"/>
    </row>
    <row r="201" spans="2:26" s="72" customFormat="1" ht="12.75" x14ac:dyDescent="0.2">
      <c r="B201" s="233"/>
      <c r="C201" s="74"/>
      <c r="D201" s="279"/>
      <c r="E201" s="280"/>
      <c r="F201" s="283"/>
      <c r="G201" s="429"/>
      <c r="H201" s="433">
        <v>0.7</v>
      </c>
      <c r="I201" s="873">
        <f t="shared" si="29"/>
        <v>3.8413267780873874</v>
      </c>
      <c r="K201" s="233"/>
      <c r="L201" s="74"/>
      <c r="M201" s="279"/>
      <c r="N201" s="280"/>
      <c r="O201" s="283"/>
      <c r="P201" s="429"/>
      <c r="Q201" s="433">
        <v>0.7</v>
      </c>
      <c r="R201" s="873">
        <f t="shared" si="30"/>
        <v>7.6826535561747749</v>
      </c>
      <c r="Z201" s="433"/>
    </row>
    <row r="202" spans="2:26" s="72" customFormat="1" ht="12.75" x14ac:dyDescent="0.2">
      <c r="B202" s="233"/>
      <c r="C202" s="74"/>
      <c r="D202" s="279"/>
      <c r="E202" s="280"/>
      <c r="F202" s="283"/>
      <c r="G202" s="429"/>
      <c r="H202" s="433">
        <v>0.65</v>
      </c>
      <c r="I202" s="873">
        <f t="shared" si="29"/>
        <v>4.1368134533248782</v>
      </c>
      <c r="K202" s="233"/>
      <c r="L202" s="74"/>
      <c r="M202" s="279"/>
      <c r="N202" s="280"/>
      <c r="O202" s="283"/>
      <c r="P202" s="429"/>
      <c r="Q202" s="433">
        <v>0.65</v>
      </c>
      <c r="R202" s="873">
        <f t="shared" si="30"/>
        <v>8.2736269066497563</v>
      </c>
      <c r="Z202" s="433"/>
    </row>
    <row r="203" spans="2:26" s="72" customFormat="1" ht="12.75" x14ac:dyDescent="0.2">
      <c r="B203" s="233"/>
      <c r="C203" s="74"/>
      <c r="D203" s="279"/>
      <c r="E203" s="280"/>
      <c r="F203" s="283"/>
      <c r="G203" s="429"/>
      <c r="H203" s="433">
        <v>0.6</v>
      </c>
      <c r="I203" s="873">
        <f t="shared" si="29"/>
        <v>4.4815479077686184</v>
      </c>
      <c r="K203" s="233"/>
      <c r="L203" s="74"/>
      <c r="M203" s="279"/>
      <c r="N203" s="280"/>
      <c r="O203" s="283"/>
      <c r="P203" s="429"/>
      <c r="Q203" s="433">
        <v>0.6</v>
      </c>
      <c r="R203" s="873">
        <f t="shared" si="30"/>
        <v>8.9630958155372369</v>
      </c>
      <c r="Z203" s="433"/>
    </row>
    <row r="204" spans="2:26" s="72" customFormat="1" ht="12.75" x14ac:dyDescent="0.2">
      <c r="B204" s="233"/>
      <c r="C204" s="74"/>
      <c r="D204" s="279"/>
      <c r="E204" s="280"/>
      <c r="F204" s="283"/>
      <c r="G204" s="429"/>
      <c r="H204" s="433">
        <v>0.55000000000000004</v>
      </c>
      <c r="I204" s="873">
        <f t="shared" si="29"/>
        <v>4.8889613539294015</v>
      </c>
      <c r="K204" s="233"/>
      <c r="L204" s="74"/>
      <c r="M204" s="279"/>
      <c r="N204" s="280"/>
      <c r="O204" s="283"/>
      <c r="P204" s="429"/>
      <c r="Q204" s="433">
        <v>0.55000000000000004</v>
      </c>
      <c r="R204" s="873">
        <f t="shared" si="30"/>
        <v>9.7779227078588029</v>
      </c>
      <c r="Z204" s="433"/>
    </row>
    <row r="205" spans="2:26" s="72" customFormat="1" ht="12.75" x14ac:dyDescent="0.2">
      <c r="B205" s="233"/>
      <c r="C205" s="74"/>
      <c r="D205" s="279"/>
      <c r="E205" s="280"/>
      <c r="F205" s="283"/>
      <c r="G205" s="429"/>
      <c r="H205" s="433">
        <v>0.5</v>
      </c>
      <c r="I205" s="873">
        <f t="shared" si="29"/>
        <v>5.3778574893223423</v>
      </c>
      <c r="K205" s="233"/>
      <c r="L205" s="74"/>
      <c r="M205" s="279"/>
      <c r="N205" s="280"/>
      <c r="O205" s="283"/>
      <c r="P205" s="429"/>
      <c r="Q205" s="433">
        <v>0.5</v>
      </c>
      <c r="R205" s="873">
        <f t="shared" si="30"/>
        <v>10.755714978644685</v>
      </c>
      <c r="Z205" s="433"/>
    </row>
    <row r="206" spans="2:26" s="746" customFormat="1" ht="12.75" hidden="1" x14ac:dyDescent="0.2">
      <c r="B206" s="843" t="s">
        <v>261</v>
      </c>
      <c r="C206" s="750" t="s">
        <v>265</v>
      </c>
      <c r="D206" s="759" t="s">
        <v>262</v>
      </c>
      <c r="E206" s="865">
        <v>365</v>
      </c>
      <c r="F206" s="840">
        <f>C207*E206</f>
        <v>10950</v>
      </c>
      <c r="G206" s="857"/>
      <c r="H206" s="866"/>
      <c r="I206" s="857"/>
      <c r="K206" s="843" t="s">
        <v>261</v>
      </c>
      <c r="L206" s="750" t="s">
        <v>265</v>
      </c>
      <c r="M206" s="759" t="s">
        <v>262</v>
      </c>
      <c r="N206" s="865">
        <v>365</v>
      </c>
      <c r="O206" s="840">
        <f>L207*N206</f>
        <v>10950</v>
      </c>
      <c r="Q206" s="866"/>
      <c r="Z206" s="866"/>
    </row>
    <row r="207" spans="2:26" s="746" customFormat="1" ht="12.75" hidden="1" x14ac:dyDescent="0.2">
      <c r="B207" s="843"/>
      <c r="C207" s="750">
        <v>30</v>
      </c>
      <c r="D207" s="868" t="s">
        <v>310</v>
      </c>
      <c r="E207" s="865"/>
      <c r="F207" s="869">
        <f>F$162/F206</f>
        <v>2.2008929091545433</v>
      </c>
      <c r="G207" s="862">
        <f>ROUND(F207*(1+C$163),2)</f>
        <v>2.2400000000000002</v>
      </c>
      <c r="H207" s="863">
        <v>0.9</v>
      </c>
      <c r="I207" s="867">
        <f>$G$207/H207</f>
        <v>2.4888888888888889</v>
      </c>
      <c r="K207" s="843"/>
      <c r="L207" s="750">
        <v>30</v>
      </c>
      <c r="M207" s="868" t="s">
        <v>310</v>
      </c>
      <c r="N207" s="865"/>
      <c r="O207" s="869">
        <f>O$162/O206</f>
        <v>4.4017858183090866</v>
      </c>
      <c r="P207" s="862">
        <f>ROUND(O207*(1+L$163),2)</f>
        <v>4.4800000000000004</v>
      </c>
      <c r="Q207" s="863">
        <v>0.9</v>
      </c>
      <c r="R207" s="867">
        <f>$P$207/Q207</f>
        <v>4.9777777777777779</v>
      </c>
      <c r="Z207" s="863"/>
    </row>
    <row r="208" spans="2:26" s="746" customFormat="1" ht="12.75" hidden="1" x14ac:dyDescent="0.2">
      <c r="G208" s="857"/>
      <c r="H208" s="863">
        <v>0.85</v>
      </c>
      <c r="I208" s="867">
        <f t="shared" ref="I208:I215" si="31">$G$207/H208</f>
        <v>2.6352941176470592</v>
      </c>
      <c r="Q208" s="863">
        <v>0.85</v>
      </c>
      <c r="R208" s="867">
        <f t="shared" ref="R208:R215" si="32">$P$207/Q208</f>
        <v>5.2705882352941185</v>
      </c>
      <c r="Z208" s="863"/>
    </row>
    <row r="209" spans="8:26" s="747" customFormat="1" hidden="1" x14ac:dyDescent="0.2">
      <c r="H209" s="863">
        <v>0.8</v>
      </c>
      <c r="I209" s="867">
        <f t="shared" si="31"/>
        <v>2.8000000000000003</v>
      </c>
      <c r="Q209" s="863">
        <v>0.8</v>
      </c>
      <c r="R209" s="867">
        <f t="shared" si="32"/>
        <v>5.6000000000000005</v>
      </c>
      <c r="Z209" s="863"/>
    </row>
    <row r="210" spans="8:26" s="747" customFormat="1" hidden="1" x14ac:dyDescent="0.2">
      <c r="H210" s="863">
        <v>0.75</v>
      </c>
      <c r="I210" s="867">
        <f t="shared" si="31"/>
        <v>2.9866666666666668</v>
      </c>
      <c r="Q210" s="863">
        <v>0.75</v>
      </c>
      <c r="R210" s="867">
        <f t="shared" si="32"/>
        <v>5.9733333333333336</v>
      </c>
      <c r="Z210" s="863"/>
    </row>
    <row r="211" spans="8:26" s="747" customFormat="1" hidden="1" x14ac:dyDescent="0.2">
      <c r="H211" s="863">
        <v>0.7</v>
      </c>
      <c r="I211" s="867">
        <f t="shared" si="31"/>
        <v>3.2000000000000006</v>
      </c>
      <c r="Q211" s="863">
        <v>0.7</v>
      </c>
      <c r="R211" s="867">
        <f t="shared" si="32"/>
        <v>6.4000000000000012</v>
      </c>
      <c r="Z211" s="863"/>
    </row>
    <row r="212" spans="8:26" s="747" customFormat="1" hidden="1" x14ac:dyDescent="0.2">
      <c r="H212" s="863">
        <v>0.65</v>
      </c>
      <c r="I212" s="867">
        <f t="shared" si="31"/>
        <v>3.4461538461538463</v>
      </c>
      <c r="Q212" s="863">
        <v>0.65</v>
      </c>
      <c r="R212" s="867">
        <f t="shared" si="32"/>
        <v>6.8923076923076927</v>
      </c>
      <c r="Z212" s="863"/>
    </row>
    <row r="213" spans="8:26" s="747" customFormat="1" hidden="1" x14ac:dyDescent="0.2">
      <c r="H213" s="863">
        <v>0.6</v>
      </c>
      <c r="I213" s="867">
        <f t="shared" si="31"/>
        <v>3.7333333333333338</v>
      </c>
      <c r="Q213" s="863">
        <v>0.6</v>
      </c>
      <c r="R213" s="867">
        <f t="shared" si="32"/>
        <v>7.4666666666666677</v>
      </c>
      <c r="Z213" s="863"/>
    </row>
    <row r="214" spans="8:26" s="747" customFormat="1" hidden="1" x14ac:dyDescent="0.2">
      <c r="H214" s="863">
        <v>0.55000000000000004</v>
      </c>
      <c r="I214" s="867">
        <f t="shared" si="31"/>
        <v>4.0727272727272732</v>
      </c>
      <c r="Q214" s="863">
        <v>0.55000000000000004</v>
      </c>
      <c r="R214" s="867">
        <f t="shared" si="32"/>
        <v>8.1454545454545464</v>
      </c>
      <c r="Z214" s="863"/>
    </row>
    <row r="215" spans="8:26" s="747" customFormat="1" hidden="1" x14ac:dyDescent="0.2">
      <c r="H215" s="863">
        <v>0.5</v>
      </c>
      <c r="I215" s="867">
        <f t="shared" si="31"/>
        <v>4.4800000000000004</v>
      </c>
      <c r="Q215" s="863">
        <v>0.5</v>
      </c>
      <c r="R215" s="867">
        <f t="shared" si="32"/>
        <v>8.9600000000000009</v>
      </c>
      <c r="Z215" s="863"/>
    </row>
    <row r="216" spans="8:26" s="747" customFormat="1" hidden="1" x14ac:dyDescent="0.2">
      <c r="H216" s="876"/>
      <c r="Q216" s="876"/>
      <c r="Z216" s="876"/>
    </row>
    <row r="217" spans="8:26" s="747" customFormat="1" hidden="1" x14ac:dyDescent="0.2">
      <c r="H217" s="876"/>
      <c r="Q217" s="876"/>
      <c r="Z217" s="876"/>
    </row>
    <row r="218" spans="8:26" s="747" customFormat="1" hidden="1" x14ac:dyDescent="0.2">
      <c r="H218" s="876"/>
      <c r="Q218" s="876"/>
      <c r="Z218" s="876"/>
    </row>
  </sheetData>
  <mergeCells count="5">
    <mergeCell ref="B1:C1"/>
    <mergeCell ref="V24:W24"/>
    <mergeCell ref="V153:W153"/>
    <mergeCell ref="V88:W88"/>
    <mergeCell ref="AB7:AC7"/>
  </mergeCells>
  <phoneticPr fontId="9" type="noConversion"/>
  <printOptions horizontalCentered="1"/>
  <pageMargins left="0" right="0" top="0.56999999999999995" bottom="0.37" header="0.32" footer="0.23"/>
  <pageSetup scale="33" orientation="portrait" r:id="rId1"/>
  <headerFooter alignWithMargins="0">
    <oddHeader>&amp;C&amp;"Arial,Bold Italic"&amp;20YOUTH INTERMEDIATE TERM ADD-ON  RATES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9" workbookViewId="0">
      <selection activeCell="H39" sqref="H39"/>
    </sheetView>
  </sheetViews>
  <sheetFormatPr defaultRowHeight="14.25" x14ac:dyDescent="0.2"/>
  <cols>
    <col min="1" max="1" width="34.75" customWidth="1"/>
    <col min="2" max="2" width="9.5" bestFit="1" customWidth="1"/>
    <col min="3" max="3" width="12.125" bestFit="1" customWidth="1"/>
    <col min="5" max="6" width="11.125" bestFit="1" customWidth="1"/>
    <col min="10" max="10" width="12.125" bestFit="1" customWidth="1"/>
  </cols>
  <sheetData>
    <row r="1" spans="1:14" x14ac:dyDescent="0.2">
      <c r="A1" t="s">
        <v>406</v>
      </c>
    </row>
    <row r="2" spans="1:14" ht="8.4499999999999993" customHeight="1" x14ac:dyDescent="0.2"/>
    <row r="3" spans="1:14" hidden="1" x14ac:dyDescent="0.2"/>
    <row r="4" spans="1:14" ht="15" thickBot="1" x14ac:dyDescent="0.25"/>
    <row r="5" spans="1:14" ht="36.75" thickBot="1" x14ac:dyDescent="0.25">
      <c r="A5" s="920" t="s">
        <v>407</v>
      </c>
      <c r="B5" s="921" t="s">
        <v>408</v>
      </c>
      <c r="C5" s="921" t="s">
        <v>409</v>
      </c>
      <c r="D5" s="922">
        <v>2500</v>
      </c>
      <c r="E5" s="923" t="s">
        <v>410</v>
      </c>
      <c r="F5" s="922" t="s">
        <v>411</v>
      </c>
      <c r="G5" s="922" t="s">
        <v>412</v>
      </c>
      <c r="H5" s="922" t="s">
        <v>413</v>
      </c>
      <c r="I5" s="922" t="s">
        <v>414</v>
      </c>
      <c r="J5" s="924">
        <v>2522</v>
      </c>
      <c r="K5" s="925"/>
      <c r="L5" s="925"/>
      <c r="M5" s="925"/>
      <c r="N5" s="925"/>
    </row>
    <row r="6" spans="1:14" x14ac:dyDescent="0.2">
      <c r="A6" s="926" t="s">
        <v>415</v>
      </c>
      <c r="B6" s="927">
        <v>431248</v>
      </c>
      <c r="C6" s="928">
        <v>431248</v>
      </c>
      <c r="D6" s="928"/>
      <c r="E6" s="929"/>
      <c r="F6" s="928"/>
      <c r="G6" s="928"/>
      <c r="H6" s="928"/>
      <c r="I6" s="928">
        <v>431248</v>
      </c>
      <c r="J6" s="930"/>
      <c r="K6" s="877"/>
      <c r="L6" s="877"/>
      <c r="M6" s="877"/>
      <c r="N6" s="877"/>
    </row>
    <row r="7" spans="1:14" x14ac:dyDescent="0.2">
      <c r="A7" s="931" t="s">
        <v>416</v>
      </c>
      <c r="B7" s="932">
        <v>1686092</v>
      </c>
      <c r="C7" s="933">
        <v>1686092</v>
      </c>
      <c r="D7" s="933"/>
      <c r="E7" s="934"/>
      <c r="F7" s="933"/>
      <c r="G7" s="933"/>
      <c r="H7" s="933"/>
      <c r="I7" s="933"/>
      <c r="J7" s="935">
        <v>1686092</v>
      </c>
      <c r="K7" s="877"/>
      <c r="L7" s="877"/>
      <c r="M7" s="877"/>
      <c r="N7" s="877"/>
    </row>
    <row r="8" spans="1:14" x14ac:dyDescent="0.2">
      <c r="A8" s="931" t="s">
        <v>417</v>
      </c>
      <c r="B8" s="932">
        <v>1711518</v>
      </c>
      <c r="C8" s="933">
        <v>1711518</v>
      </c>
      <c r="D8" s="933"/>
      <c r="E8" s="934"/>
      <c r="F8" s="933">
        <v>1711518</v>
      </c>
      <c r="G8" s="933"/>
      <c r="H8" s="933"/>
      <c r="I8" s="933"/>
      <c r="J8" s="935"/>
      <c r="K8" s="877"/>
      <c r="L8" s="877"/>
      <c r="M8" s="877"/>
      <c r="N8" s="877"/>
    </row>
    <row r="9" spans="1:14" x14ac:dyDescent="0.2">
      <c r="A9" s="931" t="s">
        <v>418</v>
      </c>
      <c r="B9" s="932">
        <v>1822268</v>
      </c>
      <c r="C9" s="933">
        <v>1822268</v>
      </c>
      <c r="D9" s="933"/>
      <c r="E9" s="934"/>
      <c r="F9" s="933"/>
      <c r="G9" s="933"/>
      <c r="H9" s="933">
        <v>1822268</v>
      </c>
      <c r="I9" s="933"/>
      <c r="J9" s="935"/>
      <c r="K9" s="877"/>
      <c r="L9" s="877"/>
      <c r="M9" s="877"/>
      <c r="N9" s="877"/>
    </row>
    <row r="10" spans="1:14" x14ac:dyDescent="0.2">
      <c r="A10" s="931" t="s">
        <v>419</v>
      </c>
      <c r="B10" s="932">
        <v>1811053</v>
      </c>
      <c r="C10" s="933">
        <v>1811053</v>
      </c>
      <c r="D10" s="933"/>
      <c r="E10" s="934"/>
      <c r="F10" s="933">
        <v>1811053</v>
      </c>
      <c r="G10" s="933"/>
      <c r="H10" s="933"/>
      <c r="I10" s="933"/>
      <c r="J10" s="935"/>
      <c r="K10" s="877"/>
      <c r="L10" s="877"/>
      <c r="M10" s="877"/>
      <c r="N10" s="877"/>
    </row>
    <row r="11" spans="1:14" x14ac:dyDescent="0.2">
      <c r="A11" s="931" t="s">
        <v>420</v>
      </c>
      <c r="B11" s="932">
        <v>1636267</v>
      </c>
      <c r="C11" s="933">
        <v>1636267</v>
      </c>
      <c r="D11" s="933"/>
      <c r="E11" s="934"/>
      <c r="F11" s="933">
        <v>1636267</v>
      </c>
      <c r="G11" s="933"/>
      <c r="H11" s="933"/>
      <c r="I11" s="933"/>
      <c r="J11" s="935"/>
      <c r="K11" s="877"/>
      <c r="L11" s="877"/>
      <c r="M11" s="877"/>
      <c r="N11" s="877"/>
    </row>
    <row r="12" spans="1:14" x14ac:dyDescent="0.2">
      <c r="A12" s="931" t="s">
        <v>421</v>
      </c>
      <c r="B12" s="932">
        <v>1597392.12</v>
      </c>
      <c r="C12" s="933">
        <v>1597392.12</v>
      </c>
      <c r="D12" s="933"/>
      <c r="E12" s="934"/>
      <c r="F12" s="933">
        <v>1597392.12</v>
      </c>
      <c r="G12" s="933"/>
      <c r="H12" s="933"/>
      <c r="I12" s="933"/>
      <c r="J12" s="935"/>
      <c r="K12" s="877"/>
      <c r="L12" s="877"/>
      <c r="M12" s="877"/>
      <c r="N12" s="877"/>
    </row>
    <row r="13" spans="1:14" x14ac:dyDescent="0.2">
      <c r="A13" s="931" t="s">
        <v>422</v>
      </c>
      <c r="B13" s="932">
        <v>1582687</v>
      </c>
      <c r="C13" s="933">
        <v>1582687</v>
      </c>
      <c r="D13" s="933"/>
      <c r="E13" s="934"/>
      <c r="F13" s="933">
        <v>1582687</v>
      </c>
      <c r="G13" s="933"/>
      <c r="H13" s="933"/>
      <c r="I13" s="933"/>
      <c r="J13" s="935"/>
      <c r="K13" s="877"/>
      <c r="L13" s="877"/>
      <c r="M13" s="877"/>
      <c r="N13" s="877"/>
    </row>
    <row r="14" spans="1:14" x14ac:dyDescent="0.2">
      <c r="A14" s="931" t="s">
        <v>423</v>
      </c>
      <c r="B14" s="932">
        <v>1437805</v>
      </c>
      <c r="C14" s="933">
        <v>1437805</v>
      </c>
      <c r="D14" s="933"/>
      <c r="E14" s="934"/>
      <c r="F14" s="933">
        <v>1437805</v>
      </c>
      <c r="G14" s="933"/>
      <c r="H14" s="933"/>
      <c r="I14" s="933"/>
      <c r="J14" s="935"/>
      <c r="K14" s="877"/>
      <c r="L14" s="877"/>
      <c r="M14" s="877"/>
      <c r="N14" s="877"/>
    </row>
    <row r="15" spans="1:14" x14ac:dyDescent="0.2">
      <c r="A15" s="931" t="s">
        <v>424</v>
      </c>
      <c r="B15" s="932">
        <v>1608300.96</v>
      </c>
      <c r="C15" s="933">
        <v>1608300.96</v>
      </c>
      <c r="D15" s="933">
        <v>1608300.96</v>
      </c>
      <c r="E15" s="934"/>
      <c r="F15" s="933"/>
      <c r="G15" s="933"/>
      <c r="H15" s="933"/>
      <c r="I15" s="933"/>
      <c r="J15" s="935"/>
      <c r="K15" s="877"/>
      <c r="L15" s="877"/>
      <c r="M15" s="877"/>
      <c r="N15" s="877"/>
    </row>
    <row r="16" spans="1:14" x14ac:dyDescent="0.2">
      <c r="A16" s="931" t="s">
        <v>425</v>
      </c>
      <c r="B16" s="932">
        <v>1582687</v>
      </c>
      <c r="C16" s="933">
        <v>1582687</v>
      </c>
      <c r="D16" s="933"/>
      <c r="E16" s="934"/>
      <c r="F16" s="933">
        <v>1582687</v>
      </c>
      <c r="G16" s="933"/>
      <c r="H16" s="933"/>
      <c r="I16" s="933"/>
      <c r="J16" s="935"/>
      <c r="K16" s="877"/>
      <c r="L16" s="877"/>
      <c r="M16" s="877"/>
      <c r="N16" s="877"/>
    </row>
    <row r="17" spans="1:15" x14ac:dyDescent="0.2">
      <c r="A17" s="931" t="s">
        <v>426</v>
      </c>
      <c r="B17" s="932">
        <v>1582687</v>
      </c>
      <c r="C17" s="933">
        <v>1582687</v>
      </c>
      <c r="D17" s="933"/>
      <c r="E17" s="934"/>
      <c r="F17" s="933"/>
      <c r="G17" s="933">
        <v>1582687</v>
      </c>
      <c r="H17" s="933"/>
      <c r="I17" s="933"/>
      <c r="J17" s="935"/>
      <c r="K17" s="877"/>
      <c r="L17" s="877"/>
      <c r="M17" s="877"/>
      <c r="N17" s="877"/>
    </row>
    <row r="18" spans="1:15" x14ac:dyDescent="0.2">
      <c r="A18" s="931" t="s">
        <v>427</v>
      </c>
      <c r="B18" s="932">
        <v>1503045.18</v>
      </c>
      <c r="C18" s="933">
        <v>1503045.18</v>
      </c>
      <c r="D18" s="933"/>
      <c r="E18" s="934"/>
      <c r="F18" s="933">
        <v>1503045.18</v>
      </c>
      <c r="G18" s="933"/>
      <c r="H18" s="933"/>
      <c r="I18" s="933"/>
      <c r="J18" s="935"/>
      <c r="K18" s="877"/>
      <c r="L18" s="877"/>
      <c r="M18" s="877"/>
      <c r="N18" s="877"/>
    </row>
    <row r="19" spans="1:15" x14ac:dyDescent="0.2">
      <c r="A19" s="931" t="s">
        <v>428</v>
      </c>
      <c r="B19" s="932">
        <v>1686092</v>
      </c>
      <c r="C19" s="933">
        <v>1686092</v>
      </c>
      <c r="D19" s="933">
        <v>1686092</v>
      </c>
      <c r="E19" s="934"/>
      <c r="F19" s="933"/>
      <c r="G19" s="933"/>
      <c r="H19" s="933"/>
      <c r="I19" s="933"/>
      <c r="J19" s="935"/>
      <c r="K19" s="877"/>
      <c r="L19" s="877"/>
      <c r="M19" s="877"/>
      <c r="N19" s="877"/>
    </row>
    <row r="20" spans="1:15" x14ac:dyDescent="0.2">
      <c r="A20" s="931" t="s">
        <v>429</v>
      </c>
      <c r="B20" s="932">
        <v>1686091.95</v>
      </c>
      <c r="C20" s="933">
        <v>1686091.95</v>
      </c>
      <c r="D20" s="933"/>
      <c r="E20" s="934">
        <v>1686091.95</v>
      </c>
      <c r="F20" s="933"/>
      <c r="G20" s="933"/>
      <c r="H20" s="933"/>
      <c r="I20" s="933"/>
      <c r="J20" s="935"/>
      <c r="K20" s="877"/>
      <c r="L20" s="877"/>
      <c r="M20" s="877"/>
      <c r="N20" s="877"/>
    </row>
    <row r="21" spans="1:15" x14ac:dyDescent="0.2">
      <c r="A21" s="931" t="s">
        <v>430</v>
      </c>
      <c r="B21" s="932">
        <v>1123267</v>
      </c>
      <c r="C21" s="933">
        <v>1123267</v>
      </c>
      <c r="D21" s="933"/>
      <c r="E21" s="934"/>
      <c r="F21" s="933">
        <v>1123267</v>
      </c>
      <c r="G21" s="933"/>
      <c r="H21" s="933"/>
      <c r="I21" s="933"/>
      <c r="J21" s="935"/>
      <c r="K21" s="877"/>
      <c r="L21" s="877"/>
      <c r="M21" s="877"/>
      <c r="N21" s="877"/>
      <c r="O21" s="877"/>
    </row>
    <row r="22" spans="1:15" x14ac:dyDescent="0.2">
      <c r="A22" s="931" t="s">
        <v>431</v>
      </c>
      <c r="B22" s="932">
        <v>888106.32</v>
      </c>
      <c r="C22" s="933">
        <v>888106.32</v>
      </c>
      <c r="D22" s="933"/>
      <c r="E22" s="934"/>
      <c r="F22" s="933"/>
      <c r="G22" s="933"/>
      <c r="H22" s="933"/>
      <c r="I22" s="933">
        <v>888106.32</v>
      </c>
      <c r="J22" s="935"/>
      <c r="K22" s="877"/>
      <c r="L22" s="877"/>
      <c r="M22" s="877"/>
      <c r="N22" s="877"/>
      <c r="O22" s="877"/>
    </row>
    <row r="23" spans="1:15" x14ac:dyDescent="0.2">
      <c r="A23" s="931" t="s">
        <v>432</v>
      </c>
      <c r="B23" s="932">
        <v>1651264</v>
      </c>
      <c r="C23" s="933">
        <v>1651264</v>
      </c>
      <c r="D23" s="933"/>
      <c r="E23" s="934"/>
      <c r="F23" s="933">
        <v>1651264</v>
      </c>
      <c r="G23" s="933"/>
      <c r="H23" s="933"/>
      <c r="I23" s="933"/>
      <c r="J23" s="935"/>
      <c r="K23" s="877"/>
      <c r="L23" s="877"/>
      <c r="M23" s="877"/>
      <c r="N23" s="877"/>
      <c r="O23" s="877"/>
    </row>
    <row r="24" spans="1:15" x14ac:dyDescent="0.2">
      <c r="A24" s="931" t="s">
        <v>433</v>
      </c>
      <c r="B24" s="932">
        <v>856399.5</v>
      </c>
      <c r="C24" s="933">
        <v>856399.5</v>
      </c>
      <c r="D24" s="933"/>
      <c r="E24" s="934"/>
      <c r="F24" s="933"/>
      <c r="G24" s="933"/>
      <c r="H24" s="933"/>
      <c r="I24" s="933">
        <v>856399.5</v>
      </c>
      <c r="J24" s="935"/>
      <c r="K24" s="877"/>
      <c r="L24" s="877"/>
      <c r="M24" s="877"/>
      <c r="N24" s="877"/>
      <c r="O24" s="877"/>
    </row>
    <row r="25" spans="1:15" x14ac:dyDescent="0.2">
      <c r="A25" s="931" t="s">
        <v>434</v>
      </c>
      <c r="B25" s="932">
        <v>1582687</v>
      </c>
      <c r="C25" s="933">
        <v>1582687</v>
      </c>
      <c r="D25" s="933"/>
      <c r="E25" s="934"/>
      <c r="F25" s="933">
        <v>1582687</v>
      </c>
      <c r="G25" s="933"/>
      <c r="H25" s="933"/>
      <c r="I25" s="933"/>
      <c r="J25" s="935"/>
      <c r="K25" s="877"/>
      <c r="L25" s="877"/>
      <c r="M25" s="877"/>
      <c r="N25" s="877"/>
      <c r="O25" s="877"/>
    </row>
    <row r="26" spans="1:15" x14ac:dyDescent="0.2">
      <c r="A26" s="931" t="s">
        <v>435</v>
      </c>
      <c r="B26" s="932">
        <v>1761722.56</v>
      </c>
      <c r="C26" s="933">
        <v>1761722.56</v>
      </c>
      <c r="D26" s="933"/>
      <c r="E26" s="934"/>
      <c r="F26" s="933">
        <v>1761722.56</v>
      </c>
      <c r="G26" s="933"/>
      <c r="H26" s="933"/>
      <c r="I26" s="933"/>
      <c r="J26" s="935"/>
      <c r="K26" s="877"/>
      <c r="L26" s="877"/>
      <c r="M26" s="877"/>
      <c r="N26" s="877"/>
      <c r="O26" s="877"/>
    </row>
    <row r="27" spans="1:15" x14ac:dyDescent="0.2">
      <c r="A27" s="931" t="s">
        <v>436</v>
      </c>
      <c r="B27" s="932">
        <v>1651264</v>
      </c>
      <c r="C27" s="933">
        <v>1651264</v>
      </c>
      <c r="D27" s="933"/>
      <c r="E27" s="934"/>
      <c r="F27" s="933">
        <v>1651264</v>
      </c>
      <c r="G27" s="933"/>
      <c r="H27" s="933"/>
      <c r="I27" s="933"/>
      <c r="J27" s="935"/>
      <c r="K27" s="877"/>
      <c r="L27" s="877"/>
      <c r="M27" s="877"/>
      <c r="N27" s="877"/>
      <c r="O27" s="877"/>
    </row>
    <row r="28" spans="1:15" x14ac:dyDescent="0.2">
      <c r="A28" s="931" t="s">
        <v>437</v>
      </c>
      <c r="B28" s="932">
        <v>1582687</v>
      </c>
      <c r="C28" s="933">
        <v>1582687</v>
      </c>
      <c r="D28" s="933">
        <v>1582687</v>
      </c>
      <c r="E28" s="934"/>
      <c r="F28" s="933"/>
      <c r="G28" s="933"/>
      <c r="H28" s="933"/>
      <c r="I28" s="933"/>
      <c r="J28" s="935"/>
      <c r="K28" s="877"/>
      <c r="L28" s="877"/>
      <c r="M28" s="877"/>
      <c r="N28" s="877"/>
      <c r="O28" s="877"/>
    </row>
    <row r="29" spans="1:15" x14ac:dyDescent="0.2">
      <c r="A29" s="931" t="s">
        <v>438</v>
      </c>
      <c r="B29" s="932">
        <v>1503041</v>
      </c>
      <c r="C29" s="933">
        <v>1503041</v>
      </c>
      <c r="D29" s="933"/>
      <c r="E29" s="934"/>
      <c r="F29" s="933"/>
      <c r="G29" s="933">
        <v>1503041</v>
      </c>
      <c r="H29" s="933"/>
      <c r="I29" s="933"/>
      <c r="J29" s="935"/>
      <c r="K29" s="877"/>
      <c r="L29" s="877"/>
      <c r="M29" s="877"/>
      <c r="N29" s="877"/>
      <c r="O29" s="877"/>
    </row>
    <row r="30" spans="1:15" ht="15" thickBot="1" x14ac:dyDescent="0.25">
      <c r="A30" s="936" t="s">
        <v>288</v>
      </c>
      <c r="B30" s="936">
        <v>35965672.590000004</v>
      </c>
      <c r="C30" s="936">
        <v>35965672.590000004</v>
      </c>
      <c r="D30" s="936">
        <v>4877079.96</v>
      </c>
      <c r="E30" s="937">
        <v>1686091.95</v>
      </c>
      <c r="F30" s="936">
        <v>20632658.859999999</v>
      </c>
      <c r="G30" s="936">
        <v>3085728</v>
      </c>
      <c r="H30" s="936">
        <v>1822268</v>
      </c>
      <c r="I30" s="936">
        <v>2175753.8199999998</v>
      </c>
      <c r="J30" s="938">
        <v>1686092</v>
      </c>
      <c r="K30" s="925"/>
      <c r="L30" s="925"/>
      <c r="M30" s="925"/>
      <c r="N30" s="925"/>
      <c r="O30" s="939"/>
    </row>
    <row r="31" spans="1:15" x14ac:dyDescent="0.2">
      <c r="A31" s="877"/>
      <c r="B31" s="877"/>
      <c r="C31" s="877"/>
      <c r="D31" s="877"/>
      <c r="E31" s="877"/>
      <c r="F31" s="877"/>
      <c r="G31" s="877"/>
      <c r="H31" s="877"/>
      <c r="I31" s="877"/>
      <c r="J31" s="940">
        <f>D30+F30+G30+H30+I30+E30+J30</f>
        <v>35965672.590000004</v>
      </c>
      <c r="K31" s="877"/>
      <c r="L31" s="877"/>
      <c r="M31" s="877"/>
      <c r="N31" s="925"/>
      <c r="O31" s="877"/>
    </row>
    <row r="32" spans="1:15" x14ac:dyDescent="0.2">
      <c r="A32" s="877"/>
      <c r="B32" s="877"/>
      <c r="C32" s="877"/>
      <c r="D32" s="941"/>
      <c r="E32" s="941"/>
      <c r="F32" s="877"/>
      <c r="G32" s="877"/>
      <c r="H32" s="877"/>
      <c r="I32" s="877"/>
      <c r="J32" s="877"/>
      <c r="K32" s="877"/>
      <c r="L32" s="877"/>
      <c r="M32" s="877"/>
      <c r="N32" s="877"/>
      <c r="O32" s="877"/>
    </row>
    <row r="33" spans="1:11" x14ac:dyDescent="0.2">
      <c r="I33" t="s">
        <v>439</v>
      </c>
      <c r="J33" s="942">
        <f>J31*'[6]RR Chart'!T2</f>
        <v>979558.25235921773</v>
      </c>
      <c r="K33" s="436" t="s">
        <v>440</v>
      </c>
    </row>
    <row r="35" spans="1:11" x14ac:dyDescent="0.2">
      <c r="J35" s="942">
        <f>J33*0.5</f>
        <v>489779.12617960887</v>
      </c>
      <c r="K35" s="436" t="s">
        <v>441</v>
      </c>
    </row>
    <row r="38" spans="1:11" x14ac:dyDescent="0.2">
      <c r="C38" t="s">
        <v>442</v>
      </c>
    </row>
    <row r="39" spans="1:11" ht="15" thickBot="1" x14ac:dyDescent="0.25"/>
    <row r="40" spans="1:11" ht="45.75" thickBot="1" x14ac:dyDescent="0.3">
      <c r="A40" s="878" t="s">
        <v>397</v>
      </c>
      <c r="B40" s="879" t="s">
        <v>398</v>
      </c>
      <c r="C40" s="880" t="s">
        <v>399</v>
      </c>
      <c r="D40" s="880" t="s">
        <v>400</v>
      </c>
      <c r="E40" s="880" t="s">
        <v>401</v>
      </c>
      <c r="F40" s="881" t="s">
        <v>402</v>
      </c>
    </row>
    <row r="41" spans="1:11" x14ac:dyDescent="0.2">
      <c r="A41" s="882" t="s">
        <v>358</v>
      </c>
      <c r="B41" s="882">
        <v>2514</v>
      </c>
      <c r="C41" s="943">
        <v>6706374</v>
      </c>
      <c r="D41" s="944">
        <f>'[6]RR Chart'!T2</f>
        <v>2.7235921972764018E-2</v>
      </c>
      <c r="E41" s="943">
        <v>181631</v>
      </c>
      <c r="F41" s="943">
        <f>E41*0.5</f>
        <v>90815.5</v>
      </c>
    </row>
    <row r="42" spans="1:11" x14ac:dyDescent="0.2">
      <c r="A42" t="s">
        <v>358</v>
      </c>
      <c r="B42" t="s">
        <v>443</v>
      </c>
      <c r="C42" s="942">
        <f>J31</f>
        <v>35965672.590000004</v>
      </c>
      <c r="D42" s="944">
        <f>D41</f>
        <v>2.7235921972764018E-2</v>
      </c>
      <c r="E42" s="943">
        <f>C42*D42</f>
        <v>979558.25235921773</v>
      </c>
      <c r="F42" s="943">
        <f>E42*0.5</f>
        <v>489779.12617960887</v>
      </c>
    </row>
    <row r="44" spans="1:11" x14ac:dyDescent="0.2">
      <c r="B44" t="s">
        <v>229</v>
      </c>
      <c r="C44" s="942">
        <f>C41+C42</f>
        <v>42672046.590000004</v>
      </c>
      <c r="E44" s="942">
        <f>E41+E42</f>
        <v>1161189.2523592177</v>
      </c>
      <c r="F44" s="942">
        <f>F41+F42</f>
        <v>580594.62617960887</v>
      </c>
    </row>
  </sheetData>
  <pageMargins left="0.25" right="0.25" top="0.75" bottom="0.75" header="0.3" footer="0.3"/>
  <pageSetup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RR Chart</vt:lpstr>
      <vt:lpstr>Youth Res Rate Models</vt:lpstr>
      <vt:lpstr>Rate Options</vt:lpstr>
      <vt:lpstr>TILP Rates (A&amp;B)</vt:lpstr>
      <vt:lpstr>TILP Rates</vt:lpstr>
      <vt:lpstr>Higher Need Rate Opt (rebased)</vt:lpstr>
      <vt:lpstr>Higher Need Rate Options</vt:lpstr>
      <vt:lpstr> Add-On Rates(DC &amp; Clinical)</vt:lpstr>
      <vt:lpstr>OLD Fiscal Impact</vt:lpstr>
      <vt:lpstr>Spring 2019 CAF</vt:lpstr>
      <vt:lpstr>Rate Chart</vt:lpstr>
      <vt:lpstr>Bed Day Data</vt:lpstr>
      <vt:lpstr>FTE Ratios</vt:lpstr>
      <vt:lpstr>' Add-On Rates(DC &amp; Clinical)'!Print_Area</vt:lpstr>
      <vt:lpstr>'Bed Day Data'!Print_Area</vt:lpstr>
      <vt:lpstr>'Higher Need Rate Opt (rebased)'!Print_Area</vt:lpstr>
      <vt:lpstr>'Higher Need Rate Options'!Print_Area</vt:lpstr>
      <vt:lpstr>'OLD Fiscal Impact'!Print_Area</vt:lpstr>
      <vt:lpstr>'Rate Chart'!Print_Area</vt:lpstr>
      <vt:lpstr>'Rate Options'!Print_Area</vt:lpstr>
      <vt:lpstr>'RR Chart'!Print_Area</vt:lpstr>
      <vt:lpstr>'Spring 2019 CAF'!Print_Area</vt:lpstr>
      <vt:lpstr>'TILP Rates'!Print_Area</vt:lpstr>
      <vt:lpstr>'TILP Rates (A&amp;B)'!Print_Area</vt:lpstr>
      <vt:lpstr>'Youth Res Rate Models'!Print_Area</vt:lpstr>
      <vt:lpstr>'Spring 2019 CAF'!Print_Titles</vt:lpstr>
    </vt:vector>
  </TitlesOfParts>
  <Company>DHCFP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krutkowski</dc:creator>
  <cp:lastModifiedBy> </cp:lastModifiedBy>
  <cp:lastPrinted>2019-11-25T12:14:16Z</cp:lastPrinted>
  <dcterms:created xsi:type="dcterms:W3CDTF">2010-07-12T12:37:54Z</dcterms:created>
  <dcterms:modified xsi:type="dcterms:W3CDTF">2019-11-26T16:00:55Z</dcterms:modified>
</cp:coreProperties>
</file>