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315" windowWidth="12240" windowHeight="8235" tabRatio="852"/>
  </bookViews>
  <sheets>
    <sheet name="8014 Basic HC Case " sheetId="30" r:id="rId1"/>
    <sheet name="8060 ECOP CM " sheetId="29" r:id="rId2"/>
    <sheet name="8015 Supportive Senior House" sheetId="3" r:id="rId3"/>
    <sheet name="8042 Protective Svs" sheetId="2" r:id="rId4"/>
    <sheet name="8017  Congregate HSC" sheetId="32" r:id="rId5"/>
    <sheet name="8005  Money Mgmt" sheetId="4" r:id="rId6"/>
    <sheet name="8010  Guardianship" sheetId="14" r:id="rId7"/>
    <sheet name="CAF" sheetId="31" r:id="rId8"/>
  </sheets>
  <externalReferences>
    <externalReference r:id="rId9"/>
    <externalReference r:id="rId10"/>
    <externalReference r:id="rId11"/>
  </externalReferences>
  <definedNames>
    <definedName name="Cap">[1]RawDataCalcs!$L$13:$DB$13</definedName>
    <definedName name="Floor">[1]RawDataCalcs!$L$12:$DB$12</definedName>
    <definedName name="gk" localSheetId="6">#REF!</definedName>
    <definedName name="gk" localSheetId="0">#REF!</definedName>
    <definedName name="gk" localSheetId="1">#REF!</definedName>
    <definedName name="gk">#REF!</definedName>
    <definedName name="_xlnm.Print_Area" localSheetId="5">'8005  Money Mgmt'!$B$1:$I$23</definedName>
    <definedName name="_xlnm.Print_Area" localSheetId="6">'8010  Guardianship'!$B$2:$J$23</definedName>
    <definedName name="_xlnm.Print_Area" localSheetId="0">'8014 Basic HC Case '!$B$2:$J$30</definedName>
    <definedName name="_xlnm.Print_Area" localSheetId="2">'8015 Supportive Senior House'!$B$1:$J$29</definedName>
    <definedName name="_xlnm.Print_Area" localSheetId="4">'8017  Congregate HSC'!$B$1:$H$21</definedName>
    <definedName name="_xlnm.Print_Area" localSheetId="3">'8042 Protective Svs'!$B$1:$F$17</definedName>
    <definedName name="_xlnm.Print_Area" localSheetId="1">'8060 ECOP CM '!$B$1:$J$34</definedName>
    <definedName name="Source_2" localSheetId="6">#REF!</definedName>
    <definedName name="Source_2" localSheetId="0">#REF!</definedName>
    <definedName name="Source_2" localSheetId="1">#REF!</definedName>
    <definedName name="Source_2">#REF!</definedName>
    <definedName name="Total_UFR" localSheetId="6">#REF!</definedName>
    <definedName name="Total_UFR" localSheetId="0">#REF!</definedName>
    <definedName name="Total_UFR">#REF!</definedName>
  </definedNames>
  <calcPr calcId="145621"/>
</workbook>
</file>

<file path=xl/calcChain.xml><?xml version="1.0" encoding="utf-8"?>
<calcChain xmlns="http://schemas.openxmlformats.org/spreadsheetml/2006/main">
  <c r="F20" i="32" l="1"/>
  <c r="C20" i="32"/>
  <c r="E20" i="32" s="1"/>
  <c r="E18" i="32"/>
  <c r="D17" i="32"/>
  <c r="C17" i="32"/>
  <c r="E19" i="32" s="1"/>
  <c r="G16" i="32"/>
  <c r="F16" i="32"/>
  <c r="G15" i="32"/>
  <c r="F15" i="32"/>
  <c r="G14" i="32"/>
  <c r="F14" i="32"/>
  <c r="G13" i="32"/>
  <c r="F13" i="32"/>
  <c r="G12" i="32"/>
  <c r="F12" i="32"/>
  <c r="G11" i="32"/>
  <c r="F11" i="32"/>
  <c r="G10" i="32"/>
  <c r="F10" i="32"/>
  <c r="G9" i="32"/>
  <c r="F9" i="32"/>
  <c r="G8" i="32"/>
  <c r="F8" i="32"/>
  <c r="G7" i="32"/>
  <c r="F7" i="32"/>
  <c r="G6" i="32"/>
  <c r="F6" i="32"/>
  <c r="G5" i="32"/>
  <c r="F5" i="32"/>
  <c r="G4" i="32"/>
  <c r="G18" i="32" s="1"/>
  <c r="G20" i="32" s="1"/>
  <c r="F4" i="32"/>
  <c r="F17" i="32" s="1"/>
  <c r="G19" i="32" s="1"/>
  <c r="F5" i="2" l="1"/>
  <c r="E8" i="2" s="1"/>
  <c r="C18" i="14" l="1"/>
  <c r="I15" i="14" s="1"/>
  <c r="J15" i="14" l="1"/>
  <c r="C17" i="14"/>
  <c r="C15" i="14"/>
  <c r="C6" i="14"/>
  <c r="C5" i="14"/>
  <c r="C4" i="14"/>
  <c r="C5" i="3"/>
  <c r="C4" i="3"/>
  <c r="C18" i="29" l="1"/>
  <c r="C18" i="30"/>
  <c r="BT22" i="31" l="1"/>
  <c r="BT24" i="31" s="1"/>
  <c r="BT18" i="31"/>
  <c r="C16" i="4" l="1"/>
  <c r="D10" i="2"/>
  <c r="E10" i="2" s="1"/>
  <c r="E11" i="2" s="1"/>
  <c r="C21" i="30"/>
  <c r="D13" i="3"/>
  <c r="H19" i="3" s="1"/>
  <c r="C20" i="29"/>
  <c r="C21" i="14"/>
  <c r="I21" i="14"/>
  <c r="I18" i="14"/>
  <c r="H7" i="29"/>
  <c r="H6" i="29"/>
  <c r="H5" i="29"/>
  <c r="H5" i="30"/>
  <c r="H7" i="30"/>
  <c r="H6" i="30"/>
  <c r="H23" i="30" l="1"/>
  <c r="F23" i="30"/>
  <c r="H21" i="30"/>
  <c r="C19" i="30"/>
  <c r="C17" i="30"/>
  <c r="H12" i="30"/>
  <c r="G9" i="30"/>
  <c r="G8" i="30"/>
  <c r="C8" i="30"/>
  <c r="G7" i="30"/>
  <c r="I7" i="30" s="1"/>
  <c r="J7" i="30" s="1"/>
  <c r="C7" i="30"/>
  <c r="G6" i="30"/>
  <c r="I6" i="30" s="1"/>
  <c r="J6" i="30" s="1"/>
  <c r="G5" i="30"/>
  <c r="I5" i="30" s="1"/>
  <c r="H25" i="29"/>
  <c r="F25" i="29"/>
  <c r="H20" i="29"/>
  <c r="C17" i="29"/>
  <c r="H12" i="29"/>
  <c r="G9" i="29"/>
  <c r="G8" i="29"/>
  <c r="C8" i="29"/>
  <c r="G7" i="29"/>
  <c r="I7" i="29" s="1"/>
  <c r="C7" i="29"/>
  <c r="G6" i="29"/>
  <c r="I6" i="29" s="1"/>
  <c r="G5" i="29"/>
  <c r="I15" i="29" l="1"/>
  <c r="I16" i="29"/>
  <c r="H8" i="29"/>
  <c r="I8" i="29" s="1"/>
  <c r="H9" i="29"/>
  <c r="I9" i="29" s="1"/>
  <c r="H24" i="29"/>
  <c r="G10" i="29"/>
  <c r="H8" i="30"/>
  <c r="I8" i="30" s="1"/>
  <c r="J8" i="30" s="1"/>
  <c r="H9" i="30"/>
  <c r="I9" i="30" s="1"/>
  <c r="J9" i="30" s="1"/>
  <c r="I15" i="30"/>
  <c r="J15" i="30" s="1"/>
  <c r="H22" i="30"/>
  <c r="I16" i="30"/>
  <c r="J16" i="30" s="1"/>
  <c r="I17" i="30"/>
  <c r="J17" i="30" s="1"/>
  <c r="J5" i="30"/>
  <c r="G10" i="30"/>
  <c r="I5" i="29"/>
  <c r="I10" i="29" l="1"/>
  <c r="I12" i="29" s="1"/>
  <c r="I13" i="29" s="1"/>
  <c r="I18" i="29" s="1"/>
  <c r="J10" i="30"/>
  <c r="I10" i="30"/>
  <c r="I23" i="30" s="1"/>
  <c r="I25" i="29" l="1"/>
  <c r="I12" i="30"/>
  <c r="J12" i="30" s="1"/>
  <c r="I20" i="29"/>
  <c r="I22" i="29" s="1"/>
  <c r="I24" i="29" s="1"/>
  <c r="I26" i="29" s="1"/>
  <c r="I27" i="29" s="1"/>
  <c r="I13" i="30" l="1"/>
  <c r="J13" i="30" l="1"/>
  <c r="I19" i="30"/>
  <c r="I21" i="30" l="1"/>
  <c r="I22" i="30" s="1"/>
  <c r="J19" i="30"/>
  <c r="I24" i="30" l="1"/>
  <c r="J25" i="30" s="1"/>
  <c r="I11" i="3" l="1"/>
  <c r="I20" i="14" l="1"/>
  <c r="G21" i="14" l="1"/>
  <c r="G21" i="4"/>
  <c r="F21" i="4"/>
  <c r="G20" i="4"/>
  <c r="H20" i="3"/>
  <c r="F20" i="3"/>
  <c r="D19" i="14" l="1"/>
  <c r="G18" i="14"/>
  <c r="I14" i="14"/>
  <c r="J14" i="14" s="1"/>
  <c r="G15" i="14"/>
  <c r="I13" i="14"/>
  <c r="J13" i="14" s="1"/>
  <c r="G14" i="14"/>
  <c r="G13" i="14"/>
  <c r="I10" i="14"/>
  <c r="G10" i="14"/>
  <c r="B10" i="14"/>
  <c r="B9" i="14"/>
  <c r="H8" i="14"/>
  <c r="B8" i="14"/>
  <c r="I7" i="14"/>
  <c r="J7" i="14" s="1"/>
  <c r="G7" i="14"/>
  <c r="I6" i="14"/>
  <c r="J6" i="14" s="1"/>
  <c r="G6" i="14"/>
  <c r="I5" i="14"/>
  <c r="J5" i="14" s="1"/>
  <c r="J8" i="14" s="1"/>
  <c r="J21" i="14" s="1"/>
  <c r="G5" i="14"/>
  <c r="J10" i="14" l="1"/>
  <c r="J11" i="14" s="1"/>
  <c r="J16" i="14" l="1"/>
  <c r="J18" i="14" l="1"/>
  <c r="J19" i="14" s="1"/>
  <c r="C13" i="4"/>
  <c r="C12" i="4"/>
  <c r="C11" i="4"/>
  <c r="C4" i="4"/>
  <c r="J20" i="14" l="1"/>
  <c r="J22" i="14" s="1"/>
  <c r="J23" i="14" s="1"/>
  <c r="I16" i="3" l="1"/>
  <c r="H15" i="3"/>
  <c r="I12" i="3"/>
  <c r="H9" i="3"/>
  <c r="H6" i="3"/>
  <c r="H5" i="3"/>
  <c r="H7" i="4"/>
  <c r="H6" i="4"/>
  <c r="H8" i="4" l="1"/>
  <c r="I14" i="4" l="1"/>
  <c r="I13" i="4"/>
  <c r="I15" i="4"/>
  <c r="B8" i="4" l="1"/>
  <c r="C20" i="3"/>
  <c r="D20" i="3" s="1"/>
  <c r="D19" i="3"/>
  <c r="C18" i="3"/>
  <c r="D18" i="3" s="1"/>
  <c r="C17" i="3"/>
  <c r="D17" i="3" s="1"/>
  <c r="D16" i="3"/>
  <c r="D21" i="3" l="1"/>
  <c r="D5" i="3"/>
  <c r="G6" i="3" s="1"/>
  <c r="C21" i="3"/>
  <c r="D4" i="3"/>
  <c r="G5" i="3" s="1"/>
  <c r="I5" i="3" l="1"/>
  <c r="I6" i="3"/>
  <c r="I7" i="3" l="1"/>
  <c r="I20" i="3" s="1"/>
  <c r="G7" i="3"/>
  <c r="I9" i="3" l="1"/>
  <c r="I10" i="3" s="1"/>
  <c r="I13" i="3" s="1"/>
  <c r="I15" i="3" s="1"/>
  <c r="I17" i="3" s="1"/>
  <c r="I19" i="3" s="1"/>
  <c r="I21" i="3" s="1"/>
  <c r="I22" i="3" l="1"/>
  <c r="C15" i="4" l="1"/>
  <c r="G6" i="4"/>
  <c r="I6" i="4" s="1"/>
  <c r="G7" i="4"/>
  <c r="I7" i="4" s="1"/>
  <c r="C10" i="4"/>
  <c r="G10" i="4" s="1"/>
  <c r="I8" i="4" l="1"/>
  <c r="I21" i="4" s="1"/>
  <c r="I10" i="4" l="1"/>
  <c r="I11" i="4" s="1"/>
  <c r="I16" i="4" l="1"/>
  <c r="I18" i="4" l="1"/>
  <c r="I19" i="4" s="1"/>
  <c r="I20" i="4" l="1"/>
  <c r="I22" i="4" s="1"/>
  <c r="I23" i="4" s="1"/>
</calcChain>
</file>

<file path=xl/sharedStrings.xml><?xml version="1.0" encoding="utf-8"?>
<sst xmlns="http://schemas.openxmlformats.org/spreadsheetml/2006/main" count="423" uniqueCount="277">
  <si>
    <t>Provider</t>
  </si>
  <si>
    <t>Greater Springfield Senior Services, Inc.</t>
  </si>
  <si>
    <t>Elder Services of the Merrimack Valley, Inc.</t>
  </si>
  <si>
    <t>Elder Services of Worcester Area, Inc.</t>
  </si>
  <si>
    <t>Old Colony Elderly Services, Inc.</t>
  </si>
  <si>
    <t>Tri-Valley, Inc.</t>
  </si>
  <si>
    <t>Springwell Inc.</t>
  </si>
  <si>
    <t>Baypath</t>
  </si>
  <si>
    <t>Coastline Elderly Services, Inc.</t>
  </si>
  <si>
    <t>Total</t>
  </si>
  <si>
    <t>Weighted average/month</t>
  </si>
  <si>
    <t>FY09 Total Reimburseable Expense</t>
  </si>
  <si>
    <t>FY09 units</t>
  </si>
  <si>
    <t>Avg Monthly cost per rm per mo</t>
  </si>
  <si>
    <t>Elder Services of Berkshire County, Inc.</t>
  </si>
  <si>
    <t>Franklin County Home Care</t>
  </si>
  <si>
    <t>Westmass Eldercare, Inc.</t>
  </si>
  <si>
    <t>Montachusett Home Care Corporation</t>
  </si>
  <si>
    <t>North Shore Elder Services, Inc.</t>
  </si>
  <si>
    <t>CAF</t>
  </si>
  <si>
    <t>60th Percentile Rate w CAF</t>
  </si>
  <si>
    <t>Elder Affairs Program Hours</t>
  </si>
  <si>
    <t>FTEs</t>
  </si>
  <si>
    <t>Salary</t>
  </si>
  <si>
    <t>FTE</t>
  </si>
  <si>
    <t>Expense</t>
  </si>
  <si>
    <t>Service Coordinator</t>
  </si>
  <si>
    <t>Direct Care Shift 7am-3pm</t>
  </si>
  <si>
    <t>Direct Care Shift 3pm-11pm Weekdays</t>
  </si>
  <si>
    <t>Non-Specialized Direct Care Staffing</t>
  </si>
  <si>
    <t>Direct Care On-call shift 3pm-11pm weekends</t>
  </si>
  <si>
    <t>On Call Staffing</t>
  </si>
  <si>
    <t>Direct Care On-call shift 11pm-7am</t>
  </si>
  <si>
    <t>Sub-total Direct Care Staff</t>
  </si>
  <si>
    <t>Total Direct Care Staffing Hours</t>
  </si>
  <si>
    <t>Taxes &amp; Fringe</t>
  </si>
  <si>
    <t>Total Staffing Costs</t>
  </si>
  <si>
    <t>Unit Cost</t>
  </si>
  <si>
    <t>Other Program Exp. (Social Activities)</t>
  </si>
  <si>
    <t>Total Reimbursable Exp. Excl. Admin.</t>
  </si>
  <si>
    <t>Occupancy Costs</t>
  </si>
  <si>
    <t>Admin. Alloc. (M &amp; G)</t>
  </si>
  <si>
    <t>Monthly Rate</t>
  </si>
  <si>
    <t>Benchmark Salaries</t>
  </si>
  <si>
    <t>Source</t>
  </si>
  <si>
    <t>Clients per month</t>
  </si>
  <si>
    <t>Coordinator</t>
  </si>
  <si>
    <t xml:space="preserve">Average from FY14 UFR Data </t>
  </si>
  <si>
    <t>Monitor</t>
  </si>
  <si>
    <t>Position</t>
  </si>
  <si>
    <t>Purchaser Recommendation</t>
  </si>
  <si>
    <t xml:space="preserve">Total Program Staff </t>
  </si>
  <si>
    <t>Travel (Per FTE)</t>
  </si>
  <si>
    <t>Benchmark Expenses</t>
  </si>
  <si>
    <t>Occupancy (Per FTE)</t>
  </si>
  <si>
    <t>Tax &amp; Fringe</t>
  </si>
  <si>
    <t>Tax &amp; fringe:</t>
  </si>
  <si>
    <t>Program Supplies (Per FTE)</t>
  </si>
  <si>
    <t>Total Compensation:</t>
  </si>
  <si>
    <t>Admin Allocation</t>
  </si>
  <si>
    <t>Total Reimb Excl M &amp; G</t>
  </si>
  <si>
    <t>Admin. Allocation</t>
  </si>
  <si>
    <t>CAF:</t>
  </si>
  <si>
    <t>Total Months</t>
  </si>
  <si>
    <t>Support</t>
  </si>
  <si>
    <t>Total Program Staff</t>
  </si>
  <si>
    <t>Total Compensation</t>
  </si>
  <si>
    <t>Total Units</t>
  </si>
  <si>
    <t>LSW/Care Manager (124-132)</t>
  </si>
  <si>
    <t>Registered Nurses</t>
  </si>
  <si>
    <t>Supervisory Professionals</t>
  </si>
  <si>
    <t>Client Services Mgr/Dir.</t>
  </si>
  <si>
    <t>Program/Sec Clerical Staff</t>
  </si>
  <si>
    <t>Total FTE</t>
  </si>
  <si>
    <t xml:space="preserve">Per Unit </t>
  </si>
  <si>
    <t>Occupancy</t>
  </si>
  <si>
    <t>SUBTOTAL PROGRAM COSTS</t>
  </si>
  <si>
    <t xml:space="preserve">PROGRAM TOTAL </t>
  </si>
  <si>
    <t>Unit Rate</t>
  </si>
  <si>
    <t>Supervisory Professionals (104)</t>
  </si>
  <si>
    <t>Client Services Mgr/Dir. (101)</t>
  </si>
  <si>
    <t>Tax and Fringe</t>
  </si>
  <si>
    <t>Total Other Expenses</t>
  </si>
  <si>
    <t>Registered Nurse</t>
  </si>
  <si>
    <t>Client Services Mgr/Dir</t>
  </si>
  <si>
    <t>Program/Sec Clerical</t>
  </si>
  <si>
    <t>Total Program Expenses</t>
  </si>
  <si>
    <t>Units</t>
  </si>
  <si>
    <t>FY19</t>
  </si>
  <si>
    <t>FY20</t>
  </si>
  <si>
    <t>FY21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</si>
  <si>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</si>
  <si>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</si>
  <si>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</si>
  <si>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</si>
  <si>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</si>
  <si>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</si>
  <si>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</si>
  <si>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</si>
  <si>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</si>
  <si>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</si>
  <si>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</si>
  <si>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</si>
  <si>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</si>
  <si>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</si>
  <si>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</si>
  <si>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</si>
  <si>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</si>
  <si>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</si>
  <si>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</si>
  <si>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</si>
  <si>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</si>
  <si>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</si>
  <si>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</si>
  <si>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</si>
  <si>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</si>
  <si>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</si>
  <si>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</si>
  <si>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</si>
  <si>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</si>
  <si>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</si>
  <si>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</si>
  <si>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</si>
  <si>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</si>
  <si>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</si>
  <si>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</si>
  <si>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</si>
  <si>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</si>
  <si>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</si>
  <si>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</si>
  <si>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</si>
  <si>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</si>
  <si>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</si>
  <si>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</si>
  <si>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</si>
  <si>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</si>
  <si>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</si>
  <si>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</si>
  <si>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</si>
  <si>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</si>
  <si>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</si>
  <si>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</si>
  <si>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</si>
  <si>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</si>
  <si>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</si>
  <si>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</si>
  <si>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</si>
  <si>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</si>
  <si>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</si>
  <si>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</si>
  <si>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</si>
  <si>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</si>
  <si>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</si>
  <si>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</si>
  <si>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</si>
  <si>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</si>
  <si>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</si>
  <si>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</si>
  <si>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</si>
  <si>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</si>
  <si>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</si>
  <si>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</si>
  <si>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</si>
  <si>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</si>
  <si>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</si>
  <si>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</si>
  <si>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</si>
  <si>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</si>
  <si>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</si>
  <si>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</si>
  <si>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</si>
  <si>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</si>
  <si>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</si>
  <si>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>Average</t>
  </si>
  <si>
    <t xml:space="preserve">Prospective rate period: </t>
  </si>
  <si>
    <t>MASTER DATA LOOK-UP TABLE</t>
  </si>
  <si>
    <t>Total Excl M &amp; G</t>
  </si>
  <si>
    <t>8042 - Protective Services Rate Recommendation</t>
  </si>
  <si>
    <t>Total Direct Admin</t>
  </si>
  <si>
    <t>Rebased</t>
  </si>
  <si>
    <t>Hrs/wk</t>
  </si>
  <si>
    <t>Master Data Look-Up Table</t>
  </si>
  <si>
    <t>Total Other Expense</t>
  </si>
  <si>
    <t>Total Direct Admin Expense</t>
  </si>
  <si>
    <t>Total Direct Care Program Staff</t>
  </si>
  <si>
    <t>Total Occupancy</t>
  </si>
  <si>
    <t>Total Other Expense*</t>
  </si>
  <si>
    <t>Total Other Expenses*</t>
  </si>
  <si>
    <t>Benchmark Salary</t>
  </si>
  <si>
    <t>Service Unit: Per Client Per Month</t>
  </si>
  <si>
    <t>Service Specialist Blend</t>
  </si>
  <si>
    <t>Benchmark FTEs</t>
  </si>
  <si>
    <t>Capacity</t>
  </si>
  <si>
    <t>Clients per Month</t>
  </si>
  <si>
    <t>Benchmarke FTEs</t>
  </si>
  <si>
    <t>Original Salary rebased with compounded CAFs</t>
  </si>
  <si>
    <t>Average from FY10 UFR data</t>
  </si>
  <si>
    <t>Average from FY10 UFR data (41 to 1 caseload)</t>
  </si>
  <si>
    <t>Average from FY10 UFR data (1 to 3 Case Managers)</t>
  </si>
  <si>
    <t>Average from FY10 UFR data (1 to 8 Care Mgr plus RN)</t>
  </si>
  <si>
    <t>Average from FY10 UFR data (.103 per site)</t>
  </si>
  <si>
    <t>Average from FY10 UFR data (.3 per site)</t>
  </si>
  <si>
    <t>Median from FY10 UFR data</t>
  </si>
  <si>
    <t>Original Expense rebased with compounded CAFs</t>
  </si>
  <si>
    <t>Master Data Look-up Table - Basic Home Care Case Management - 8014</t>
  </si>
  <si>
    <t>Total from FY11 UFR data (70 to 1 caseload)</t>
  </si>
  <si>
    <t>Total from FY11 UFR data (1 RN to 7 Care Managers)</t>
  </si>
  <si>
    <t>Total from FY11UFR data (1 to 12 RN plus Care Managers )</t>
  </si>
  <si>
    <t>Total from FY11 UFR data (.3 per site)</t>
  </si>
  <si>
    <t>Total from FY11 UFR data (1.7 per site)</t>
  </si>
  <si>
    <t>Total Staffing</t>
  </si>
  <si>
    <t>Supportive Housing Master Data Look-up Table</t>
  </si>
  <si>
    <t xml:space="preserve">Service unit </t>
  </si>
  <si>
    <t>Per Month</t>
  </si>
  <si>
    <t xml:space="preserve">8015 - Supportive Housing Model Budget </t>
  </si>
  <si>
    <t>Straight Average/month</t>
  </si>
  <si>
    <t>Congregate Housing - 8017</t>
  </si>
  <si>
    <t>Base 2019 Q4 - Prospective 1/1/20-12/31/21</t>
  </si>
  <si>
    <t>Rate Review CAF</t>
  </si>
  <si>
    <t>CAF - Base 2019 Q4-prospective 1/1/20-12/31/21</t>
  </si>
  <si>
    <t>REBASED  Total Reimburseable Expense</t>
  </si>
  <si>
    <t>Expense rebased with compounding CAF adjustments</t>
  </si>
  <si>
    <t>Salary rebased with compounding CAF adjustments</t>
  </si>
  <si>
    <t>Base 2019Q4 - Prospective 1/1/20 - 12/31/21</t>
  </si>
  <si>
    <t xml:space="preserve"> Unit Rate</t>
  </si>
  <si>
    <t>Total Clients:</t>
  </si>
  <si>
    <t>Management Oversight</t>
  </si>
  <si>
    <t>Other expenses (per client)</t>
  </si>
  <si>
    <t xml:space="preserve">CAF </t>
  </si>
  <si>
    <t>Monthly Cost Per Client</t>
  </si>
  <si>
    <t>PFLMA Trust Contribution</t>
  </si>
  <si>
    <t xml:space="preserve">Benchmarked to 101 CMR 417 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</si>
  <si>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</si>
  <si>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</si>
  <si>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</si>
  <si>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</si>
  <si>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</si>
  <si>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</si>
  <si>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</si>
  <si>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</si>
  <si>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</si>
  <si>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</si>
  <si>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FY20Q2</t>
  </si>
  <si>
    <t>Assumption for Rate Reviews that are to be promulgated JAN 1, 2020</t>
  </si>
  <si>
    <t>1/1/20 - 12/31/22</t>
  </si>
  <si>
    <t>Rate Review CAF (fall 2018)</t>
  </si>
  <si>
    <t>Salary plus CAF = $15/hr</t>
  </si>
  <si>
    <t xml:space="preserve">On - Call Staffing </t>
  </si>
  <si>
    <t>EXP</t>
  </si>
  <si>
    <t>Rate Review CAF Placeholder</t>
  </si>
  <si>
    <t>Per the Grand Bargain Agreement</t>
  </si>
  <si>
    <t>Sub Total</t>
  </si>
  <si>
    <t xml:space="preserve"> </t>
  </si>
  <si>
    <t>LCSW/LSW</t>
  </si>
  <si>
    <t>LCSW / LSW</t>
  </si>
  <si>
    <t>Care  Manager</t>
  </si>
  <si>
    <t>Care Manager (124-132)</t>
  </si>
  <si>
    <t>Massachusetts Economic Indicators</t>
  </si>
  <si>
    <t>IHS Markit, Spring 2019 Forecast</t>
  </si>
  <si>
    <t>Prepared by Michael Lynch, 781-301-9129</t>
  </si>
  <si>
    <t>FY17</t>
  </si>
  <si>
    <t>FY18</t>
  </si>
  <si>
    <t>Supervising Professionals</t>
  </si>
  <si>
    <t>Wtg Avg FY17 Contract data plus applicable CAFs</t>
  </si>
  <si>
    <t>Straight Avg FY17 Contract data plus applicable CAFs</t>
  </si>
  <si>
    <t>Straight Avg FY17 Contract data (LICSW, Case Worker/Mgr DC Sup) plus applicable CAFs</t>
  </si>
  <si>
    <t>Rate (Jan 2020 - Dec 2021)</t>
  </si>
  <si>
    <t xml:space="preserve"> Rate Using 60th Percentile Rate (closest to target using Bucket method)</t>
  </si>
  <si>
    <t>Other expenses (per unit)</t>
  </si>
  <si>
    <t>Staff Training per FTE</t>
  </si>
  <si>
    <t>Travel and base legal allowance plus misc expenses</t>
  </si>
  <si>
    <t>8060 ECOP Case Management</t>
  </si>
  <si>
    <t xml:space="preserve">8014 - Basic Home Care Case Management </t>
  </si>
  <si>
    <t>60th Percentile Rate</t>
  </si>
  <si>
    <t xml:space="preserve">Money Management 8005 </t>
  </si>
  <si>
    <t xml:space="preserve">ELD Guardianship 8010 </t>
  </si>
  <si>
    <t>Master Data Look-up Table - ELD Guardianship 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</si>
</sst>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\$#,##0"/>
    <numFmt numFmtId="167" formatCode="0.0000"/>
    <numFmt numFmtId="168" formatCode="0.0"/>
    <numFmt numFmtId="169" formatCode="#,##0.0000_);\(#,##0.0000\)"/>
    <numFmt numFmtId="170" formatCode="_(&quot;$&quot;* #,##0_);_(&quot;$&quot;* \(#,##0\);_(&quot;$&quot;* &quot;-&quot;??_);_(@_)"/>
    <numFmt numFmtId="171" formatCode="#,##0.000"/>
    <numFmt numFmtId="172" formatCode="0.000"/>
    <numFmt numFmtId="173" formatCode="&quot;$&quot;#,##0"/>
    <numFmt numFmtId="174" formatCode="0_);[Red]\(0\)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name val="Arial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</font>
    <font>
      <i/>
      <sz val="1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20" applyNumberFormat="0" applyAlignment="0" applyProtection="0"/>
    <xf numFmtId="0" fontId="9" fillId="23" borderId="21" applyNumberFormat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0" applyNumberFormat="0" applyAlignment="0" applyProtection="0"/>
    <xf numFmtId="0" fontId="19" fillId="0" borderId="25" applyNumberFormat="0" applyFill="0" applyAlignment="0" applyProtection="0"/>
    <xf numFmtId="0" fontId="20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25" borderId="26" applyNumberFormat="0" applyFont="0" applyAlignment="0" applyProtection="0"/>
    <xf numFmtId="0" fontId="21" fillId="22" borderId="27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4" fontId="22" fillId="0" borderId="0" applyFont="0" applyFill="0" applyBorder="0" applyAlignment="0" applyProtection="0"/>
    <xf numFmtId="0" fontId="10" fillId="0" borderId="0"/>
    <xf numFmtId="0" fontId="12" fillId="0" borderId="0"/>
    <xf numFmtId="0" fontId="48" fillId="0" borderId="0"/>
    <xf numFmtId="0" fontId="1" fillId="0" borderId="0"/>
    <xf numFmtId="0" fontId="1" fillId="0" borderId="0"/>
  </cellStyleXfs>
  <cellXfs count="655">
    <xf numFmtId="0" fontId="0" fillId="0" borderId="0" xfId="0"/>
    <xf numFmtId="0" fontId="2" fillId="0" borderId="0" xfId="3"/>
    <xf numFmtId="0" fontId="4" fillId="0" borderId="0" xfId="3" applyFont="1"/>
    <xf numFmtId="0" fontId="4" fillId="0" borderId="0" xfId="3" applyFont="1" applyBorder="1"/>
    <xf numFmtId="0" fontId="10" fillId="0" borderId="0" xfId="72"/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Border="1"/>
    <xf numFmtId="170" fontId="0" fillId="0" borderId="0" xfId="1" applyNumberFormat="1" applyFont="1" applyBorder="1" applyAlignment="1">
      <alignment horizontal="center"/>
    </xf>
    <xf numFmtId="170" fontId="31" fillId="0" borderId="0" xfId="1" applyNumberFormat="1" applyFont="1" applyBorder="1" applyAlignment="1">
      <alignment horizontal="center"/>
    </xf>
    <xf numFmtId="170" fontId="31" fillId="0" borderId="16" xfId="1" applyNumberFormat="1" applyFont="1" applyBorder="1"/>
    <xf numFmtId="170" fontId="0" fillId="0" borderId="16" xfId="1" applyNumberFormat="1" applyFont="1" applyBorder="1"/>
    <xf numFmtId="0" fontId="34" fillId="33" borderId="0" xfId="90" applyFont="1" applyFill="1"/>
    <xf numFmtId="0" fontId="34" fillId="34" borderId="0" xfId="90" applyFont="1" applyFill="1"/>
    <xf numFmtId="0" fontId="34" fillId="35" borderId="0" xfId="90" applyFont="1" applyFill="1"/>
    <xf numFmtId="0" fontId="27" fillId="0" borderId="0" xfId="69" applyFont="1"/>
    <xf numFmtId="0" fontId="10" fillId="0" borderId="0" xfId="69"/>
    <xf numFmtId="0" fontId="30" fillId="0" borderId="0" xfId="69" applyFont="1"/>
    <xf numFmtId="0" fontId="35" fillId="0" borderId="0" xfId="69" applyFont="1"/>
    <xf numFmtId="0" fontId="10" fillId="0" borderId="63" xfId="69" applyBorder="1"/>
    <xf numFmtId="0" fontId="10" fillId="0" borderId="34" xfId="69" applyBorder="1"/>
    <xf numFmtId="0" fontId="10" fillId="0" borderId="35" xfId="69" applyBorder="1"/>
    <xf numFmtId="0" fontId="10" fillId="0" borderId="40" xfId="69" applyBorder="1"/>
    <xf numFmtId="0" fontId="10" fillId="0" borderId="0" xfId="69" applyBorder="1" applyAlignment="1">
      <alignment horizontal="right"/>
    </xf>
    <xf numFmtId="0" fontId="10" fillId="0" borderId="0" xfId="69" applyBorder="1"/>
    <xf numFmtId="0" fontId="10" fillId="0" borderId="39" xfId="69" applyBorder="1"/>
    <xf numFmtId="0" fontId="36" fillId="0" borderId="39" xfId="69" applyFont="1" applyBorder="1" applyAlignment="1">
      <alignment horizontal="center"/>
    </xf>
    <xf numFmtId="172" fontId="10" fillId="0" borderId="39" xfId="69" applyNumberFormat="1" applyBorder="1" applyAlignment="1">
      <alignment horizontal="center"/>
    </xf>
    <xf numFmtId="0" fontId="10" fillId="0" borderId="39" xfId="69" applyBorder="1" applyAlignment="1">
      <alignment horizontal="center"/>
    </xf>
    <xf numFmtId="0" fontId="27" fillId="3" borderId="0" xfId="69" applyFont="1" applyFill="1" applyBorder="1" applyAlignment="1">
      <alignment horizontal="right"/>
    </xf>
    <xf numFmtId="10" fontId="27" fillId="3" borderId="39" xfId="75" applyNumberFormat="1" applyFont="1" applyFill="1" applyBorder="1" applyAlignment="1">
      <alignment horizontal="center"/>
    </xf>
    <xf numFmtId="0" fontId="31" fillId="0" borderId="17" xfId="0" applyFont="1" applyFill="1" applyBorder="1"/>
    <xf numFmtId="44" fontId="31" fillId="3" borderId="19" xfId="1" applyNumberFormat="1" applyFont="1" applyFill="1" applyBorder="1"/>
    <xf numFmtId="0" fontId="31" fillId="0" borderId="0" xfId="0" applyFont="1" applyFill="1" applyBorder="1" applyAlignment="1">
      <alignment horizontal="center"/>
    </xf>
    <xf numFmtId="0" fontId="0" fillId="0" borderId="0" xfId="0" applyFont="1"/>
    <xf numFmtId="0" fontId="0" fillId="0" borderId="15" xfId="0" applyFont="1" applyFill="1" applyBorder="1"/>
    <xf numFmtId="0" fontId="0" fillId="0" borderId="15" xfId="0" applyFont="1" applyBorder="1"/>
    <xf numFmtId="0" fontId="0" fillId="0" borderId="15" xfId="0" applyFont="1" applyBorder="1" applyAlignment="1">
      <alignment wrapText="1"/>
    </xf>
    <xf numFmtId="0" fontId="0" fillId="0" borderId="41" xfId="0" applyFont="1" applyFill="1" applyBorder="1"/>
    <xf numFmtId="0" fontId="0" fillId="0" borderId="0" xfId="0" applyFont="1" applyBorder="1"/>
    <xf numFmtId="170" fontId="0" fillId="0" borderId="42" xfId="1" applyNumberFormat="1" applyFont="1" applyBorder="1" applyAlignment="1">
      <alignment horizontal="center"/>
    </xf>
    <xf numFmtId="170" fontId="0" fillId="0" borderId="47" xfId="1" applyNumberFormat="1" applyFont="1" applyBorder="1"/>
    <xf numFmtId="0" fontId="0" fillId="0" borderId="41" xfId="0" applyFont="1" applyBorder="1"/>
    <xf numFmtId="170" fontId="31" fillId="0" borderId="57" xfId="1" applyNumberFormat="1" applyFont="1" applyBorder="1"/>
    <xf numFmtId="0" fontId="31" fillId="0" borderId="55" xfId="0" applyFont="1" applyBorder="1"/>
    <xf numFmtId="14" fontId="37" fillId="0" borderId="0" xfId="0" applyNumberFormat="1" applyFont="1" applyAlignment="1">
      <alignment horizontal="left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3" fillId="0" borderId="15" xfId="72" applyFont="1" applyBorder="1" applyAlignment="1">
      <alignment horizontal="center"/>
    </xf>
    <xf numFmtId="0" fontId="33" fillId="0" borderId="0" xfId="72" applyFont="1" applyBorder="1" applyAlignment="1">
      <alignment horizontal="center" wrapText="1"/>
    </xf>
    <xf numFmtId="0" fontId="33" fillId="0" borderId="16" xfId="72" applyFont="1" applyBorder="1" applyAlignment="1">
      <alignment horizontal="center" wrapText="1"/>
    </xf>
    <xf numFmtId="0" fontId="0" fillId="0" borderId="16" xfId="0" applyFont="1" applyBorder="1"/>
    <xf numFmtId="2" fontId="0" fillId="0" borderId="0" xfId="0" applyNumberFormat="1" applyFon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32" fillId="0" borderId="0" xfId="0" applyFont="1" applyFill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42" xfId="0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0" fontId="38" fillId="0" borderId="0" xfId="72" applyFont="1" applyFill="1"/>
    <xf numFmtId="0" fontId="38" fillId="0" borderId="0" xfId="72" applyFont="1"/>
    <xf numFmtId="0" fontId="38" fillId="31" borderId="0" xfId="72" applyFont="1" applyFill="1" applyBorder="1"/>
    <xf numFmtId="0" fontId="38" fillId="0" borderId="0" xfId="72" applyFont="1" applyFill="1" applyBorder="1"/>
    <xf numFmtId="0" fontId="38" fillId="0" borderId="9" xfId="72" applyFont="1" applyBorder="1" applyAlignment="1"/>
    <xf numFmtId="0" fontId="38" fillId="0" borderId="9" xfId="72" applyFont="1" applyBorder="1" applyAlignment="1">
      <alignment horizontal="left"/>
    </xf>
    <xf numFmtId="6" fontId="38" fillId="0" borderId="0" xfId="72" applyNumberFormat="1" applyFont="1" applyFill="1" applyBorder="1"/>
    <xf numFmtId="0" fontId="33" fillId="0" borderId="9" xfId="72" applyFont="1" applyBorder="1" applyAlignment="1">
      <alignment horizontal="left"/>
    </xf>
    <xf numFmtId="8" fontId="38" fillId="0" borderId="10" xfId="72" applyNumberFormat="1" applyFont="1" applyBorder="1"/>
    <xf numFmtId="0" fontId="38" fillId="0" borderId="15" xfId="72" applyFont="1" applyBorder="1" applyAlignment="1"/>
    <xf numFmtId="0" fontId="38" fillId="2" borderId="0" xfId="72" applyFont="1" applyFill="1" applyBorder="1"/>
    <xf numFmtId="0" fontId="38" fillId="0" borderId="15" xfId="72" applyFont="1" applyBorder="1" applyAlignment="1">
      <alignment horizontal="left"/>
    </xf>
    <xf numFmtId="0" fontId="38" fillId="0" borderId="0" xfId="72" applyFont="1" applyAlignment="1">
      <alignment horizontal="right"/>
    </xf>
    <xf numFmtId="10" fontId="38" fillId="0" borderId="0" xfId="2" applyNumberFormat="1" applyFont="1"/>
    <xf numFmtId="6" fontId="38" fillId="0" borderId="0" xfId="72" applyNumberFormat="1" applyFont="1" applyFill="1" applyBorder="1" applyAlignment="1">
      <alignment horizontal="center"/>
    </xf>
    <xf numFmtId="0" fontId="38" fillId="0" borderId="16" xfId="72" applyFont="1" applyFill="1" applyBorder="1"/>
    <xf numFmtId="0" fontId="38" fillId="0" borderId="15" xfId="72" applyFont="1" applyFill="1" applyBorder="1"/>
    <xf numFmtId="0" fontId="33" fillId="0" borderId="15" xfId="72" applyFont="1" applyFill="1" applyBorder="1" applyAlignment="1">
      <alignment horizontal="right"/>
    </xf>
    <xf numFmtId="2" fontId="33" fillId="0" borderId="0" xfId="72" applyNumberFormat="1" applyFont="1" applyFill="1" applyBorder="1"/>
    <xf numFmtId="6" fontId="33" fillId="0" borderId="0" xfId="72" applyNumberFormat="1" applyFont="1" applyFill="1" applyBorder="1"/>
    <xf numFmtId="8" fontId="33" fillId="0" borderId="16" xfId="72" applyNumberFormat="1" applyFont="1" applyFill="1" applyBorder="1"/>
    <xf numFmtId="0" fontId="38" fillId="0" borderId="15" xfId="72" applyFont="1" applyFill="1" applyBorder="1" applyAlignment="1"/>
    <xf numFmtId="8" fontId="38" fillId="0" borderId="16" xfId="72" applyNumberFormat="1" applyFont="1" applyFill="1" applyBorder="1"/>
    <xf numFmtId="0" fontId="33" fillId="0" borderId="15" xfId="72" applyFont="1" applyFill="1" applyBorder="1" applyAlignment="1"/>
    <xf numFmtId="0" fontId="33" fillId="0" borderId="0" xfId="72" applyFont="1" applyFill="1" applyBorder="1"/>
    <xf numFmtId="0" fontId="38" fillId="0" borderId="15" xfId="72" applyFont="1" applyFill="1" applyBorder="1" applyAlignment="1">
      <alignment horizontal="right"/>
    </xf>
    <xf numFmtId="10" fontId="33" fillId="0" borderId="0" xfId="72" applyNumberFormat="1" applyFont="1" applyFill="1" applyBorder="1" applyAlignment="1">
      <alignment horizontal="center"/>
    </xf>
    <xf numFmtId="0" fontId="33" fillId="0" borderId="16" xfId="72" applyFont="1" applyFill="1" applyBorder="1"/>
    <xf numFmtId="10" fontId="38" fillId="0" borderId="0" xfId="72" applyNumberFormat="1" applyFont="1" applyFill="1" applyBorder="1" applyAlignment="1"/>
    <xf numFmtId="0" fontId="33" fillId="0" borderId="55" xfId="72" applyFont="1" applyFill="1" applyBorder="1" applyAlignment="1">
      <alignment horizontal="left"/>
    </xf>
    <xf numFmtId="0" fontId="38" fillId="0" borderId="56" xfId="72" applyFont="1" applyFill="1" applyBorder="1"/>
    <xf numFmtId="6" fontId="33" fillId="0" borderId="56" xfId="72" applyNumberFormat="1" applyFont="1" applyFill="1" applyBorder="1"/>
    <xf numFmtId="8" fontId="33" fillId="0" borderId="57" xfId="72" applyNumberFormat="1" applyFont="1" applyFill="1" applyBorder="1"/>
    <xf numFmtId="0" fontId="33" fillId="0" borderId="42" xfId="72" applyFont="1" applyFill="1" applyBorder="1"/>
    <xf numFmtId="0" fontId="33" fillId="0" borderId="55" xfId="72" applyFont="1" applyFill="1" applyBorder="1" applyAlignment="1"/>
    <xf numFmtId="0" fontId="33" fillId="0" borderId="56" xfId="72" applyFont="1" applyFill="1" applyBorder="1"/>
    <xf numFmtId="8" fontId="38" fillId="0" borderId="30" xfId="72" applyNumberFormat="1" applyFont="1" applyBorder="1"/>
    <xf numFmtId="6" fontId="38" fillId="0" borderId="4" xfId="72" applyNumberFormat="1" applyFont="1" applyFill="1" applyBorder="1"/>
    <xf numFmtId="0" fontId="33" fillId="0" borderId="4" xfId="72" applyFont="1" applyBorder="1" applyAlignment="1">
      <alignment horizontal="center" vertical="center"/>
    </xf>
    <xf numFmtId="0" fontId="33" fillId="0" borderId="10" xfId="72" applyFont="1" applyBorder="1" applyAlignment="1">
      <alignment horizontal="center" vertical="center"/>
    </xf>
    <xf numFmtId="0" fontId="33" fillId="0" borderId="4" xfId="72" applyFont="1" applyBorder="1" applyAlignment="1">
      <alignment horizontal="center" vertical="center" wrapText="1"/>
    </xf>
    <xf numFmtId="0" fontId="42" fillId="0" borderId="0" xfId="0" applyFont="1" applyAlignment="1">
      <alignment vertical="top" wrapText="1"/>
    </xf>
    <xf numFmtId="10" fontId="31" fillId="0" borderId="0" xfId="0" applyNumberFormat="1" applyFont="1" applyFill="1" applyBorder="1" applyAlignment="1">
      <alignment horizontal="center" vertical="center"/>
    </xf>
    <xf numFmtId="0" fontId="33" fillId="2" borderId="4" xfId="72" applyFont="1" applyFill="1" applyBorder="1"/>
    <xf numFmtId="10" fontId="0" fillId="0" borderId="42" xfId="2" applyNumberFormat="1" applyFont="1" applyFill="1" applyBorder="1" applyAlignment="1">
      <alignment horizontal="center"/>
    </xf>
    <xf numFmtId="10" fontId="0" fillId="0" borderId="42" xfId="2" applyNumberFormat="1" applyFont="1" applyBorder="1" applyAlignment="1">
      <alignment horizontal="center"/>
    </xf>
    <xf numFmtId="0" fontId="38" fillId="2" borderId="15" xfId="72" applyFont="1" applyFill="1" applyBorder="1" applyAlignment="1">
      <alignment horizontal="right"/>
    </xf>
    <xf numFmtId="2" fontId="38" fillId="0" borderId="4" xfId="72" applyNumberFormat="1" applyFont="1" applyFill="1" applyBorder="1" applyAlignment="1">
      <alignment horizontal="center"/>
    </xf>
    <xf numFmtId="2" fontId="33" fillId="0" borderId="0" xfId="72" applyNumberFormat="1" applyFont="1" applyFill="1" applyBorder="1" applyAlignment="1">
      <alignment horizontal="center"/>
    </xf>
    <xf numFmtId="44" fontId="0" fillId="0" borderId="0" xfId="0" applyNumberFormat="1" applyFont="1"/>
    <xf numFmtId="0" fontId="43" fillId="0" borderId="0" xfId="0" applyFont="1"/>
    <xf numFmtId="0" fontId="43" fillId="0" borderId="0" xfId="0" applyFont="1" applyBorder="1"/>
    <xf numFmtId="0" fontId="0" fillId="0" borderId="0" xfId="0" applyFont="1" applyAlignment="1">
      <alignment vertical="center"/>
    </xf>
    <xf numFmtId="0" fontId="44" fillId="0" borderId="0" xfId="0" applyFont="1" applyBorder="1"/>
    <xf numFmtId="0" fontId="0" fillId="0" borderId="0" xfId="0" applyAlignment="1">
      <alignment horizontal="center"/>
    </xf>
    <xf numFmtId="0" fontId="31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/>
    <xf numFmtId="0" fontId="0" fillId="0" borderId="0" xfId="0" applyFont="1" applyFill="1" applyBorder="1"/>
    <xf numFmtId="0" fontId="33" fillId="0" borderId="10" xfId="72" applyFont="1" applyFill="1" applyBorder="1" applyAlignment="1">
      <alignment horizontal="center" vertical="center"/>
    </xf>
    <xf numFmtId="0" fontId="0" fillId="0" borderId="33" xfId="0" applyFont="1" applyBorder="1" applyAlignment="1">
      <alignment horizontal="left"/>
    </xf>
    <xf numFmtId="170" fontId="0" fillId="0" borderId="32" xfId="1" applyNumberFormat="1" applyFont="1" applyFill="1" applyBorder="1" applyAlignment="1">
      <alignment horizontal="center"/>
    </xf>
    <xf numFmtId="170" fontId="0" fillId="0" borderId="33" xfId="1" applyNumberFormat="1" applyFont="1" applyFill="1" applyBorder="1"/>
    <xf numFmtId="0" fontId="0" fillId="0" borderId="14" xfId="0" applyFont="1" applyFill="1" applyBorder="1"/>
    <xf numFmtId="170" fontId="0" fillId="0" borderId="33" xfId="1" applyNumberFormat="1" applyFont="1" applyFill="1" applyBorder="1" applyAlignment="1">
      <alignment horizontal="left"/>
    </xf>
    <xf numFmtId="170" fontId="0" fillId="0" borderId="14" xfId="1" applyNumberFormat="1" applyFont="1" applyFill="1" applyBorder="1" applyAlignment="1">
      <alignment horizontal="left"/>
    </xf>
    <xf numFmtId="0" fontId="33" fillId="0" borderId="40" xfId="72" applyFont="1" applyFill="1" applyBorder="1"/>
    <xf numFmtId="10" fontId="33" fillId="0" borderId="0" xfId="2" applyNumberFormat="1" applyFont="1" applyFill="1" applyBorder="1" applyAlignment="1">
      <alignment horizontal="center"/>
    </xf>
    <xf numFmtId="0" fontId="33" fillId="0" borderId="68" xfId="72" applyFont="1" applyFill="1" applyBorder="1"/>
    <xf numFmtId="170" fontId="0" fillId="0" borderId="16" xfId="0" applyNumberFormat="1" applyFont="1" applyBorder="1"/>
    <xf numFmtId="0" fontId="31" fillId="0" borderId="15" xfId="0" applyFont="1" applyFill="1" applyBorder="1"/>
    <xf numFmtId="10" fontId="31" fillId="0" borderId="0" xfId="2" applyNumberFormat="1" applyFont="1" applyFill="1" applyBorder="1" applyAlignment="1">
      <alignment horizontal="center"/>
    </xf>
    <xf numFmtId="44" fontId="31" fillId="0" borderId="16" xfId="1" applyNumberFormat="1" applyFont="1" applyFill="1" applyBorder="1"/>
    <xf numFmtId="170" fontId="0" fillId="0" borderId="16" xfId="1" applyNumberFormat="1" applyFont="1" applyBorder="1" applyAlignment="1">
      <alignment horizontal="right"/>
    </xf>
    <xf numFmtId="170" fontId="0" fillId="0" borderId="47" xfId="1" applyNumberFormat="1" applyFont="1" applyBorder="1" applyAlignment="1">
      <alignment horizontal="right"/>
    </xf>
    <xf numFmtId="0" fontId="0" fillId="0" borderId="42" xfId="0" applyFont="1" applyFill="1" applyBorder="1" applyAlignment="1">
      <alignment horizontal="center"/>
    </xf>
    <xf numFmtId="10" fontId="0" fillId="0" borderId="42" xfId="0" applyNumberFormat="1" applyFont="1" applyFill="1" applyBorder="1" applyAlignment="1">
      <alignment horizontal="center"/>
    </xf>
    <xf numFmtId="0" fontId="0" fillId="0" borderId="49" xfId="0" applyFont="1" applyBorder="1" applyAlignment="1">
      <alignment horizontal="center"/>
    </xf>
    <xf numFmtId="170" fontId="31" fillId="0" borderId="50" xfId="1" applyNumberFormat="1" applyFont="1" applyBorder="1"/>
    <xf numFmtId="0" fontId="31" fillId="0" borderId="48" xfId="0" applyFont="1" applyBorder="1"/>
    <xf numFmtId="170" fontId="1" fillId="0" borderId="16" xfId="1" applyNumberFormat="1" applyFont="1" applyBorder="1"/>
    <xf numFmtId="170" fontId="31" fillId="0" borderId="47" xfId="1" applyNumberFormat="1" applyFont="1" applyBorder="1"/>
    <xf numFmtId="0" fontId="31" fillId="0" borderId="41" xfId="0" applyFont="1" applyFill="1" applyBorder="1"/>
    <xf numFmtId="0" fontId="33" fillId="0" borderId="8" xfId="72" applyFont="1" applyFill="1" applyBorder="1" applyAlignment="1">
      <alignment horizontal="center"/>
    </xf>
    <xf numFmtId="6" fontId="38" fillId="0" borderId="32" xfId="72" applyNumberFormat="1" applyFont="1" applyFill="1" applyBorder="1" applyAlignment="1">
      <alignment horizontal="left"/>
    </xf>
    <xf numFmtId="6" fontId="38" fillId="0" borderId="33" xfId="72" applyNumberFormat="1" applyFont="1" applyFill="1" applyBorder="1" applyAlignment="1">
      <alignment horizontal="left"/>
    </xf>
    <xf numFmtId="6" fontId="38" fillId="0" borderId="14" xfId="72" applyNumberFormat="1" applyFont="1" applyFill="1" applyBorder="1" applyAlignment="1">
      <alignment horizontal="left"/>
    </xf>
    <xf numFmtId="0" fontId="38" fillId="0" borderId="14" xfId="72" applyFont="1" applyFill="1" applyBorder="1"/>
    <xf numFmtId="0" fontId="38" fillId="0" borderId="33" xfId="72" applyFont="1" applyFill="1" applyBorder="1"/>
    <xf numFmtId="0" fontId="38" fillId="0" borderId="41" xfId="72" applyFont="1" applyBorder="1" applyAlignment="1"/>
    <xf numFmtId="6" fontId="38" fillId="0" borderId="1" xfId="72" applyNumberFormat="1" applyFont="1" applyFill="1" applyBorder="1" applyAlignment="1">
      <alignment horizontal="center"/>
    </xf>
    <xf numFmtId="10" fontId="38" fillId="0" borderId="0" xfId="72" applyNumberFormat="1" applyFont="1" applyFill="1" applyBorder="1" applyAlignment="1">
      <alignment horizontal="center"/>
    </xf>
    <xf numFmtId="2" fontId="38" fillId="0" borderId="39" xfId="72" applyNumberFormat="1" applyFont="1" applyBorder="1" applyAlignment="1">
      <alignment horizontal="center"/>
    </xf>
    <xf numFmtId="10" fontId="38" fillId="0" borderId="42" xfId="2" applyNumberFormat="1" applyFont="1" applyFill="1" applyBorder="1" applyAlignment="1">
      <alignment horizontal="center"/>
    </xf>
    <xf numFmtId="0" fontId="33" fillId="0" borderId="15" xfId="72" applyFont="1" applyFill="1" applyBorder="1" applyAlignment="1">
      <alignment horizontal="left"/>
    </xf>
    <xf numFmtId="10" fontId="38" fillId="0" borderId="0" xfId="72" applyNumberFormat="1" applyFont="1" applyFill="1" applyBorder="1"/>
    <xf numFmtId="8" fontId="38" fillId="0" borderId="0" xfId="72" applyNumberFormat="1" applyFont="1" applyFill="1" applyBorder="1"/>
    <xf numFmtId="0" fontId="33" fillId="0" borderId="32" xfId="72" applyFont="1" applyFill="1" applyBorder="1" applyAlignment="1">
      <alignment horizontal="center"/>
    </xf>
    <xf numFmtId="0" fontId="38" fillId="0" borderId="41" xfId="72" applyFont="1" applyFill="1" applyBorder="1"/>
    <xf numFmtId="0" fontId="38" fillId="0" borderId="68" xfId="72" applyFont="1" applyFill="1" applyBorder="1"/>
    <xf numFmtId="164" fontId="40" fillId="0" borderId="0" xfId="37" applyNumberFormat="1" applyFont="1" applyAlignment="1">
      <alignment horizontal="center"/>
    </xf>
    <xf numFmtId="0" fontId="33" fillId="0" borderId="0" xfId="0" applyFont="1" applyFill="1" applyBorder="1" applyAlignment="1">
      <alignment horizontal="center"/>
    </xf>
    <xf numFmtId="167" fontId="38" fillId="0" borderId="0" xfId="37" applyNumberFormat="1" applyFont="1" applyFill="1" applyBorder="1" applyAlignment="1">
      <alignment horizontal="right"/>
    </xf>
    <xf numFmtId="169" fontId="38" fillId="0" borderId="0" xfId="37" applyNumberFormat="1" applyFont="1" applyFill="1" applyBorder="1" applyAlignment="1">
      <alignment horizontal="right"/>
    </xf>
    <xf numFmtId="166" fontId="33" fillId="0" borderId="0" xfId="0" applyNumberFormat="1" applyFont="1" applyFill="1" applyBorder="1"/>
    <xf numFmtId="0" fontId="39" fillId="0" borderId="0" xfId="0" applyFont="1" applyFill="1" applyBorder="1"/>
    <xf numFmtId="0" fontId="38" fillId="0" borderId="0" xfId="0" applyFont="1" applyFill="1" applyBorder="1"/>
    <xf numFmtId="0" fontId="38" fillId="0" borderId="13" xfId="0" applyFont="1" applyFill="1" applyBorder="1"/>
    <xf numFmtId="0" fontId="33" fillId="0" borderId="0" xfId="0" applyFont="1" applyFill="1" applyBorder="1"/>
    <xf numFmtId="172" fontId="10" fillId="0" borderId="0" xfId="69" applyNumberFormat="1" applyBorder="1"/>
    <xf numFmtId="0" fontId="4" fillId="0" borderId="0" xfId="3" applyFont="1" applyAlignment="1">
      <alignment horizontal="center"/>
    </xf>
    <xf numFmtId="0" fontId="0" fillId="0" borderId="0" xfId="0" applyBorder="1"/>
    <xf numFmtId="0" fontId="3" fillId="0" borderId="0" xfId="3" applyFont="1" applyAlignment="1">
      <alignment vertical="center"/>
    </xf>
    <xf numFmtId="170" fontId="0" fillId="0" borderId="0" xfId="1" applyNumberFormat="1" applyFont="1" applyFill="1" applyBorder="1" applyAlignment="1">
      <alignment horizontal="center"/>
    </xf>
    <xf numFmtId="8" fontId="0" fillId="0" borderId="0" xfId="0" applyNumberFormat="1" applyFont="1"/>
    <xf numFmtId="6" fontId="40" fillId="0" borderId="4" xfId="3" applyNumberFormat="1" applyFont="1" applyBorder="1" applyAlignment="1"/>
    <xf numFmtId="38" fontId="40" fillId="0" borderId="4" xfId="3" applyNumberFormat="1" applyFont="1" applyBorder="1" applyAlignment="1">
      <alignment horizontal="center"/>
    </xf>
    <xf numFmtId="6" fontId="40" fillId="0" borderId="12" xfId="3" applyNumberFormat="1" applyFont="1" applyBorder="1" applyAlignment="1"/>
    <xf numFmtId="38" fontId="40" fillId="0" borderId="12" xfId="3" applyNumberFormat="1" applyFont="1" applyBorder="1" applyAlignment="1">
      <alignment horizontal="center"/>
    </xf>
    <xf numFmtId="6" fontId="40" fillId="0" borderId="2" xfId="3" applyNumberFormat="1" applyFont="1" applyBorder="1" applyAlignment="1"/>
    <xf numFmtId="38" fontId="40" fillId="0" borderId="2" xfId="3" applyNumberFormat="1" applyFont="1" applyBorder="1" applyAlignment="1">
      <alignment horizontal="center"/>
    </xf>
    <xf numFmtId="0" fontId="40" fillId="0" borderId="4" xfId="3" applyFont="1" applyFill="1" applyBorder="1" applyAlignment="1">
      <alignment wrapText="1"/>
    </xf>
    <xf numFmtId="8" fontId="40" fillId="0" borderId="4" xfId="3" applyNumberFormat="1" applyFont="1" applyBorder="1" applyAlignment="1"/>
    <xf numFmtId="0" fontId="40" fillId="0" borderId="4" xfId="3" applyFont="1" applyBorder="1"/>
    <xf numFmtId="0" fontId="40" fillId="0" borderId="4" xfId="3" applyFont="1" applyBorder="1" applyAlignment="1">
      <alignment horizontal="center"/>
    </xf>
    <xf numFmtId="0" fontId="31" fillId="0" borderId="4" xfId="0" applyFont="1" applyBorder="1"/>
    <xf numFmtId="10" fontId="31" fillId="0" borderId="4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44" fontId="39" fillId="3" borderId="4" xfId="1" applyFont="1" applyFill="1" applyBorder="1"/>
    <xf numFmtId="0" fontId="39" fillId="0" borderId="2" xfId="3" applyFont="1" applyFill="1" applyBorder="1" applyAlignment="1">
      <alignment wrapText="1"/>
    </xf>
    <xf numFmtId="8" fontId="40" fillId="0" borderId="2" xfId="3" applyNumberFormat="1" applyFont="1" applyBorder="1" applyAlignment="1"/>
    <xf numFmtId="0" fontId="40" fillId="0" borderId="2" xfId="3" applyFont="1" applyBorder="1"/>
    <xf numFmtId="0" fontId="40" fillId="0" borderId="12" xfId="3" applyFont="1" applyFill="1" applyBorder="1" applyAlignment="1">
      <alignment wrapText="1"/>
    </xf>
    <xf numFmtId="8" fontId="40" fillId="0" borderId="12" xfId="3" applyNumberFormat="1" applyFont="1" applyBorder="1" applyAlignment="1"/>
    <xf numFmtId="44" fontId="40" fillId="0" borderId="4" xfId="1" applyFont="1" applyBorder="1"/>
    <xf numFmtId="44" fontId="40" fillId="0" borderId="12" xfId="1" applyFont="1" applyBorder="1"/>
    <xf numFmtId="44" fontId="31" fillId="3" borderId="4" xfId="1" applyFont="1" applyFill="1" applyBorder="1"/>
    <xf numFmtId="0" fontId="44" fillId="0" borderId="0" xfId="0" applyFont="1"/>
    <xf numFmtId="3" fontId="31" fillId="0" borderId="0" xfId="66" applyNumberFormat="1" applyFont="1" applyBorder="1" applyAlignment="1">
      <alignment horizontal="center"/>
    </xf>
    <xf numFmtId="0" fontId="1" fillId="0" borderId="0" xfId="66" applyFont="1" applyBorder="1" applyAlignment="1">
      <alignment wrapText="1"/>
    </xf>
    <xf numFmtId="3" fontId="1" fillId="31" borderId="0" xfId="66" applyNumberFormat="1" applyFont="1" applyFill="1" applyBorder="1" applyAlignment="1">
      <alignment horizontal="center"/>
    </xf>
    <xf numFmtId="0" fontId="46" fillId="0" borderId="0" xfId="66" applyFont="1" applyBorder="1" applyAlignment="1">
      <alignment horizontal="center" vertical="center"/>
    </xf>
    <xf numFmtId="0" fontId="1" fillId="0" borderId="0" xfId="66" applyFont="1" applyBorder="1" applyAlignment="1">
      <alignment horizontal="center"/>
    </xf>
    <xf numFmtId="0" fontId="0" fillId="31" borderId="0" xfId="93" applyFont="1" applyFill="1" applyBorder="1"/>
    <xf numFmtId="4" fontId="1" fillId="31" borderId="0" xfId="66" applyNumberFormat="1" applyFont="1" applyFill="1" applyBorder="1" applyAlignment="1">
      <alignment horizontal="center"/>
    </xf>
    <xf numFmtId="0" fontId="46" fillId="31" borderId="0" xfId="93" applyFont="1" applyFill="1" applyBorder="1" applyAlignment="1">
      <alignment vertical="center" wrapText="1"/>
    </xf>
    <xf numFmtId="0" fontId="31" fillId="0" borderId="0" xfId="66" applyFont="1" applyBorder="1" applyAlignment="1">
      <alignment wrapText="1"/>
    </xf>
    <xf numFmtId="0" fontId="1" fillId="0" borderId="0" xfId="66" applyFont="1" applyFill="1" applyBorder="1" applyAlignment="1">
      <alignment wrapText="1"/>
    </xf>
    <xf numFmtId="4" fontId="1" fillId="0" borderId="0" xfId="66" applyNumberFormat="1" applyFont="1" applyBorder="1" applyAlignment="1">
      <alignment horizontal="center"/>
    </xf>
    <xf numFmtId="0" fontId="33" fillId="0" borderId="65" xfId="72" applyFont="1" applyFill="1" applyBorder="1"/>
    <xf numFmtId="0" fontId="33" fillId="0" borderId="62" xfId="72" applyFont="1" applyFill="1" applyBorder="1"/>
    <xf numFmtId="0" fontId="33" fillId="0" borderId="64" xfId="72" applyFont="1" applyFill="1" applyBorder="1"/>
    <xf numFmtId="0" fontId="33" fillId="0" borderId="41" xfId="72" applyFont="1" applyFill="1" applyBorder="1" applyAlignment="1"/>
    <xf numFmtId="8" fontId="33" fillId="3" borderId="70" xfId="72" applyNumberFormat="1" applyFont="1" applyFill="1" applyBorder="1"/>
    <xf numFmtId="10" fontId="0" fillId="0" borderId="0" xfId="2" applyNumberFormat="1" applyFont="1"/>
    <xf numFmtId="10" fontId="43" fillId="0" borderId="0" xfId="2" applyNumberFormat="1" applyFont="1"/>
    <xf numFmtId="10" fontId="40" fillId="0" borderId="0" xfId="2" applyNumberFormat="1" applyFont="1" applyAlignment="1">
      <alignment horizontal="center"/>
    </xf>
    <xf numFmtId="14" fontId="4" fillId="0" borderId="0" xfId="3" applyNumberFormat="1" applyFont="1"/>
    <xf numFmtId="0" fontId="33" fillId="0" borderId="0" xfId="72" applyFont="1" applyFill="1" applyBorder="1" applyAlignment="1">
      <alignment horizontal="center"/>
    </xf>
    <xf numFmtId="6" fontId="38" fillId="0" borderId="0" xfId="72" applyNumberFormat="1" applyFont="1" applyFill="1" applyBorder="1" applyAlignment="1">
      <alignment horizontal="left"/>
    </xf>
    <xf numFmtId="6" fontId="38" fillId="0" borderId="42" xfId="72" applyNumberFormat="1" applyFont="1" applyFill="1" applyBorder="1"/>
    <xf numFmtId="8" fontId="38" fillId="0" borderId="47" xfId="72" applyNumberFormat="1" applyFont="1" applyFill="1" applyBorder="1"/>
    <xf numFmtId="0" fontId="0" fillId="0" borderId="0" xfId="0" applyFont="1" applyFill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left" vertical="top" wrapText="1"/>
    </xf>
    <xf numFmtId="44" fontId="38" fillId="0" borderId="0" xfId="1" applyFont="1"/>
    <xf numFmtId="0" fontId="42" fillId="0" borderId="0" xfId="0" applyFont="1" applyFill="1" applyBorder="1" applyAlignment="1">
      <alignment vertical="top" wrapText="1"/>
    </xf>
    <xf numFmtId="170" fontId="0" fillId="0" borderId="0" xfId="1" applyNumberFormat="1" applyFont="1"/>
    <xf numFmtId="14" fontId="38" fillId="0" borderId="0" xfId="72" applyNumberFormat="1" applyFont="1"/>
    <xf numFmtId="0" fontId="56" fillId="0" borderId="0" xfId="0" applyFont="1" applyFill="1" applyBorder="1"/>
    <xf numFmtId="0" fontId="57" fillId="0" borderId="0" xfId="0" applyFont="1"/>
    <xf numFmtId="0" fontId="54" fillId="29" borderId="66" xfId="0" applyFont="1" applyFill="1" applyBorder="1" applyAlignment="1">
      <alignment horizontal="center" vertical="center"/>
    </xf>
    <xf numFmtId="0" fontId="56" fillId="31" borderId="0" xfId="0" applyFont="1" applyFill="1" applyBorder="1"/>
    <xf numFmtId="3" fontId="59" fillId="29" borderId="0" xfId="0" applyNumberFormat="1" applyFont="1" applyFill="1" applyBorder="1" applyAlignment="1">
      <alignment horizontal="center"/>
    </xf>
    <xf numFmtId="0" fontId="56" fillId="29" borderId="0" xfId="0" applyFont="1" applyFill="1" applyBorder="1" applyAlignment="1">
      <alignment horizontal="center"/>
    </xf>
    <xf numFmtId="0" fontId="59" fillId="29" borderId="0" xfId="0" applyFont="1" applyFill="1" applyBorder="1" applyAlignment="1">
      <alignment horizontal="center"/>
    </xf>
    <xf numFmtId="0" fontId="56" fillId="29" borderId="0" xfId="0" applyFont="1" applyFill="1" applyBorder="1"/>
    <xf numFmtId="0" fontId="59" fillId="29" borderId="0" xfId="0" applyFont="1" applyFill="1" applyBorder="1"/>
    <xf numFmtId="8" fontId="59" fillId="29" borderId="0" xfId="0" applyNumberFormat="1" applyFont="1" applyFill="1" applyBorder="1" applyAlignment="1">
      <alignment horizontal="center" vertical="center"/>
    </xf>
    <xf numFmtId="3" fontId="56" fillId="29" borderId="0" xfId="0" applyNumberFormat="1" applyFont="1" applyFill="1" applyBorder="1" applyAlignment="1">
      <alignment horizontal="center"/>
    </xf>
    <xf numFmtId="6" fontId="56" fillId="29" borderId="0" xfId="0" applyNumberFormat="1" applyFont="1" applyFill="1" applyBorder="1"/>
    <xf numFmtId="0" fontId="59" fillId="29" borderId="0" xfId="0" applyFont="1" applyFill="1" applyBorder="1" applyAlignment="1">
      <alignment horizontal="center" vertical="center"/>
    </xf>
    <xf numFmtId="8" fontId="56" fillId="29" borderId="0" xfId="0" applyNumberFormat="1" applyFont="1" applyFill="1" applyBorder="1"/>
    <xf numFmtId="0" fontId="60" fillId="0" borderId="0" xfId="0" applyFont="1" applyAlignment="1">
      <alignment horizontal="center"/>
    </xf>
    <xf numFmtId="0" fontId="60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0" xfId="0" applyFont="1" applyBorder="1"/>
    <xf numFmtId="10" fontId="57" fillId="0" borderId="0" xfId="2" applyNumberFormat="1" applyFont="1" applyBorder="1"/>
    <xf numFmtId="0" fontId="57" fillId="0" borderId="0" xfId="0" applyFont="1" applyFill="1" applyBorder="1"/>
    <xf numFmtId="10" fontId="61" fillId="0" borderId="0" xfId="0" applyNumberFormat="1" applyFont="1" applyFill="1" applyBorder="1"/>
    <xf numFmtId="0" fontId="40" fillId="0" borderId="2" xfId="3" applyFont="1" applyFill="1" applyBorder="1" applyAlignment="1">
      <alignment wrapText="1"/>
    </xf>
    <xf numFmtId="44" fontId="40" fillId="0" borderId="2" xfId="1" applyFont="1" applyBorder="1"/>
    <xf numFmtId="0" fontId="39" fillId="2" borderId="36" xfId="3" applyFont="1" applyFill="1" applyBorder="1" applyAlignment="1">
      <alignment wrapText="1"/>
    </xf>
    <xf numFmtId="0" fontId="39" fillId="2" borderId="72" xfId="3" applyFont="1" applyFill="1" applyBorder="1" applyAlignment="1">
      <alignment wrapText="1"/>
    </xf>
    <xf numFmtId="0" fontId="39" fillId="2" borderId="71" xfId="3" applyFont="1" applyFill="1" applyBorder="1" applyAlignment="1">
      <alignment horizontal="center" wrapText="1"/>
    </xf>
    <xf numFmtId="0" fontId="39" fillId="2" borderId="38" xfId="3" applyFont="1" applyFill="1" applyBorder="1" applyAlignment="1">
      <alignment wrapText="1"/>
    </xf>
    <xf numFmtId="0" fontId="39" fillId="2" borderId="37" xfId="3" applyFont="1" applyFill="1" applyBorder="1" applyAlignment="1">
      <alignment wrapText="1"/>
    </xf>
    <xf numFmtId="0" fontId="39" fillId="2" borderId="71" xfId="3" applyFont="1" applyFill="1" applyBorder="1" applyAlignment="1">
      <alignment wrapText="1"/>
    </xf>
    <xf numFmtId="14" fontId="55" fillId="0" borderId="0" xfId="72" applyNumberFormat="1" applyFont="1" applyFill="1" applyAlignment="1">
      <alignment horizontal="left"/>
    </xf>
    <xf numFmtId="0" fontId="47" fillId="0" borderId="15" xfId="0" applyFont="1" applyFill="1" applyBorder="1"/>
    <xf numFmtId="6" fontId="62" fillId="0" borderId="0" xfId="0" applyNumberFormat="1" applyFont="1" applyFill="1" applyBorder="1" applyAlignment="1">
      <alignment horizontal="center"/>
    </xf>
    <xf numFmtId="49" fontId="47" fillId="0" borderId="33" xfId="0" applyNumberFormat="1" applyFont="1" applyFill="1" applyBorder="1" applyAlignment="1"/>
    <xf numFmtId="0" fontId="47" fillId="0" borderId="41" xfId="0" applyFont="1" applyFill="1" applyBorder="1"/>
    <xf numFmtId="49" fontId="47" fillId="0" borderId="14" xfId="0" applyNumberFormat="1" applyFont="1" applyFill="1" applyBorder="1" applyAlignment="1"/>
    <xf numFmtId="4" fontId="62" fillId="0" borderId="0" xfId="0" applyNumberFormat="1" applyFont="1" applyFill="1" applyBorder="1" applyAlignment="1">
      <alignment horizontal="center"/>
    </xf>
    <xf numFmtId="2" fontId="62" fillId="0" borderId="42" xfId="0" applyNumberFormat="1" applyFont="1" applyFill="1" applyBorder="1" applyAlignment="1">
      <alignment horizontal="center"/>
    </xf>
    <xf numFmtId="0" fontId="47" fillId="0" borderId="17" xfId="0" applyFont="1" applyFill="1" applyBorder="1"/>
    <xf numFmtId="49" fontId="47" fillId="0" borderId="67" xfId="0" applyNumberFormat="1" applyFont="1" applyFill="1" applyBorder="1" applyAlignment="1"/>
    <xf numFmtId="0" fontId="47" fillId="31" borderId="46" xfId="0" applyFont="1" applyFill="1" applyBorder="1"/>
    <xf numFmtId="0" fontId="47" fillId="0" borderId="15" xfId="0" applyFont="1" applyFill="1" applyBorder="1" applyAlignment="1">
      <alignment horizontal="left"/>
    </xf>
    <xf numFmtId="1" fontId="50" fillId="0" borderId="8" xfId="0" applyNumberFormat="1" applyFont="1" applyFill="1" applyBorder="1" applyAlignment="1">
      <alignment horizontal="center"/>
    </xf>
    <xf numFmtId="0" fontId="47" fillId="0" borderId="15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right"/>
    </xf>
    <xf numFmtId="0" fontId="47" fillId="0" borderId="16" xfId="0" applyFont="1" applyFill="1" applyBorder="1" applyAlignment="1">
      <alignment horizontal="right"/>
    </xf>
    <xf numFmtId="0" fontId="50" fillId="0" borderId="43" xfId="0" applyFont="1" applyFill="1" applyBorder="1"/>
    <xf numFmtId="0" fontId="50" fillId="0" borderId="44" xfId="0" applyFont="1" applyFill="1" applyBorder="1" applyAlignment="1">
      <alignment horizontal="center"/>
    </xf>
    <xf numFmtId="0" fontId="50" fillId="0" borderId="45" xfId="0" applyFont="1" applyFill="1" applyBorder="1" applyAlignment="1">
      <alignment horizontal="center"/>
    </xf>
    <xf numFmtId="6" fontId="47" fillId="0" borderId="0" xfId="0" applyNumberFormat="1" applyFont="1" applyFill="1" applyBorder="1" applyAlignment="1">
      <alignment horizontal="right"/>
    </xf>
    <xf numFmtId="4" fontId="47" fillId="0" borderId="0" xfId="0" applyNumberFormat="1" applyFont="1" applyFill="1" applyBorder="1" applyAlignment="1">
      <alignment horizontal="center"/>
    </xf>
    <xf numFmtId="6" fontId="47" fillId="0" borderId="16" xfId="0" applyNumberFormat="1" applyFont="1" applyFill="1" applyBorder="1" applyAlignment="1"/>
    <xf numFmtId="4" fontId="47" fillId="0" borderId="42" xfId="0" applyNumberFormat="1" applyFont="1" applyFill="1" applyBorder="1" applyAlignment="1">
      <alignment horizontal="center"/>
    </xf>
    <xf numFmtId="6" fontId="47" fillId="0" borderId="47" xfId="0" applyNumberFormat="1" applyFont="1" applyFill="1" applyBorder="1" applyAlignment="1"/>
    <xf numFmtId="0" fontId="50" fillId="0" borderId="15" xfId="0" applyFont="1" applyFill="1" applyBorder="1"/>
    <xf numFmtId="171" fontId="47" fillId="0" borderId="0" xfId="0" applyNumberFormat="1" applyFont="1" applyFill="1" applyBorder="1" applyAlignment="1">
      <alignment horizontal="center"/>
    </xf>
    <xf numFmtId="0" fontId="47" fillId="0" borderId="48" xfId="0" applyFont="1" applyFill="1" applyBorder="1"/>
    <xf numFmtId="10" fontId="47" fillId="0" borderId="49" xfId="0" applyNumberFormat="1" applyFont="1" applyFill="1" applyBorder="1" applyAlignment="1">
      <alignment horizontal="right"/>
    </xf>
    <xf numFmtId="0" fontId="47" fillId="0" borderId="49" xfId="0" applyFont="1" applyFill="1" applyBorder="1" applyAlignment="1">
      <alignment horizontal="right"/>
    </xf>
    <xf numFmtId="6" fontId="47" fillId="0" borderId="50" xfId="0" applyNumberFormat="1" applyFont="1" applyFill="1" applyBorder="1" applyAlignment="1"/>
    <xf numFmtId="0" fontId="50" fillId="0" borderId="51" xfId="0" applyFont="1" applyFill="1" applyBorder="1"/>
    <xf numFmtId="0" fontId="47" fillId="0" borderId="52" xfId="0" applyFont="1" applyFill="1" applyBorder="1" applyAlignment="1">
      <alignment horizontal="right"/>
    </xf>
    <xf numFmtId="6" fontId="47" fillId="0" borderId="53" xfId="0" applyNumberFormat="1" applyFont="1" applyFill="1" applyBorder="1" applyAlignment="1"/>
    <xf numFmtId="0" fontId="47" fillId="0" borderId="15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right" wrapText="1"/>
    </xf>
    <xf numFmtId="49" fontId="50" fillId="0" borderId="0" xfId="0" applyNumberFormat="1" applyFont="1" applyFill="1" applyBorder="1" applyAlignment="1">
      <alignment horizontal="right"/>
    </xf>
    <xf numFmtId="40" fontId="47" fillId="0" borderId="0" xfId="0" applyNumberFormat="1" applyFont="1" applyFill="1" applyBorder="1" applyAlignment="1">
      <alignment horizontal="right"/>
    </xf>
    <xf numFmtId="170" fontId="47" fillId="0" borderId="16" xfId="0" applyNumberFormat="1" applyFont="1" applyFill="1" applyBorder="1" applyAlignment="1"/>
    <xf numFmtId="165" fontId="47" fillId="0" borderId="0" xfId="0" applyNumberFormat="1" applyFont="1" applyFill="1" applyBorder="1" applyAlignment="1">
      <alignment horizontal="right"/>
    </xf>
    <xf numFmtId="170" fontId="47" fillId="30" borderId="16" xfId="0" applyNumberFormat="1" applyFont="1" applyFill="1" applyBorder="1" applyAlignment="1"/>
    <xf numFmtId="0" fontId="47" fillId="0" borderId="34" xfId="0" applyFont="1" applyFill="1" applyBorder="1" applyAlignment="1">
      <alignment horizontal="right"/>
    </xf>
    <xf numFmtId="0" fontId="47" fillId="0" borderId="44" xfId="0" applyFont="1" applyFill="1" applyBorder="1" applyAlignment="1">
      <alignment horizontal="right"/>
    </xf>
    <xf numFmtId="6" fontId="47" fillId="0" borderId="45" xfId="0" applyNumberFormat="1" applyFont="1" applyFill="1" applyBorder="1" applyAlignment="1"/>
    <xf numFmtId="10" fontId="47" fillId="0" borderId="0" xfId="0" applyNumberFormat="1" applyFont="1" applyFill="1" applyBorder="1" applyAlignment="1">
      <alignment horizontal="right"/>
    </xf>
    <xf numFmtId="0" fontId="50" fillId="0" borderId="55" xfId="0" applyFont="1" applyFill="1" applyBorder="1"/>
    <xf numFmtId="0" fontId="50" fillId="0" borderId="56" xfId="0" applyFont="1" applyFill="1" applyBorder="1" applyAlignment="1">
      <alignment horizontal="right"/>
    </xf>
    <xf numFmtId="6" fontId="50" fillId="0" borderId="57" xfId="0" applyNumberFormat="1" applyFont="1" applyFill="1" applyBorder="1" applyAlignment="1"/>
    <xf numFmtId="0" fontId="12" fillId="0" borderId="41" xfId="0" applyFont="1" applyBorder="1"/>
    <xf numFmtId="0" fontId="12" fillId="0" borderId="42" xfId="0" applyFont="1" applyBorder="1"/>
    <xf numFmtId="6" fontId="50" fillId="0" borderId="47" xfId="0" applyNumberFormat="1" applyFont="1" applyFill="1" applyBorder="1" applyAlignment="1"/>
    <xf numFmtId="0" fontId="63" fillId="0" borderId="55" xfId="0" applyFont="1" applyBorder="1"/>
    <xf numFmtId="10" fontId="12" fillId="0" borderId="56" xfId="0" applyNumberFormat="1" applyFont="1" applyBorder="1"/>
    <xf numFmtId="0" fontId="12" fillId="0" borderId="56" xfId="0" applyFont="1" applyBorder="1"/>
    <xf numFmtId="0" fontId="63" fillId="0" borderId="36" xfId="0" applyFont="1" applyBorder="1"/>
    <xf numFmtId="0" fontId="12" fillId="0" borderId="37" xfId="0" applyFont="1" applyBorder="1"/>
    <xf numFmtId="8" fontId="63" fillId="3" borderId="38" xfId="0" applyNumberFormat="1" applyFont="1" applyFill="1" applyBorder="1"/>
    <xf numFmtId="14" fontId="28" fillId="0" borderId="0" xfId="0" applyNumberFormat="1" applyFont="1"/>
    <xf numFmtId="0" fontId="64" fillId="37" borderId="7" xfId="61" applyFont="1" applyFill="1" applyBorder="1"/>
    <xf numFmtId="0" fontId="65" fillId="37" borderId="8" xfId="61" applyFont="1" applyFill="1" applyBorder="1"/>
    <xf numFmtId="0" fontId="10" fillId="0" borderId="0" xfId="61"/>
    <xf numFmtId="0" fontId="65" fillId="37" borderId="0" xfId="61" applyFont="1" applyFill="1" applyBorder="1"/>
    <xf numFmtId="0" fontId="27" fillId="37" borderId="16" xfId="61" applyFont="1" applyFill="1" applyBorder="1"/>
    <xf numFmtId="0" fontId="66" fillId="37" borderId="18" xfId="61" applyFont="1" applyFill="1" applyBorder="1"/>
    <xf numFmtId="0" fontId="27" fillId="37" borderId="19" xfId="61" applyFont="1" applyFill="1" applyBorder="1"/>
    <xf numFmtId="0" fontId="27" fillId="0" borderId="0" xfId="61" applyFont="1"/>
    <xf numFmtId="0" fontId="34" fillId="0" borderId="0" xfId="90" applyFont="1" applyFill="1"/>
    <xf numFmtId="0" fontId="34" fillId="32" borderId="0" xfId="90" applyFont="1" applyFill="1"/>
    <xf numFmtId="0" fontId="34" fillId="38" borderId="0" xfId="90" applyFont="1" applyFill="1"/>
    <xf numFmtId="14" fontId="27" fillId="0" borderId="0" xfId="61" applyNumberFormat="1" applyFont="1"/>
    <xf numFmtId="172" fontId="10" fillId="0" borderId="0" xfId="61" applyNumberFormat="1"/>
    <xf numFmtId="0" fontId="38" fillId="0" borderId="0" xfId="61" applyFont="1"/>
    <xf numFmtId="0" fontId="10" fillId="0" borderId="54" xfId="69" applyBorder="1"/>
    <xf numFmtId="0" fontId="10" fillId="0" borderId="42" xfId="69" applyBorder="1"/>
    <xf numFmtId="0" fontId="10" fillId="0" borderId="1" xfId="69" applyBorder="1"/>
    <xf numFmtId="0" fontId="0" fillId="0" borderId="0" xfId="0" applyFont="1" applyFill="1"/>
    <xf numFmtId="8" fontId="10" fillId="0" borderId="0" xfId="72" applyNumberFormat="1"/>
    <xf numFmtId="8" fontId="43" fillId="0" borderId="0" xfId="0" applyNumberFormat="1" applyFont="1" applyBorder="1"/>
    <xf numFmtId="0" fontId="43" fillId="0" borderId="0" xfId="0" applyFont="1" applyAlignment="1">
      <alignment horizontal="right"/>
    </xf>
    <xf numFmtId="10" fontId="38" fillId="0" borderId="0" xfId="2" applyNumberFormat="1" applyFont="1" applyAlignment="1">
      <alignment horizontal="right"/>
    </xf>
    <xf numFmtId="10" fontId="10" fillId="0" borderId="0" xfId="2" applyNumberFormat="1" applyFont="1"/>
    <xf numFmtId="0" fontId="68" fillId="0" borderId="0" xfId="0" applyFont="1"/>
    <xf numFmtId="173" fontId="68" fillId="0" borderId="0" xfId="0" applyNumberFormat="1" applyFont="1"/>
    <xf numFmtId="0" fontId="70" fillId="0" borderId="0" xfId="0" applyFont="1"/>
    <xf numFmtId="170" fontId="68" fillId="0" borderId="0" xfId="1" applyNumberFormat="1" applyFont="1"/>
    <xf numFmtId="0" fontId="68" fillId="0" borderId="0" xfId="0" applyFont="1" applyBorder="1"/>
    <xf numFmtId="173" fontId="68" fillId="0" borderId="0" xfId="0" applyNumberFormat="1" applyFont="1" applyBorder="1"/>
    <xf numFmtId="8" fontId="68" fillId="0" borderId="0" xfId="0" applyNumberFormat="1" applyFont="1" applyBorder="1"/>
    <xf numFmtId="6" fontId="68" fillId="0" borderId="0" xfId="0" applyNumberFormat="1" applyFont="1" applyBorder="1"/>
    <xf numFmtId="3" fontId="69" fillId="0" borderId="0" xfId="66" applyNumberFormat="1" applyFont="1" applyBorder="1" applyAlignment="1">
      <alignment wrapText="1"/>
    </xf>
    <xf numFmtId="3" fontId="69" fillId="0" borderId="0" xfId="66" applyNumberFormat="1" applyFont="1" applyBorder="1" applyAlignment="1">
      <alignment horizontal="center"/>
    </xf>
    <xf numFmtId="0" fontId="69" fillId="0" borderId="0" xfId="66" applyFont="1" applyBorder="1" applyAlignment="1">
      <alignment horizontal="center"/>
    </xf>
    <xf numFmtId="10" fontId="68" fillId="0" borderId="0" xfId="2" applyNumberFormat="1" applyFont="1"/>
    <xf numFmtId="0" fontId="68" fillId="0" borderId="0" xfId="66" applyFont="1" applyBorder="1" applyAlignment="1">
      <alignment wrapText="1"/>
    </xf>
    <xf numFmtId="3" fontId="68" fillId="31" borderId="0" xfId="66" applyNumberFormat="1" applyFont="1" applyFill="1" applyBorder="1" applyAlignment="1">
      <alignment horizontal="center"/>
    </xf>
    <xf numFmtId="0" fontId="71" fillId="0" borderId="0" xfId="66" applyFont="1" applyBorder="1" applyAlignment="1">
      <alignment horizontal="center" vertical="center"/>
    </xf>
    <xf numFmtId="0" fontId="68" fillId="0" borderId="0" xfId="66" applyFont="1" applyBorder="1" applyAlignment="1">
      <alignment horizontal="center"/>
    </xf>
    <xf numFmtId="170" fontId="68" fillId="0" borderId="0" xfId="1" applyNumberFormat="1" applyFont="1" applyBorder="1"/>
    <xf numFmtId="0" fontId="68" fillId="0" borderId="0" xfId="66" applyFont="1" applyBorder="1" applyAlignment="1">
      <alignment vertical="center" wrapText="1"/>
    </xf>
    <xf numFmtId="3" fontId="68" fillId="31" borderId="0" xfId="66" applyNumberFormat="1" applyFont="1" applyFill="1" applyBorder="1" applyAlignment="1">
      <alignment horizontal="center" vertical="center"/>
    </xf>
    <xf numFmtId="0" fontId="68" fillId="0" borderId="0" xfId="66" applyFont="1" applyBorder="1" applyAlignment="1">
      <alignment horizontal="center" vertical="center"/>
    </xf>
    <xf numFmtId="170" fontId="68" fillId="0" borderId="0" xfId="0" applyNumberFormat="1" applyFont="1" applyBorder="1"/>
    <xf numFmtId="0" fontId="68" fillId="0" borderId="0" xfId="0" applyFont="1" applyBorder="1" applyAlignment="1">
      <alignment horizontal="right"/>
    </xf>
    <xf numFmtId="0" fontId="72" fillId="0" borderId="0" xfId="72" applyFont="1"/>
    <xf numFmtId="0" fontId="73" fillId="0" borderId="0" xfId="72" applyFont="1"/>
    <xf numFmtId="8" fontId="72" fillId="0" borderId="0" xfId="72" applyNumberFormat="1" applyFont="1"/>
    <xf numFmtId="10" fontId="72" fillId="0" borderId="0" xfId="2" applyNumberFormat="1" applyFont="1"/>
    <xf numFmtId="8" fontId="72" fillId="0" borderId="0" xfId="72" applyNumberFormat="1" applyFont="1" applyAlignment="1">
      <alignment horizontal="right"/>
    </xf>
    <xf numFmtId="10" fontId="38" fillId="0" borderId="64" xfId="72" applyNumberFormat="1" applyFont="1" applyFill="1" applyBorder="1" applyAlignment="1">
      <alignment horizontal="center"/>
    </xf>
    <xf numFmtId="0" fontId="0" fillId="0" borderId="32" xfId="0" applyFont="1" applyFill="1" applyBorder="1" applyAlignment="1">
      <alignment horizontal="left"/>
    </xf>
    <xf numFmtId="38" fontId="33" fillId="2" borderId="10" xfId="72" applyNumberFormat="1" applyFont="1" applyFill="1" applyBorder="1"/>
    <xf numFmtId="0" fontId="0" fillId="0" borderId="0" xfId="0" applyFont="1" applyFill="1" applyBorder="1" applyAlignment="1">
      <alignment horizontal="center"/>
    </xf>
    <xf numFmtId="10" fontId="33" fillId="0" borderId="34" xfId="2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31" fillId="0" borderId="48" xfId="0" applyFont="1" applyFill="1" applyBorder="1"/>
    <xf numFmtId="10" fontId="31" fillId="0" borderId="49" xfId="2" applyNumberFormat="1" applyFont="1" applyFill="1" applyBorder="1" applyAlignment="1">
      <alignment horizontal="center"/>
    </xf>
    <xf numFmtId="0" fontId="31" fillId="0" borderId="49" xfId="0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9" fontId="0" fillId="0" borderId="0" xfId="0" applyNumberFormat="1" applyFont="1" applyFill="1"/>
    <xf numFmtId="38" fontId="31" fillId="0" borderId="16" xfId="0" applyNumberFormat="1" applyFont="1" applyFill="1" applyBorder="1" applyAlignment="1">
      <alignment horizontal="center" vertical="center"/>
    </xf>
    <xf numFmtId="10" fontId="73" fillId="0" borderId="0" xfId="2" applyNumberFormat="1" applyFont="1" applyBorder="1" applyAlignment="1">
      <alignment horizontal="right"/>
    </xf>
    <xf numFmtId="0" fontId="33" fillId="0" borderId="15" xfId="0" applyFont="1" applyFill="1" applyBorder="1"/>
    <xf numFmtId="0" fontId="38" fillId="0" borderId="15" xfId="0" applyFont="1" applyFill="1" applyBorder="1"/>
    <xf numFmtId="10" fontId="38" fillId="0" borderId="0" xfId="2" applyNumberFormat="1" applyFont="1" applyFill="1" applyBorder="1" applyAlignment="1">
      <alignment horizontal="center"/>
    </xf>
    <xf numFmtId="10" fontId="38" fillId="0" borderId="0" xfId="0" applyNumberFormat="1" applyFont="1" applyFill="1" applyBorder="1" applyAlignment="1">
      <alignment horizontal="center"/>
    </xf>
    <xf numFmtId="170" fontId="38" fillId="0" borderId="16" xfId="1" applyNumberFormat="1" applyFont="1" applyBorder="1"/>
    <xf numFmtId="10" fontId="38" fillId="0" borderId="44" xfId="2" applyNumberFormat="1" applyFont="1" applyFill="1" applyBorder="1" applyAlignment="1">
      <alignment horizontal="center"/>
    </xf>
    <xf numFmtId="0" fontId="38" fillId="0" borderId="62" xfId="72" applyFont="1" applyFill="1" applyBorder="1"/>
    <xf numFmtId="0" fontId="38" fillId="0" borderId="4" xfId="0" applyFont="1" applyFill="1" applyBorder="1" applyAlignment="1">
      <alignment horizontal="left"/>
    </xf>
    <xf numFmtId="6" fontId="38" fillId="0" borderId="49" xfId="72" applyNumberFormat="1" applyFont="1" applyFill="1" applyBorder="1"/>
    <xf numFmtId="10" fontId="40" fillId="0" borderId="4" xfId="1" applyNumberFormat="1" applyFont="1" applyFill="1" applyBorder="1" applyAlignment="1">
      <alignment horizontal="center"/>
    </xf>
    <xf numFmtId="0" fontId="31" fillId="31" borderId="0" xfId="0" applyFont="1" applyFill="1" applyBorder="1" applyAlignment="1">
      <alignment horizontal="center"/>
    </xf>
    <xf numFmtId="0" fontId="31" fillId="31" borderId="16" xfId="0" applyFont="1" applyFill="1" applyBorder="1" applyAlignment="1">
      <alignment horizontal="center"/>
    </xf>
    <xf numFmtId="3" fontId="31" fillId="0" borderId="5" xfId="0" applyNumberFormat="1" applyFont="1" applyBorder="1" applyAlignment="1"/>
    <xf numFmtId="3" fontId="31" fillId="0" borderId="0" xfId="0" applyNumberFormat="1" applyFont="1" applyBorder="1" applyAlignment="1"/>
    <xf numFmtId="3" fontId="31" fillId="0" borderId="7" xfId="0" applyNumberFormat="1" applyFont="1" applyBorder="1" applyAlignment="1">
      <alignment horizontal="right"/>
    </xf>
    <xf numFmtId="3" fontId="31" fillId="0" borderId="8" xfId="0" applyNumberFormat="1" applyFont="1" applyFill="1" applyBorder="1" applyAlignment="1">
      <alignment horizontal="center"/>
    </xf>
    <xf numFmtId="166" fontId="38" fillId="0" borderId="15" xfId="0" applyNumberFormat="1" applyFont="1" applyBorder="1" applyAlignment="1">
      <alignment horizontal="left"/>
    </xf>
    <xf numFmtId="166" fontId="38" fillId="0" borderId="16" xfId="0" applyNumberFormat="1" applyFont="1" applyFill="1" applyBorder="1" applyAlignment="1">
      <alignment horizontal="right"/>
    </xf>
    <xf numFmtId="0" fontId="38" fillId="0" borderId="0" xfId="0" applyFont="1" applyBorder="1" applyAlignment="1"/>
    <xf numFmtId="0" fontId="38" fillId="0" borderId="16" xfId="0" applyFont="1" applyBorder="1" applyAlignment="1"/>
    <xf numFmtId="0" fontId="31" fillId="0" borderId="43" xfId="0" applyFont="1" applyBorder="1"/>
    <xf numFmtId="0" fontId="31" fillId="0" borderId="44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166" fontId="38" fillId="0" borderId="15" xfId="0" applyNumberFormat="1" applyFont="1" applyBorder="1" applyAlignment="1">
      <alignment horizontal="left" vertical="center"/>
    </xf>
    <xf numFmtId="166" fontId="38" fillId="0" borderId="16" xfId="0" applyNumberFormat="1" applyFont="1" applyFill="1" applyBorder="1" applyAlignment="1">
      <alignment horizontal="left" vertical="center"/>
    </xf>
    <xf numFmtId="166" fontId="0" fillId="0" borderId="15" xfId="0" applyNumberFormat="1" applyFont="1" applyBorder="1"/>
    <xf numFmtId="4" fontId="0" fillId="0" borderId="0" xfId="0" applyNumberFormat="1" applyFont="1" applyBorder="1" applyAlignment="1">
      <alignment horizontal="center"/>
    </xf>
    <xf numFmtId="166" fontId="38" fillId="0" borderId="34" xfId="0" applyNumberFormat="1" applyFont="1" applyFill="1" applyBorder="1" applyAlignment="1">
      <alignment horizontal="center"/>
    </xf>
    <xf numFmtId="6" fontId="0" fillId="0" borderId="16" xfId="0" applyNumberFormat="1" applyFont="1" applyBorder="1" applyAlignment="1">
      <alignment horizontal="right"/>
    </xf>
    <xf numFmtId="166" fontId="38" fillId="0" borderId="41" xfId="0" applyNumberFormat="1" applyFont="1" applyBorder="1" applyAlignment="1">
      <alignment horizontal="left"/>
    </xf>
    <xf numFmtId="166" fontId="38" fillId="0" borderId="47" xfId="0" applyNumberFormat="1" applyFont="1" applyFill="1" applyBorder="1" applyAlignment="1">
      <alignment horizontal="right"/>
    </xf>
    <xf numFmtId="0" fontId="0" fillId="0" borderId="42" xfId="0" applyFont="1" applyBorder="1" applyAlignment="1">
      <alignment horizontal="left"/>
    </xf>
    <xf numFmtId="0" fontId="38" fillId="0" borderId="47" xfId="0" applyFont="1" applyBorder="1" applyAlignment="1"/>
    <xf numFmtId="166" fontId="38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16" xfId="0" applyFont="1" applyBorder="1" applyAlignment="1"/>
    <xf numFmtId="166" fontId="0" fillId="0" borderId="41" xfId="0" applyNumberFormat="1" applyFont="1" applyBorder="1"/>
    <xf numFmtId="4" fontId="0" fillId="0" borderId="42" xfId="0" applyNumberFormat="1" applyFont="1" applyBorder="1" applyAlignment="1">
      <alignment horizontal="center"/>
    </xf>
    <xf numFmtId="166" fontId="38" fillId="0" borderId="42" xfId="0" applyNumberFormat="1" applyFont="1" applyFill="1" applyBorder="1" applyAlignment="1">
      <alignment horizontal="center"/>
    </xf>
    <xf numFmtId="6" fontId="0" fillId="0" borderId="47" xfId="0" applyNumberFormat="1" applyFont="1" applyBorder="1" applyAlignment="1">
      <alignment horizontal="right"/>
    </xf>
    <xf numFmtId="2" fontId="77" fillId="0" borderId="16" xfId="0" applyNumberFormat="1" applyFont="1" applyBorder="1" applyAlignment="1">
      <alignment horizontal="right"/>
    </xf>
    <xf numFmtId="0" fontId="31" fillId="31" borderId="15" xfId="0" applyFont="1" applyFill="1" applyBorder="1"/>
    <xf numFmtId="4" fontId="31" fillId="31" borderId="0" xfId="0" applyNumberFormat="1" applyFont="1" applyFill="1" applyBorder="1" applyAlignment="1">
      <alignment horizontal="center"/>
    </xf>
    <xf numFmtId="0" fontId="0" fillId="31" borderId="0" xfId="0" applyFont="1" applyFill="1" applyBorder="1" applyAlignment="1">
      <alignment horizontal="center"/>
    </xf>
    <xf numFmtId="6" fontId="31" fillId="31" borderId="16" xfId="0" applyNumberFormat="1" applyFont="1" applyFill="1" applyBorder="1" applyAlignment="1">
      <alignment horizontal="right"/>
    </xf>
    <xf numFmtId="171" fontId="0" fillId="31" borderId="0" xfId="0" applyNumberFormat="1" applyFont="1" applyFill="1" applyBorder="1" applyAlignment="1">
      <alignment horizontal="right"/>
    </xf>
    <xf numFmtId="0" fontId="0" fillId="31" borderId="0" xfId="0" applyFont="1" applyFill="1" applyBorder="1" applyAlignment="1">
      <alignment horizontal="right"/>
    </xf>
    <xf numFmtId="6" fontId="0" fillId="31" borderId="16" xfId="0" applyNumberFormat="1" applyFont="1" applyFill="1" applyBorder="1" applyAlignment="1">
      <alignment horizontal="right"/>
    </xf>
    <xf numFmtId="2" fontId="77" fillId="0" borderId="47" xfId="0" applyNumberFormat="1" applyFont="1" applyBorder="1" applyAlignment="1">
      <alignment horizontal="right"/>
    </xf>
    <xf numFmtId="0" fontId="0" fillId="0" borderId="42" xfId="0" applyFont="1" applyBorder="1" applyAlignment="1"/>
    <xf numFmtId="0" fontId="0" fillId="0" borderId="47" xfId="0" applyFont="1" applyBorder="1" applyAlignment="1"/>
    <xf numFmtId="0" fontId="0" fillId="31" borderId="48" xfId="0" applyFont="1" applyFill="1" applyBorder="1"/>
    <xf numFmtId="10" fontId="0" fillId="31" borderId="49" xfId="0" applyNumberFormat="1" applyFont="1" applyFill="1" applyBorder="1" applyAlignment="1">
      <alignment horizontal="right"/>
    </xf>
    <xf numFmtId="10" fontId="0" fillId="31" borderId="49" xfId="0" applyNumberFormat="1" applyFont="1" applyFill="1" applyBorder="1" applyAlignment="1">
      <alignment horizontal="center"/>
    </xf>
    <xf numFmtId="6" fontId="0" fillId="31" borderId="50" xfId="0" applyNumberFormat="1" applyFont="1" applyFill="1" applyBorder="1" applyAlignment="1">
      <alignment horizontal="right"/>
    </xf>
    <xf numFmtId="0" fontId="31" fillId="31" borderId="51" xfId="0" applyFont="1" applyFill="1" applyBorder="1"/>
    <xf numFmtId="0" fontId="31" fillId="31" borderId="52" xfId="0" applyFont="1" applyFill="1" applyBorder="1"/>
    <xf numFmtId="0" fontId="0" fillId="31" borderId="52" xfId="0" applyFont="1" applyFill="1" applyBorder="1" applyAlignment="1">
      <alignment horizontal="right"/>
    </xf>
    <xf numFmtId="6" fontId="0" fillId="31" borderId="53" xfId="0" applyNumberFormat="1" applyFont="1" applyFill="1" applyBorder="1" applyAlignment="1">
      <alignment horizontal="right"/>
    </xf>
    <xf numFmtId="1" fontId="38" fillId="0" borderId="16" xfId="0" applyNumberFormat="1" applyFont="1" applyBorder="1" applyAlignment="1">
      <alignment horizontal="right"/>
    </xf>
    <xf numFmtId="0" fontId="0" fillId="31" borderId="15" xfId="0" applyFont="1" applyFill="1" applyBorder="1" applyAlignment="1">
      <alignment vertical="center"/>
    </xf>
    <xf numFmtId="0" fontId="0" fillId="31" borderId="0" xfId="0" applyFont="1" applyFill="1" applyBorder="1" applyAlignment="1">
      <alignment vertical="center"/>
    </xf>
    <xf numFmtId="49" fontId="31" fillId="31" borderId="0" xfId="0" applyNumberFormat="1" applyFont="1" applyFill="1" applyBorder="1" applyAlignment="1">
      <alignment horizontal="right"/>
    </xf>
    <xf numFmtId="0" fontId="0" fillId="0" borderId="5" xfId="0" applyFont="1" applyBorder="1" applyAlignment="1"/>
    <xf numFmtId="0" fontId="0" fillId="0" borderId="8" xfId="0" applyFont="1" applyBorder="1" applyAlignment="1"/>
    <xf numFmtId="0" fontId="0" fillId="31" borderId="15" xfId="0" applyFont="1" applyFill="1" applyBorder="1"/>
    <xf numFmtId="0" fontId="0" fillId="31" borderId="0" xfId="0" applyFont="1" applyFill="1" applyBorder="1"/>
    <xf numFmtId="0" fontId="38" fillId="0" borderId="15" xfId="0" applyFont="1" applyFill="1" applyBorder="1" applyAlignment="1">
      <alignment horizontal="left"/>
    </xf>
    <xf numFmtId="10" fontId="38" fillId="0" borderId="16" xfId="0" applyNumberFormat="1" applyFont="1" applyFill="1" applyBorder="1" applyAlignment="1">
      <alignment horizontal="right" vertical="center"/>
    </xf>
    <xf numFmtId="0" fontId="0" fillId="0" borderId="15" xfId="0" applyFont="1" applyBorder="1" applyAlignment="1"/>
    <xf numFmtId="0" fontId="38" fillId="0" borderId="15" xfId="0" applyFont="1" applyBorder="1" applyAlignment="1">
      <alignment horizontal="left"/>
    </xf>
    <xf numFmtId="173" fontId="38" fillId="0" borderId="16" xfId="91" applyNumberFormat="1" applyFont="1" applyFill="1" applyBorder="1" applyAlignment="1">
      <alignment horizontal="right" vertical="center"/>
    </xf>
    <xf numFmtId="0" fontId="38" fillId="0" borderId="15" xfId="0" applyFont="1" applyBorder="1" applyAlignment="1"/>
    <xf numFmtId="0" fontId="31" fillId="31" borderId="43" xfId="0" applyFont="1" applyFill="1" applyBorder="1"/>
    <xf numFmtId="0" fontId="31" fillId="31" borderId="44" xfId="0" applyFont="1" applyFill="1" applyBorder="1"/>
    <xf numFmtId="0" fontId="0" fillId="0" borderId="44" xfId="0" applyFont="1" applyFill="1" applyBorder="1" applyAlignment="1">
      <alignment horizontal="right"/>
    </xf>
    <xf numFmtId="6" fontId="0" fillId="31" borderId="45" xfId="0" applyNumberFormat="1" applyFont="1" applyFill="1" applyBorder="1" applyAlignment="1">
      <alignment horizontal="right"/>
    </xf>
    <xf numFmtId="0" fontId="31" fillId="31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15" xfId="0" applyFont="1" applyFill="1" applyBorder="1" applyAlignment="1"/>
    <xf numFmtId="0" fontId="0" fillId="0" borderId="16" xfId="0" applyFont="1" applyFill="1" applyBorder="1" applyAlignment="1"/>
    <xf numFmtId="0" fontId="31" fillId="31" borderId="55" xfId="0" applyFont="1" applyFill="1" applyBorder="1"/>
    <xf numFmtId="0" fontId="31" fillId="31" borderId="56" xfId="0" applyFont="1" applyFill="1" applyBorder="1"/>
    <xf numFmtId="0" fontId="31" fillId="0" borderId="56" xfId="0" applyFont="1" applyFill="1" applyBorder="1" applyAlignment="1">
      <alignment horizontal="center"/>
    </xf>
    <xf numFmtId="6" fontId="31" fillId="31" borderId="57" xfId="0" applyNumberFormat="1" applyFont="1" applyFill="1" applyBorder="1" applyAlignment="1">
      <alignment horizontal="right"/>
    </xf>
    <xf numFmtId="10" fontId="38" fillId="0" borderId="16" xfId="78" applyNumberFormat="1" applyFont="1" applyFill="1" applyBorder="1" applyAlignment="1">
      <alignment horizontal="right"/>
    </xf>
    <xf numFmtId="0" fontId="38" fillId="0" borderId="17" xfId="0" applyFont="1" applyBorder="1" applyAlignment="1">
      <alignment horizontal="left"/>
    </xf>
    <xf numFmtId="10" fontId="38" fillId="0" borderId="19" xfId="78" applyNumberFormat="1" applyFont="1" applyFill="1" applyBorder="1" applyAlignment="1">
      <alignment horizontal="right"/>
    </xf>
    <xf numFmtId="0" fontId="0" fillId="0" borderId="17" xfId="0" applyFont="1" applyFill="1" applyBorder="1" applyAlignment="1">
      <alignment horizontal="left"/>
    </xf>
    <xf numFmtId="0" fontId="0" fillId="0" borderId="19" xfId="0" applyFont="1" applyFill="1" applyBorder="1" applyAlignment="1"/>
    <xf numFmtId="0" fontId="22" fillId="0" borderId="0" xfId="69" applyFont="1" applyBorder="1" applyAlignment="1">
      <alignment horizontal="left"/>
    </xf>
    <xf numFmtId="0" fontId="38" fillId="31" borderId="15" xfId="0" applyFont="1" applyFill="1" applyBorder="1"/>
    <xf numFmtId="0" fontId="38" fillId="31" borderId="0" xfId="0" applyFont="1" applyFill="1" applyBorder="1"/>
    <xf numFmtId="6" fontId="38" fillId="31" borderId="16" xfId="0" applyNumberFormat="1" applyFont="1" applyFill="1" applyBorder="1" applyAlignment="1">
      <alignment horizontal="right"/>
    </xf>
    <xf numFmtId="0" fontId="38" fillId="0" borderId="0" xfId="0" applyFont="1" applyBorder="1" applyAlignment="1">
      <alignment horizontal="left"/>
    </xf>
    <xf numFmtId="10" fontId="77" fillId="0" borderId="0" xfId="78" applyNumberFormat="1" applyFont="1" applyFill="1" applyBorder="1" applyAlignment="1">
      <alignment horizontal="right"/>
    </xf>
    <xf numFmtId="0" fontId="31" fillId="31" borderId="56" xfId="0" applyFont="1" applyFill="1" applyBorder="1" applyAlignment="1">
      <alignment horizontal="right"/>
    </xf>
    <xf numFmtId="0" fontId="31" fillId="0" borderId="18" xfId="0" applyFont="1" applyFill="1" applyBorder="1"/>
    <xf numFmtId="8" fontId="31" fillId="3" borderId="19" xfId="0" applyNumberFormat="1" applyFont="1" applyFill="1" applyBorder="1"/>
    <xf numFmtId="0" fontId="49" fillId="0" borderId="0" xfId="0" applyFont="1" applyFill="1"/>
    <xf numFmtId="3" fontId="56" fillId="0" borderId="0" xfId="0" applyNumberFormat="1" applyFont="1" applyFill="1" applyBorder="1" applyAlignment="1">
      <alignment horizontal="center"/>
    </xf>
    <xf numFmtId="6" fontId="56" fillId="0" borderId="0" xfId="0" applyNumberFormat="1" applyFont="1" applyFill="1" applyBorder="1"/>
    <xf numFmtId="0" fontId="57" fillId="0" borderId="0" xfId="0" applyFont="1" applyFill="1" applyBorder="1" applyAlignment="1">
      <alignment horizontal="center"/>
    </xf>
    <xf numFmtId="6" fontId="62" fillId="0" borderId="42" xfId="0" applyNumberFormat="1" applyFont="1" applyFill="1" applyBorder="1" applyAlignment="1">
      <alignment horizontal="center"/>
    </xf>
    <xf numFmtId="10" fontId="62" fillId="0" borderId="0" xfId="0" applyNumberFormat="1" applyFont="1" applyFill="1" applyBorder="1" applyAlignment="1">
      <alignment horizontal="center"/>
    </xf>
    <xf numFmtId="10" fontId="62" fillId="0" borderId="18" xfId="0" applyNumberFormat="1" applyFont="1" applyFill="1" applyBorder="1" applyAlignment="1">
      <alignment horizontal="center"/>
    </xf>
    <xf numFmtId="10" fontId="47" fillId="0" borderId="18" xfId="0" applyNumberFormat="1" applyFont="1" applyFill="1" applyBorder="1" applyAlignment="1">
      <alignment horizontal="center"/>
    </xf>
    <xf numFmtId="6" fontId="47" fillId="0" borderId="42" xfId="0" applyNumberFormat="1" applyFont="1" applyFill="1" applyBorder="1" applyAlignment="1">
      <alignment horizontal="right"/>
    </xf>
    <xf numFmtId="10" fontId="12" fillId="0" borderId="42" xfId="0" applyNumberFormat="1" applyFont="1" applyFill="1" applyBorder="1"/>
    <xf numFmtId="0" fontId="62" fillId="0" borderId="41" xfId="0" applyFont="1" applyBorder="1"/>
    <xf numFmtId="10" fontId="62" fillId="0" borderId="42" xfId="0" applyNumberFormat="1" applyFont="1" applyFill="1" applyBorder="1"/>
    <xf numFmtId="0" fontId="62" fillId="0" borderId="42" xfId="0" applyFont="1" applyBorder="1"/>
    <xf numFmtId="6" fontId="62" fillId="0" borderId="47" xfId="0" applyNumberFormat="1" applyFont="1" applyFill="1" applyBorder="1" applyAlignment="1"/>
    <xf numFmtId="14" fontId="78" fillId="0" borderId="0" xfId="72" applyNumberFormat="1" applyFont="1"/>
    <xf numFmtId="0" fontId="75" fillId="0" borderId="0" xfId="72" applyFont="1"/>
    <xf numFmtId="0" fontId="74" fillId="0" borderId="4" xfId="72" applyFont="1" applyFill="1" applyBorder="1" applyAlignment="1">
      <alignment wrapText="1"/>
    </xf>
    <xf numFmtId="0" fontId="74" fillId="0" borderId="4" xfId="72" applyFont="1" applyBorder="1"/>
    <xf numFmtId="8" fontId="75" fillId="0" borderId="4" xfId="72" applyNumberFormat="1" applyFont="1" applyBorder="1"/>
    <xf numFmtId="10" fontId="75" fillId="0" borderId="4" xfId="72" applyNumberFormat="1" applyFont="1" applyBorder="1"/>
    <xf numFmtId="8" fontId="74" fillId="26" borderId="4" xfId="72" applyNumberFormat="1" applyFont="1" applyFill="1" applyBorder="1"/>
    <xf numFmtId="0" fontId="74" fillId="0" borderId="29" xfId="72" applyFont="1" applyFill="1" applyBorder="1"/>
    <xf numFmtId="0" fontId="74" fillId="0" borderId="4" xfId="72" applyFont="1" applyFill="1" applyBorder="1"/>
    <xf numFmtId="8" fontId="75" fillId="0" borderId="4" xfId="72" applyNumberFormat="1" applyFont="1" applyFill="1" applyBorder="1"/>
    <xf numFmtId="10" fontId="75" fillId="0" borderId="4" xfId="72" applyNumberFormat="1" applyFont="1" applyFill="1" applyBorder="1"/>
    <xf numFmtId="8" fontId="74" fillId="0" borderId="4" xfId="72" applyNumberFormat="1" applyFont="1" applyFill="1" applyBorder="1"/>
    <xf numFmtId="0" fontId="74" fillId="0" borderId="17" xfId="72" applyFont="1" applyFill="1" applyBorder="1"/>
    <xf numFmtId="8" fontId="75" fillId="0" borderId="18" xfId="72" applyNumberFormat="1" applyFont="1" applyFill="1" applyBorder="1"/>
    <xf numFmtId="10" fontId="75" fillId="0" borderId="18" xfId="2" applyNumberFormat="1" applyFont="1" applyFill="1" applyBorder="1"/>
    <xf numFmtId="8" fontId="74" fillId="0" borderId="67" xfId="72" applyNumberFormat="1" applyFont="1" applyFill="1" applyBorder="1"/>
    <xf numFmtId="0" fontId="75" fillId="0" borderId="36" xfId="72" applyFont="1" applyBorder="1"/>
    <xf numFmtId="0" fontId="75" fillId="0" borderId="37" xfId="72" applyFont="1" applyBorder="1"/>
    <xf numFmtId="10" fontId="75" fillId="0" borderId="37" xfId="72" applyNumberFormat="1" applyFont="1" applyFill="1" applyBorder="1"/>
    <xf numFmtId="8" fontId="74" fillId="3" borderId="61" xfId="72" applyNumberFormat="1" applyFont="1" applyFill="1" applyBorder="1"/>
    <xf numFmtId="0" fontId="65" fillId="0" borderId="0" xfId="72" applyFont="1"/>
    <xf numFmtId="0" fontId="11" fillId="0" borderId="0" xfId="72" applyFont="1"/>
    <xf numFmtId="166" fontId="39" fillId="0" borderId="2" xfId="0" applyNumberFormat="1" applyFont="1" applyFill="1" applyBorder="1" applyAlignment="1">
      <alignment horizontal="center"/>
    </xf>
    <xf numFmtId="166" fontId="33" fillId="0" borderId="14" xfId="0" applyNumberFormat="1" applyFont="1" applyFill="1" applyBorder="1" applyAlignment="1">
      <alignment horizontal="center"/>
    </xf>
    <xf numFmtId="166" fontId="38" fillId="0" borderId="9" xfId="0" applyNumberFormat="1" applyFont="1" applyFill="1" applyBorder="1"/>
    <xf numFmtId="6" fontId="38" fillId="0" borderId="4" xfId="0" applyNumberFormat="1" applyFont="1" applyFill="1" applyBorder="1"/>
    <xf numFmtId="2" fontId="38" fillId="0" borderId="10" xfId="0" applyNumberFormat="1" applyFont="1" applyFill="1" applyBorder="1" applyAlignment="1">
      <alignment horizontal="center"/>
    </xf>
    <xf numFmtId="168" fontId="38" fillId="0" borderId="9" xfId="0" applyNumberFormat="1" applyFont="1" applyFill="1" applyBorder="1"/>
    <xf numFmtId="0" fontId="39" fillId="0" borderId="9" xfId="0" applyFont="1" applyFill="1" applyBorder="1"/>
    <xf numFmtId="42" fontId="39" fillId="0" borderId="4" xfId="0" applyNumberFormat="1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/>
    </xf>
    <xf numFmtId="0" fontId="38" fillId="0" borderId="31" xfId="0" applyFont="1" applyFill="1" applyBorder="1"/>
    <xf numFmtId="0" fontId="0" fillId="0" borderId="4" xfId="0" applyFont="1" applyFill="1" applyBorder="1"/>
    <xf numFmtId="10" fontId="38" fillId="0" borderId="29" xfId="0" applyNumberFormat="1" applyFont="1" applyFill="1" applyBorder="1" applyAlignment="1"/>
    <xf numFmtId="168" fontId="38" fillId="0" borderId="11" xfId="0" applyNumberFormat="1" applyFont="1" applyFill="1" applyBorder="1"/>
    <xf numFmtId="173" fontId="38" fillId="0" borderId="29" xfId="0" applyNumberFormat="1" applyFont="1" applyFill="1" applyBorder="1" applyAlignment="1"/>
    <xf numFmtId="0" fontId="38" fillId="0" borderId="9" xfId="0" applyFont="1" applyFill="1" applyBorder="1"/>
    <xf numFmtId="6" fontId="0" fillId="0" borderId="4" xfId="0" applyNumberFormat="1" applyFont="1" applyFill="1" applyBorder="1"/>
    <xf numFmtId="6" fontId="38" fillId="0" borderId="2" xfId="0" applyNumberFormat="1" applyFont="1" applyFill="1" applyBorder="1" applyAlignment="1"/>
    <xf numFmtId="10" fontId="38" fillId="0" borderId="4" xfId="0" applyNumberFormat="1" applyFont="1" applyFill="1" applyBorder="1"/>
    <xf numFmtId="10" fontId="0" fillId="0" borderId="4" xfId="0" applyNumberFormat="1" applyFont="1" applyFill="1" applyBorder="1"/>
    <xf numFmtId="0" fontId="38" fillId="0" borderId="17" xfId="0" applyFont="1" applyFill="1" applyBorder="1"/>
    <xf numFmtId="10" fontId="0" fillId="0" borderId="18" xfId="0" applyNumberFormat="1" applyFont="1" applyFill="1" applyBorder="1"/>
    <xf numFmtId="10" fontId="0" fillId="0" borderId="19" xfId="0" applyNumberFormat="1" applyFont="1" applyFill="1" applyBorder="1" applyAlignment="1">
      <alignment horizontal="center"/>
    </xf>
    <xf numFmtId="166" fontId="33" fillId="0" borderId="4" xfId="0" applyNumberFormat="1" applyFont="1" applyFill="1" applyBorder="1" applyAlignment="1">
      <alignment horizontal="center"/>
    </xf>
    <xf numFmtId="164" fontId="39" fillId="0" borderId="4" xfId="37" applyNumberFormat="1" applyFont="1" applyFill="1" applyBorder="1" applyAlignment="1">
      <alignment horizontal="center" wrapText="1"/>
    </xf>
    <xf numFmtId="166" fontId="40" fillId="0" borderId="4" xfId="0" applyNumberFormat="1" applyFont="1" applyFill="1" applyBorder="1" applyAlignment="1">
      <alignment horizontal="left"/>
    </xf>
    <xf numFmtId="174" fontId="38" fillId="0" borderId="4" xfId="37" applyNumberFormat="1" applyFont="1" applyFill="1" applyBorder="1" applyAlignment="1">
      <alignment horizontal="center"/>
    </xf>
    <xf numFmtId="6" fontId="38" fillId="0" borderId="12" xfId="0" applyNumberFormat="1" applyFont="1" applyFill="1" applyBorder="1"/>
    <xf numFmtId="174" fontId="38" fillId="0" borderId="12" xfId="37" applyNumberFormat="1" applyFont="1" applyFill="1" applyBorder="1" applyAlignment="1">
      <alignment horizontal="center"/>
    </xf>
    <xf numFmtId="166" fontId="33" fillId="0" borderId="2" xfId="0" applyNumberFormat="1" applyFont="1" applyFill="1" applyBorder="1"/>
    <xf numFmtId="174" fontId="33" fillId="0" borderId="69" xfId="37" applyNumberFormat="1" applyFont="1" applyFill="1" applyBorder="1" applyAlignment="1">
      <alignment horizontal="center"/>
    </xf>
    <xf numFmtId="39" fontId="33" fillId="0" borderId="2" xfId="47" applyNumberFormat="1" applyFont="1" applyFill="1" applyBorder="1" applyAlignment="1">
      <alignment horizontal="center"/>
    </xf>
    <xf numFmtId="0" fontId="33" fillId="0" borderId="15" xfId="0" applyFont="1" applyFill="1" applyBorder="1" applyAlignment="1">
      <alignment horizontal="left"/>
    </xf>
    <xf numFmtId="0" fontId="31" fillId="0" borderId="0" xfId="0" applyFont="1" applyBorder="1" applyAlignment="1">
      <alignment horizontal="center"/>
    </xf>
    <xf numFmtId="0" fontId="33" fillId="0" borderId="16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left"/>
    </xf>
    <xf numFmtId="166" fontId="33" fillId="0" borderId="18" xfId="0" applyNumberFormat="1" applyFont="1" applyFill="1" applyBorder="1" applyAlignment="1">
      <alignment horizontal="center"/>
    </xf>
    <xf numFmtId="166" fontId="39" fillId="0" borderId="18" xfId="0" applyNumberFormat="1" applyFont="1" applyFill="1" applyBorder="1" applyAlignment="1">
      <alignment horizontal="center"/>
    </xf>
    <xf numFmtId="42" fontId="33" fillId="0" borderId="19" xfId="0" applyNumberFormat="1" applyFont="1" applyFill="1" applyBorder="1" applyAlignment="1">
      <alignment horizontal="center"/>
    </xf>
    <xf numFmtId="166" fontId="38" fillId="0" borderId="15" xfId="0" applyNumberFormat="1" applyFont="1" applyFill="1" applyBorder="1"/>
    <xf numFmtId="2" fontId="38" fillId="0" borderId="0" xfId="0" applyNumberFormat="1" applyFont="1" applyFill="1" applyBorder="1" applyAlignment="1">
      <alignment horizontal="center"/>
    </xf>
    <xf numFmtId="6" fontId="38" fillId="0" borderId="0" xfId="0" applyNumberFormat="1" applyFont="1" applyFill="1" applyBorder="1"/>
    <xf numFmtId="6" fontId="38" fillId="0" borderId="16" xfId="47" applyNumberFormat="1" applyFont="1" applyFill="1" applyBorder="1"/>
    <xf numFmtId="168" fontId="38" fillId="0" borderId="41" xfId="0" applyNumberFormat="1" applyFont="1" applyFill="1" applyBorder="1"/>
    <xf numFmtId="2" fontId="38" fillId="0" borderId="42" xfId="0" applyNumberFormat="1" applyFont="1" applyFill="1" applyBorder="1" applyAlignment="1">
      <alignment horizontal="center"/>
    </xf>
    <xf numFmtId="6" fontId="38" fillId="0" borderId="42" xfId="0" applyNumberFormat="1" applyFont="1" applyFill="1" applyBorder="1"/>
    <xf numFmtId="6" fontId="38" fillId="0" borderId="47" xfId="47" applyNumberFormat="1" applyFont="1" applyFill="1" applyBorder="1"/>
    <xf numFmtId="0" fontId="33" fillId="0" borderId="15" xfId="0" applyFont="1" applyFill="1" applyBorder="1" applyAlignment="1"/>
    <xf numFmtId="39" fontId="33" fillId="0" borderId="0" xfId="37" applyNumberFormat="1" applyFont="1" applyFill="1" applyBorder="1" applyAlignment="1">
      <alignment horizontal="center"/>
    </xf>
    <xf numFmtId="6" fontId="33" fillId="0" borderId="16" xfId="47" applyNumberFormat="1" applyFont="1" applyFill="1" applyBorder="1" applyAlignment="1">
      <alignment horizontal="right"/>
    </xf>
    <xf numFmtId="0" fontId="39" fillId="0" borderId="15" xfId="0" applyFont="1" applyFill="1" applyBorder="1"/>
    <xf numFmtId="0" fontId="39" fillId="0" borderId="0" xfId="0" applyFont="1" applyFill="1" applyBorder="1" applyAlignment="1">
      <alignment horizontal="center"/>
    </xf>
    <xf numFmtId="42" fontId="33" fillId="0" borderId="16" xfId="0" applyNumberFormat="1" applyFont="1" applyFill="1" applyBorder="1" applyAlignment="1">
      <alignment horizontal="center"/>
    </xf>
    <xf numFmtId="9" fontId="38" fillId="0" borderId="0" xfId="0" applyNumberFormat="1" applyFont="1" applyFill="1" applyBorder="1" applyAlignment="1">
      <alignment horizontal="center"/>
    </xf>
    <xf numFmtId="10" fontId="38" fillId="0" borderId="0" xfId="0" applyNumberFormat="1" applyFont="1" applyFill="1" applyBorder="1" applyAlignment="1"/>
    <xf numFmtId="0" fontId="33" fillId="0" borderId="55" xfId="0" applyFont="1" applyFill="1" applyBorder="1" applyAlignment="1">
      <alignment horizontal="left"/>
    </xf>
    <xf numFmtId="166" fontId="33" fillId="0" borderId="56" xfId="0" applyNumberFormat="1" applyFont="1" applyFill="1" applyBorder="1" applyAlignment="1">
      <alignment horizontal="center"/>
    </xf>
    <xf numFmtId="10" fontId="33" fillId="0" borderId="56" xfId="0" applyNumberFormat="1" applyFont="1" applyFill="1" applyBorder="1" applyAlignment="1">
      <alignment horizontal="right"/>
    </xf>
    <xf numFmtId="6" fontId="33" fillId="0" borderId="57" xfId="47" applyNumberFormat="1" applyFont="1" applyFill="1" applyBorder="1" applyAlignment="1">
      <alignment horizontal="right"/>
    </xf>
    <xf numFmtId="5" fontId="38" fillId="0" borderId="16" xfId="0" applyNumberFormat="1" applyFont="1" applyFill="1" applyBorder="1" applyAlignment="1">
      <alignment horizontal="right"/>
    </xf>
    <xf numFmtId="8" fontId="38" fillId="0" borderId="0" xfId="47" applyNumberFormat="1" applyFont="1" applyFill="1" applyBorder="1" applyAlignment="1">
      <alignment horizontal="center"/>
    </xf>
    <xf numFmtId="0" fontId="33" fillId="0" borderId="43" xfId="0" applyFont="1" applyFill="1" applyBorder="1"/>
    <xf numFmtId="0" fontId="38" fillId="0" borderId="44" xfId="0" applyFont="1" applyFill="1" applyBorder="1" applyAlignment="1">
      <alignment horizontal="center"/>
    </xf>
    <xf numFmtId="10" fontId="38" fillId="0" borderId="44" xfId="0" applyNumberFormat="1" applyFont="1" applyFill="1" applyBorder="1" applyAlignment="1"/>
    <xf numFmtId="6" fontId="33" fillId="0" borderId="45" xfId="47" applyNumberFormat="1" applyFont="1" applyFill="1" applyBorder="1"/>
    <xf numFmtId="0" fontId="38" fillId="0" borderId="0" xfId="0" applyFont="1" applyFill="1" applyBorder="1" applyAlignment="1">
      <alignment horizontal="center"/>
    </xf>
    <xf numFmtId="6" fontId="33" fillId="0" borderId="16" xfId="47" applyNumberFormat="1" applyFont="1" applyFill="1" applyBorder="1"/>
    <xf numFmtId="10" fontId="0" fillId="0" borderId="0" xfId="0" applyNumberFormat="1" applyFont="1" applyFill="1" applyBorder="1"/>
    <xf numFmtId="0" fontId="38" fillId="0" borderId="41" xfId="0" applyFont="1" applyFill="1" applyBorder="1"/>
    <xf numFmtId="0" fontId="38" fillId="0" borderId="42" xfId="0" applyFont="1" applyFill="1" applyBorder="1" applyAlignment="1">
      <alignment horizontal="center"/>
    </xf>
    <xf numFmtId="10" fontId="38" fillId="0" borderId="42" xfId="0" applyNumberFormat="1" applyFont="1" applyFill="1" applyBorder="1" applyAlignment="1"/>
    <xf numFmtId="0" fontId="33" fillId="0" borderId="55" xfId="0" applyFont="1" applyFill="1" applyBorder="1"/>
    <xf numFmtId="0" fontId="38" fillId="0" borderId="56" xfId="0" applyFont="1" applyFill="1" applyBorder="1" applyAlignment="1">
      <alignment horizontal="center"/>
    </xf>
    <xf numFmtId="6" fontId="33" fillId="0" borderId="57" xfId="0" applyNumberFormat="1" applyFont="1" applyFill="1" applyBorder="1"/>
    <xf numFmtId="6" fontId="33" fillId="0" borderId="16" xfId="0" applyNumberFormat="1" applyFont="1" applyFill="1" applyBorder="1"/>
    <xf numFmtId="10" fontId="38" fillId="0" borderId="42" xfId="0" applyNumberFormat="1" applyFont="1" applyFill="1" applyBorder="1" applyAlignment="1">
      <alignment horizontal="center"/>
    </xf>
    <xf numFmtId="6" fontId="38" fillId="0" borderId="47" xfId="0" applyNumberFormat="1" applyFont="1" applyFill="1" applyBorder="1"/>
    <xf numFmtId="0" fontId="0" fillId="0" borderId="56" xfId="0" applyFont="1" applyFill="1" applyBorder="1" applyAlignment="1">
      <alignment horizontal="center"/>
    </xf>
    <xf numFmtId="0" fontId="0" fillId="0" borderId="56" xfId="0" applyFont="1" applyFill="1" applyBorder="1"/>
    <xf numFmtId="0" fontId="33" fillId="0" borderId="17" xfId="0" applyFont="1" applyFill="1" applyBorder="1"/>
    <xf numFmtId="0" fontId="0" fillId="0" borderId="18" xfId="0" applyFont="1" applyFill="1" applyBorder="1"/>
    <xf numFmtId="6" fontId="33" fillId="3" borderId="19" xfId="0" applyNumberFormat="1" applyFont="1" applyFill="1" applyBorder="1"/>
    <xf numFmtId="0" fontId="41" fillId="31" borderId="0" xfId="72" applyFont="1" applyFill="1" applyBorder="1"/>
    <xf numFmtId="0" fontId="41" fillId="0" borderId="0" xfId="72" applyFont="1" applyFill="1" applyBorder="1"/>
    <xf numFmtId="14" fontId="51" fillId="0" borderId="18" xfId="72" applyNumberFormat="1" applyFont="1" applyBorder="1" applyAlignment="1">
      <alignment horizontal="center"/>
    </xf>
    <xf numFmtId="0" fontId="42" fillId="31" borderId="0" xfId="0" applyFont="1" applyFill="1" applyBorder="1" applyAlignment="1">
      <alignment horizontal="left" vertical="top" wrapText="1"/>
    </xf>
    <xf numFmtId="0" fontId="33" fillId="0" borderId="65" xfId="72" applyFont="1" applyFill="1" applyBorder="1" applyAlignment="1">
      <alignment horizontal="center"/>
    </xf>
    <xf numFmtId="0" fontId="33" fillId="0" borderId="35" xfId="72" applyFont="1" applyFill="1" applyBorder="1" applyAlignment="1">
      <alignment horizontal="center"/>
    </xf>
    <xf numFmtId="0" fontId="33" fillId="0" borderId="34" xfId="72" applyFont="1" applyFill="1" applyBorder="1" applyAlignment="1">
      <alignment horizontal="center"/>
    </xf>
    <xf numFmtId="0" fontId="33" fillId="36" borderId="5" xfId="72" applyFont="1" applyFill="1" applyBorder="1" applyAlignment="1">
      <alignment horizontal="center"/>
    </xf>
    <xf numFmtId="0" fontId="33" fillId="36" borderId="7" xfId="72" applyFont="1" applyFill="1" applyBorder="1" applyAlignment="1">
      <alignment horizontal="center"/>
    </xf>
    <xf numFmtId="0" fontId="33" fillId="36" borderId="38" xfId="72" applyFont="1" applyFill="1" applyBorder="1" applyAlignment="1">
      <alignment horizontal="center"/>
    </xf>
    <xf numFmtId="0" fontId="31" fillId="36" borderId="58" xfId="72" applyFont="1" applyFill="1" applyBorder="1" applyAlignment="1">
      <alignment horizontal="center"/>
    </xf>
    <xf numFmtId="0" fontId="31" fillId="36" borderId="59" xfId="72" applyFont="1" applyFill="1" applyBorder="1" applyAlignment="1">
      <alignment horizontal="center"/>
    </xf>
    <xf numFmtId="0" fontId="31" fillId="36" borderId="60" xfId="72" applyFont="1" applyFill="1" applyBorder="1" applyAlignment="1">
      <alignment horizontal="center"/>
    </xf>
    <xf numFmtId="0" fontId="33" fillId="0" borderId="43" xfId="72" applyFont="1" applyFill="1" applyBorder="1" applyAlignment="1">
      <alignment horizontal="center"/>
    </xf>
    <xf numFmtId="0" fontId="33" fillId="0" borderId="3" xfId="72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left" vertical="top" wrapText="1"/>
    </xf>
    <xf numFmtId="0" fontId="52" fillId="0" borderId="18" xfId="0" applyFont="1" applyBorder="1" applyAlignment="1">
      <alignment horizontal="left"/>
    </xf>
    <xf numFmtId="0" fontId="53" fillId="0" borderId="18" xfId="0" applyFont="1" applyBorder="1" applyAlignment="1">
      <alignment horizontal="left"/>
    </xf>
    <xf numFmtId="0" fontId="32" fillId="27" borderId="58" xfId="0" applyFont="1" applyFill="1" applyBorder="1" applyAlignment="1">
      <alignment horizontal="center" wrapText="1"/>
    </xf>
    <xf numFmtId="0" fontId="32" fillId="27" borderId="59" xfId="0" applyFont="1" applyFill="1" applyBorder="1" applyAlignment="1">
      <alignment horizontal="center" wrapText="1"/>
    </xf>
    <xf numFmtId="0" fontId="32" fillId="27" borderId="60" xfId="0" applyFont="1" applyFill="1" applyBorder="1" applyAlignment="1">
      <alignment horizontal="center" wrapText="1"/>
    </xf>
    <xf numFmtId="0" fontId="32" fillId="27" borderId="36" xfId="0" applyFont="1" applyFill="1" applyBorder="1" applyAlignment="1">
      <alignment horizontal="center" wrapText="1"/>
    </xf>
    <xf numFmtId="0" fontId="32" fillId="27" borderId="37" xfId="0" applyFont="1" applyFill="1" applyBorder="1" applyAlignment="1">
      <alignment horizontal="center" wrapText="1"/>
    </xf>
    <xf numFmtId="0" fontId="32" fillId="27" borderId="38" xfId="0" applyFont="1" applyFill="1" applyBorder="1" applyAlignment="1">
      <alignment horizontal="center" wrapText="1"/>
    </xf>
    <xf numFmtId="0" fontId="33" fillId="0" borderId="43" xfId="72" applyFont="1" applyFill="1" applyBorder="1" applyAlignment="1">
      <alignment horizontal="center" vertical="center"/>
    </xf>
    <xf numFmtId="0" fontId="33" fillId="0" borderId="3" xfId="72" applyFont="1" applyFill="1" applyBorder="1" applyAlignment="1">
      <alignment horizontal="center" vertical="center"/>
    </xf>
    <xf numFmtId="0" fontId="31" fillId="0" borderId="65" xfId="0" applyFont="1" applyFill="1" applyBorder="1" applyAlignment="1">
      <alignment horizontal="center"/>
    </xf>
    <xf numFmtId="0" fontId="31" fillId="0" borderId="34" xfId="0" applyFont="1" applyFill="1" applyBorder="1" applyAlignment="1">
      <alignment horizontal="center"/>
    </xf>
    <xf numFmtId="0" fontId="33" fillId="2" borderId="36" xfId="0" applyFont="1" applyFill="1" applyBorder="1" applyAlignment="1">
      <alignment horizontal="center"/>
    </xf>
    <xf numFmtId="0" fontId="33" fillId="2" borderId="37" xfId="0" applyFont="1" applyFill="1" applyBorder="1" applyAlignment="1">
      <alignment horizontal="center"/>
    </xf>
    <xf numFmtId="0" fontId="33" fillId="2" borderId="38" xfId="0" applyFont="1" applyFill="1" applyBorder="1" applyAlignment="1">
      <alignment horizontal="center"/>
    </xf>
    <xf numFmtId="0" fontId="50" fillId="0" borderId="65" xfId="0" applyFont="1" applyFill="1" applyBorder="1" applyAlignment="1">
      <alignment horizontal="center"/>
    </xf>
    <xf numFmtId="0" fontId="50" fillId="0" borderId="35" xfId="0" applyFont="1" applyFill="1" applyBorder="1" applyAlignment="1">
      <alignment horizontal="center"/>
    </xf>
    <xf numFmtId="0" fontId="58" fillId="28" borderId="36" xfId="0" applyFont="1" applyFill="1" applyBorder="1" applyAlignment="1">
      <alignment horizontal="center" vertical="center"/>
    </xf>
    <xf numFmtId="0" fontId="58" fillId="28" borderId="37" xfId="0" applyFont="1" applyFill="1" applyBorder="1" applyAlignment="1">
      <alignment horizontal="center" vertical="center"/>
    </xf>
    <xf numFmtId="0" fontId="58" fillId="28" borderId="38" xfId="0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right"/>
    </xf>
    <xf numFmtId="0" fontId="59" fillId="0" borderId="5" xfId="0" applyFont="1" applyFill="1" applyBorder="1" applyAlignment="1">
      <alignment horizontal="center"/>
    </xf>
    <xf numFmtId="0" fontId="59" fillId="0" borderId="6" xfId="0" applyFont="1" applyFill="1" applyBorder="1" applyAlignment="1">
      <alignment horizontal="center"/>
    </xf>
    <xf numFmtId="0" fontId="76" fillId="0" borderId="5" xfId="0" applyFont="1" applyBorder="1" applyAlignment="1">
      <alignment horizontal="center"/>
    </xf>
    <xf numFmtId="0" fontId="76" fillId="0" borderId="8" xfId="0" applyFont="1" applyBorder="1" applyAlignment="1">
      <alignment horizontal="center"/>
    </xf>
    <xf numFmtId="14" fontId="67" fillId="0" borderId="0" xfId="0" applyNumberFormat="1" applyFont="1" applyAlignment="1">
      <alignment horizontal="left"/>
    </xf>
    <xf numFmtId="0" fontId="67" fillId="0" borderId="0" xfId="0" applyFont="1" applyAlignment="1">
      <alignment horizontal="left"/>
    </xf>
    <xf numFmtId="0" fontId="33" fillId="32" borderId="36" xfId="0" applyFont="1" applyFill="1" applyBorder="1" applyAlignment="1">
      <alignment horizontal="center" vertical="center"/>
    </xf>
    <xf numFmtId="0" fontId="33" fillId="32" borderId="37" xfId="0" applyFont="1" applyFill="1" applyBorder="1" applyAlignment="1">
      <alignment horizontal="center" vertical="center"/>
    </xf>
    <xf numFmtId="0" fontId="33" fillId="32" borderId="38" xfId="0" applyFont="1" applyFill="1" applyBorder="1" applyAlignment="1">
      <alignment horizontal="center" vertical="center"/>
    </xf>
    <xf numFmtId="166" fontId="76" fillId="0" borderId="5" xfId="0" applyNumberFormat="1" applyFont="1" applyBorder="1" applyAlignment="1">
      <alignment horizontal="center"/>
    </xf>
    <xf numFmtId="166" fontId="76" fillId="0" borderId="8" xfId="0" applyNumberFormat="1" applyFont="1" applyBorder="1" applyAlignment="1">
      <alignment horizontal="center"/>
    </xf>
    <xf numFmtId="1" fontId="76" fillId="0" borderId="15" xfId="0" applyNumberFormat="1" applyFont="1" applyBorder="1" applyAlignment="1">
      <alignment horizontal="center"/>
    </xf>
    <xf numFmtId="1" fontId="76" fillId="0" borderId="16" xfId="0" applyNumberFormat="1" applyFont="1" applyBorder="1" applyAlignment="1">
      <alignment horizontal="center"/>
    </xf>
    <xf numFmtId="166" fontId="33" fillId="0" borderId="15" xfId="0" applyNumberFormat="1" applyFont="1" applyBorder="1" applyAlignment="1">
      <alignment horizontal="center"/>
    </xf>
    <xf numFmtId="166" fontId="33" fillId="0" borderId="16" xfId="0" applyNumberFormat="1" applyFont="1" applyBorder="1" applyAlignment="1">
      <alignment horizontal="center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</cellXfs>
  <cellStyles count="97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 2" xfId="33"/>
    <cellStyle name="Comma 2 2" xfId="34"/>
    <cellStyle name="Comma 3" xfId="35"/>
    <cellStyle name="Comma 3 2" xfId="36"/>
    <cellStyle name="Comma 4" xfId="37"/>
    <cellStyle name="Comma 4 2" xfId="38"/>
    <cellStyle name="Comma 5" xfId="39"/>
    <cellStyle name="Comma 6" xfId="40"/>
    <cellStyle name="Comma 7" xfId="41"/>
    <cellStyle name="Comma 8" xfId="4"/>
    <cellStyle name="Currency" xfId="1" builtinId="4"/>
    <cellStyle name="Currency 2" xfId="42"/>
    <cellStyle name="Currency 2 2" xfId="43"/>
    <cellStyle name="Currency 2 2 2" xfId="87"/>
    <cellStyle name="Currency 3" xfId="44"/>
    <cellStyle name="Currency 3 2" xfId="45"/>
    <cellStyle name="Currency 3 3" xfId="91"/>
    <cellStyle name="Currency 4" xfId="46"/>
    <cellStyle name="Currency 4 2" xfId="47"/>
    <cellStyle name="Currency 5" xfId="48"/>
    <cellStyle name="Currency 5 2" xfId="49"/>
    <cellStyle name="Currency 6" xfId="50"/>
    <cellStyle name="Currency 7" xfId="51"/>
    <cellStyle name="Currency 8" xfId="5"/>
    <cellStyle name="Explanatory Text 2" xfId="52"/>
    <cellStyle name="Good 2" xfId="53"/>
    <cellStyle name="Heading 1 2" xfId="54"/>
    <cellStyle name="Heading 2 2" xfId="55"/>
    <cellStyle name="Heading 3 2" xfId="56"/>
    <cellStyle name="Heading 4 2" xfId="57"/>
    <cellStyle name="Input 2" xfId="58"/>
    <cellStyle name="Linked Cell 2" xfId="59"/>
    <cellStyle name="Neutral 2" xfId="60"/>
    <cellStyle name="Normal" xfId="0" builtinId="0"/>
    <cellStyle name="Normal 2" xfId="61"/>
    <cellStyle name="Normal 2 2" xfId="62"/>
    <cellStyle name="Normal 2 2 2" xfId="63"/>
    <cellStyle name="Normal 2 3" xfId="64"/>
    <cellStyle name="Normal 3" xfId="65"/>
    <cellStyle name="Normal 3 2" xfId="66"/>
    <cellStyle name="Normal 3 3" xfId="67"/>
    <cellStyle name="Normal 4" xfId="68"/>
    <cellStyle name="Normal 4 2" xfId="69"/>
    <cellStyle name="Normal 4 2 2" xfId="95"/>
    <cellStyle name="Normal 4 3" xfId="93"/>
    <cellStyle name="Normal 5" xfId="70"/>
    <cellStyle name="Normal 5 2" xfId="92"/>
    <cellStyle name="Normal 6" xfId="71"/>
    <cellStyle name="Normal 6 2" xfId="90"/>
    <cellStyle name="Normal 7" xfId="72"/>
    <cellStyle name="Normal 7 2" xfId="88"/>
    <cellStyle name="Normal 8" xfId="3"/>
    <cellStyle name="Normal 9" xfId="94"/>
    <cellStyle name="Normal 9 2" xfId="96"/>
    <cellStyle name="Note 2" xfId="73"/>
    <cellStyle name="Output 2" xfId="74"/>
    <cellStyle name="Percent" xfId="2" builtinId="5"/>
    <cellStyle name="Percent 2" xfId="75"/>
    <cellStyle name="Percent 2 2" xfId="76"/>
    <cellStyle name="Percent 3" xfId="77"/>
    <cellStyle name="Percent 3 2" xfId="78"/>
    <cellStyle name="Percent 3 3" xfId="89"/>
    <cellStyle name="Percent 4" xfId="79"/>
    <cellStyle name="Percent 4 2" xfId="80"/>
    <cellStyle name="Percent 5" xfId="81"/>
    <cellStyle name="Percent 6" xfId="82"/>
    <cellStyle name="Percent 7" xfId="83"/>
    <cellStyle name="Title 2" xfId="84"/>
    <cellStyle name="Total 2" xfId="85"/>
    <cellStyle name="Warning Text 2" xfId="86"/>
  </cellStyles>
  <dxfs count="0"/>
  <tableStyles count="0" defaultTableStyle="TableStyleMedium2" defaultPivotStyle="PivotStyleLight16"/>
  <colors>
    <mruColors>
      <color rgb="FFCC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83342</xdr:colOff>
      <xdr:row>1</xdr:row>
      <xdr:rowOff>23814</xdr:rowOff>
    </xdr:from>
    <xdr:to>
      <xdr:col>18</xdr:col>
      <xdr:colOff>136431</xdr:colOff>
      <xdr:row>5</xdr:row>
      <xdr:rowOff>11907</xdr:rowOff>
    </xdr:to>
    <xdr:sp macro="" textlink="">
      <xdr:nvSpPr>
        <xdr:cNvPr id="2" name="TextBox 1"/>
        <xdr:cNvSpPr txBox="1"/>
      </xdr:nvSpPr>
      <xdr:spPr>
        <a:xfrm flipH="1">
          <a:off x="16702562" y="389574"/>
          <a:ext cx="53089" cy="79581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POS/Year%203%20Projects/Year%203%20Plan/Service%20Classes/Youth%20Intermediate%20Term%20Stabilization/3470%20DPH%20BSAS%20Youth%20Residential/YITS-DPH/YITS_DPH_Yr%203%20review_FY2010-2011_General%20Analysi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ELD%20-%20Care%20Services-%20CMR417\2020%20Rate%20Review\1.%20Strategy%20Team%20Materials\ELD%20Models%207.09.19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taylor/AppData/Local/Microsoft/Windows/Temporary%20Internet%20Files/Content.Outlook/DAK024V2/ELD%20Case%20Management%20Inc%20Money%20Mgt%201.4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Z4">
            <v>65246</v>
          </cell>
        </row>
      </sheetData>
      <sheetData sheetId="7">
        <row r="4">
          <cell r="A4" t="str">
            <v>Community Healthlink, Inc.</v>
          </cell>
        </row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>
        <row r="4">
          <cell r="BO4">
            <v>1</v>
          </cell>
        </row>
      </sheetData>
      <sheetData sheetId="9">
        <row r="3">
          <cell r="A3" t="str">
            <v>Community Healthlink, Inc.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014 Basic HC Case "/>
      <sheetName val="8060 ECOP CM "/>
      <sheetName val="8015 Supportive Senior House"/>
      <sheetName val="8042 Protective Svs"/>
      <sheetName val="8017  Congregate HSC"/>
      <sheetName val="8005  Money Mgmt"/>
      <sheetName val="8010  Guardianship"/>
      <sheetName val="Fiscal Impact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>
        <row r="24">
          <cell r="BT24">
            <v>1.8120393120392975E-2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Rates "/>
      <sheetName val="Money Mgmt Model (8005)"/>
      <sheetName val="Enhanced Community OPCM (8060)"/>
      <sheetName val="HomecareRespite(8014)"/>
      <sheetName val="Salaries comparison 8014"/>
      <sheetName val="Supportive SH (8015)"/>
      <sheetName val="Protective Svs (8042)"/>
      <sheetName val="Congregate HSC (8017)"/>
      <sheetName val="Spring 2015 CAF"/>
      <sheetName val="MM Below the line"/>
      <sheetName val="MM Clean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>
        <row r="21">
          <cell r="BB21">
            <v>3.1819062378922902E-2</v>
          </cell>
        </row>
      </sheetData>
      <sheetData sheetId="9">
        <row r="4">
          <cell r="Q4">
            <v>1182.9593969973987</v>
          </cell>
        </row>
      </sheetData>
      <sheetData sheetId="10">
        <row r="3">
          <cell r="BN3">
            <v>0.20800050160095318</v>
          </cell>
          <cell r="CX3">
            <v>0.18856714496655369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55"/>
  <sheetViews>
    <sheetView tabSelected="1" zoomScale="80" zoomScaleNormal="80" workbookViewId="0">
      <selection activeCell="D47" sqref="D47"/>
    </sheetView>
  </sheetViews>
  <sheetFormatPr defaultColWidth="9.140625" defaultRowHeight="15" customHeight="1"/>
  <cols>
    <col min="1" max="1" width="5.85546875" style="66" customWidth="1"/>
    <col min="2" max="2" width="32" style="65" customWidth="1"/>
    <col min="3" max="3" width="14.42578125" style="65" customWidth="1"/>
    <col min="4" max="4" width="66.7109375" style="65" customWidth="1"/>
    <col min="5" max="5" width="9.85546875" style="68" customWidth="1"/>
    <col min="6" max="6" width="29.5703125" style="65" customWidth="1"/>
    <col min="7" max="7" width="10.7109375" style="65" customWidth="1"/>
    <col min="8" max="8" width="9.5703125" style="65" customWidth="1"/>
    <col min="9" max="9" width="13.7109375" style="65" customWidth="1"/>
    <col min="10" max="10" width="9.5703125" style="65" bestFit="1" customWidth="1"/>
    <col min="11" max="11" width="9.7109375" style="65" customWidth="1"/>
    <col min="12" max="12" width="9.140625" style="65" customWidth="1"/>
    <col min="13" max="13" width="37.85546875" style="65" customWidth="1"/>
    <col min="14" max="14" width="12.7109375" style="65" customWidth="1"/>
    <col min="15" max="15" width="14" style="65" customWidth="1"/>
    <col min="16" max="16" width="15.28515625" style="65" customWidth="1"/>
    <col min="17" max="17" width="9.5703125" style="65" customWidth="1"/>
    <col min="18" max="18" width="9.140625" style="65" customWidth="1"/>
    <col min="19" max="53" width="9.140625" style="65"/>
    <col min="54" max="16384" width="9.140625" style="66"/>
  </cols>
  <sheetData>
    <row r="1" spans="2:56" ht="22.5" customHeight="1" thickBot="1">
      <c r="B1" s="262"/>
      <c r="F1" s="601"/>
      <c r="G1" s="601"/>
      <c r="H1" s="601"/>
      <c r="I1" s="601"/>
      <c r="J1" s="601"/>
      <c r="BB1" s="65"/>
      <c r="BC1" s="65"/>
      <c r="BD1" s="65"/>
    </row>
    <row r="2" spans="2:56" ht="17.25" customHeight="1" thickBot="1">
      <c r="B2" s="606" t="s">
        <v>204</v>
      </c>
      <c r="C2" s="607"/>
      <c r="D2" s="608"/>
      <c r="E2" s="222"/>
      <c r="F2" s="609" t="s">
        <v>272</v>
      </c>
      <c r="G2" s="610"/>
      <c r="H2" s="610"/>
      <c r="I2" s="610"/>
      <c r="J2" s="611"/>
      <c r="BB2" s="65"/>
      <c r="BC2" s="65"/>
      <c r="BD2" s="65"/>
    </row>
    <row r="3" spans="2:56" s="67" customFormat="1" ht="15" customHeight="1">
      <c r="B3" s="612" t="s">
        <v>43</v>
      </c>
      <c r="C3" s="613"/>
      <c r="D3" s="147" t="s">
        <v>179</v>
      </c>
      <c r="E3" s="222"/>
      <c r="F3" s="111"/>
      <c r="G3" s="75"/>
      <c r="H3" s="75"/>
      <c r="I3" s="108" t="s">
        <v>67</v>
      </c>
      <c r="J3" s="371">
        <v>379382</v>
      </c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</row>
    <row r="4" spans="2:56" s="67" customFormat="1" ht="15" customHeight="1">
      <c r="B4" s="74" t="s">
        <v>256</v>
      </c>
      <c r="C4" s="79">
        <v>42190</v>
      </c>
      <c r="D4" s="148" t="s">
        <v>195</v>
      </c>
      <c r="E4" s="223"/>
      <c r="F4" s="72"/>
      <c r="G4" s="103" t="s">
        <v>73</v>
      </c>
      <c r="H4" s="105" t="s">
        <v>23</v>
      </c>
      <c r="I4" s="103" t="s">
        <v>25</v>
      </c>
      <c r="J4" s="104" t="s">
        <v>74</v>
      </c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</row>
    <row r="5" spans="2:56" s="67" customFormat="1" ht="15" customHeight="1">
      <c r="B5" s="76" t="s">
        <v>69</v>
      </c>
      <c r="C5" s="79">
        <v>59307</v>
      </c>
      <c r="D5" s="149" t="s">
        <v>195</v>
      </c>
      <c r="E5" s="223"/>
      <c r="F5" s="69" t="s">
        <v>256</v>
      </c>
      <c r="G5" s="112">
        <f>C10</f>
        <v>450.35849952516617</v>
      </c>
      <c r="H5" s="102">
        <f>C4</f>
        <v>42190</v>
      </c>
      <c r="I5" s="102">
        <f>G5*H5</f>
        <v>19000625.094966762</v>
      </c>
      <c r="J5" s="73">
        <f>I5/$J$3</f>
        <v>50.083095916429251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</row>
    <row r="6" spans="2:56" s="67" customFormat="1" ht="15" customHeight="1">
      <c r="B6" s="74" t="s">
        <v>262</v>
      </c>
      <c r="C6" s="79">
        <v>62130</v>
      </c>
      <c r="D6" s="149" t="s">
        <v>195</v>
      </c>
      <c r="E6" s="223"/>
      <c r="F6" s="70" t="s">
        <v>69</v>
      </c>
      <c r="G6" s="112">
        <f>C11</f>
        <v>62.118413727609123</v>
      </c>
      <c r="H6" s="102">
        <f>C5</f>
        <v>59307</v>
      </c>
      <c r="I6" s="102">
        <f t="shared" ref="I6:I9" si="0">G6*H6</f>
        <v>3684056.7629433144</v>
      </c>
      <c r="J6" s="73">
        <f>I6/$J$3</f>
        <v>9.7106788486098825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</row>
    <row r="7" spans="2:56" s="67" customFormat="1" ht="15" customHeight="1">
      <c r="B7" s="74" t="s">
        <v>71</v>
      </c>
      <c r="C7" s="79">
        <f>89563.9582526153*(2.514%+1)</f>
        <v>91815.59616308604</v>
      </c>
      <c r="D7" s="149" t="s">
        <v>195</v>
      </c>
      <c r="E7" s="223"/>
      <c r="F7" s="69" t="s">
        <v>253</v>
      </c>
      <c r="G7" s="112">
        <f>C12</f>
        <v>42.706409437731274</v>
      </c>
      <c r="H7" s="102">
        <f>C6</f>
        <v>62130</v>
      </c>
      <c r="I7" s="102">
        <f t="shared" si="0"/>
        <v>2653349.2183662439</v>
      </c>
      <c r="J7" s="73">
        <f>I7/$J$3</f>
        <v>6.9938721878377041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</row>
    <row r="8" spans="2:56" s="67" customFormat="1" ht="15" customHeight="1">
      <c r="B8" s="153" t="s">
        <v>72</v>
      </c>
      <c r="C8" s="154">
        <f>33326.7238957768*(2.514%+1)</f>
        <v>34164.557734516624</v>
      </c>
      <c r="D8" s="150" t="s">
        <v>195</v>
      </c>
      <c r="E8" s="223"/>
      <c r="F8" s="69" t="s">
        <v>71</v>
      </c>
      <c r="G8" s="112">
        <f>C13</f>
        <v>7.3579999999999997</v>
      </c>
      <c r="H8" s="102">
        <f>C7</f>
        <v>91815.59616308604</v>
      </c>
      <c r="I8" s="102">
        <f t="shared" si="0"/>
        <v>675579.15656798705</v>
      </c>
      <c r="J8" s="73">
        <f>I8/$J$3</f>
        <v>1.7807359246563808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</row>
    <row r="9" spans="2:56" s="67" customFormat="1" ht="15" customHeight="1" thickBot="1">
      <c r="B9" s="603" t="s">
        <v>191</v>
      </c>
      <c r="C9" s="604"/>
      <c r="D9" s="80"/>
      <c r="E9" s="68"/>
      <c r="F9" s="69" t="s">
        <v>72</v>
      </c>
      <c r="G9" s="112">
        <f>C14</f>
        <v>44.199999999999996</v>
      </c>
      <c r="H9" s="102">
        <f>C8</f>
        <v>34164.557734516624</v>
      </c>
      <c r="I9" s="102">
        <f t="shared" si="0"/>
        <v>1510073.4518656346</v>
      </c>
      <c r="J9" s="101">
        <f>I9/$J$3</f>
        <v>3.9803508122832256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</row>
    <row r="10" spans="2:56" s="67" customFormat="1" ht="15" customHeight="1">
      <c r="B10" s="74" t="s">
        <v>68</v>
      </c>
      <c r="C10" s="156">
        <v>450.35849952516617</v>
      </c>
      <c r="D10" s="80" t="s">
        <v>205</v>
      </c>
      <c r="E10" s="68"/>
      <c r="F10" s="158" t="s">
        <v>210</v>
      </c>
      <c r="G10" s="113">
        <f>SUM(G5:G9)</f>
        <v>606.74132269050654</v>
      </c>
      <c r="H10" s="84"/>
      <c r="I10" s="84">
        <f>SUM(I5:I9)</f>
        <v>27523683.68470994</v>
      </c>
      <c r="J10" s="85">
        <f t="shared" ref="J10" si="1">SUM(J5:J9)</f>
        <v>72.548733689816444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</row>
    <row r="11" spans="2:56" s="67" customFormat="1" ht="15" customHeight="1">
      <c r="B11" s="76" t="s">
        <v>69</v>
      </c>
      <c r="C11" s="156">
        <v>62.118413727609123</v>
      </c>
      <c r="D11" s="80" t="s">
        <v>206</v>
      </c>
      <c r="E11" s="68"/>
      <c r="F11" s="82"/>
      <c r="G11" s="83"/>
      <c r="H11" s="84"/>
      <c r="I11" s="84"/>
      <c r="J11" s="85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</row>
    <row r="12" spans="2:56" s="67" customFormat="1" ht="15" customHeight="1">
      <c r="B12" s="74" t="s">
        <v>70</v>
      </c>
      <c r="C12" s="156">
        <v>42.706409437731274</v>
      </c>
      <c r="D12" s="80" t="s">
        <v>207</v>
      </c>
      <c r="E12" s="68"/>
      <c r="F12" s="86" t="s">
        <v>55</v>
      </c>
      <c r="G12" s="68"/>
      <c r="H12" s="93">
        <f>C16</f>
        <v>0.28298501102565127</v>
      </c>
      <c r="I12" s="71">
        <f>H12*I10</f>
        <v>7788789.9309841804</v>
      </c>
      <c r="J12" s="87">
        <f>I12/$J$3</f>
        <v>20.530204203109744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</row>
    <row r="13" spans="2:56" s="67" customFormat="1" ht="15" customHeight="1" thickBot="1">
      <c r="B13" s="74" t="s">
        <v>71</v>
      </c>
      <c r="C13" s="156">
        <v>7.3579999999999997</v>
      </c>
      <c r="D13" s="80" t="s">
        <v>208</v>
      </c>
      <c r="E13" s="68"/>
      <c r="F13" s="94" t="s">
        <v>184</v>
      </c>
      <c r="G13" s="95"/>
      <c r="H13" s="95"/>
      <c r="I13" s="96">
        <f>SUM(I10:I12)</f>
        <v>35312473.615694121</v>
      </c>
      <c r="J13" s="97">
        <f>I13/$J$3</f>
        <v>93.078937892926177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</row>
    <row r="14" spans="2:56" s="67" customFormat="1" ht="15" customHeight="1" thickTop="1">
      <c r="B14" s="74" t="s">
        <v>72</v>
      </c>
      <c r="C14" s="156">
        <v>44.199999999999996</v>
      </c>
      <c r="D14" s="80" t="s">
        <v>209</v>
      </c>
      <c r="E14" s="68"/>
      <c r="F14" s="86"/>
      <c r="G14" s="68"/>
      <c r="H14" s="68"/>
      <c r="I14" s="68"/>
      <c r="J14" s="80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</row>
    <row r="15" spans="2:56" s="67" customFormat="1" ht="15" customHeight="1">
      <c r="B15" s="603" t="s">
        <v>53</v>
      </c>
      <c r="C15" s="605"/>
      <c r="D15" s="161"/>
      <c r="E15" s="222"/>
      <c r="F15" s="88" t="s">
        <v>185</v>
      </c>
      <c r="G15" s="89"/>
      <c r="H15" s="89"/>
      <c r="I15" s="71">
        <f>C17</f>
        <v>1918266.3215037144</v>
      </c>
      <c r="J15" s="87">
        <f>I15/J3</f>
        <v>5.0562923952736671</v>
      </c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</row>
    <row r="16" spans="2:56" s="67" customFormat="1" ht="15" customHeight="1">
      <c r="B16" s="81" t="s">
        <v>55</v>
      </c>
      <c r="C16" s="155">
        <v>0.28298501102565127</v>
      </c>
      <c r="D16" s="152" t="s">
        <v>202</v>
      </c>
      <c r="E16" s="68"/>
      <c r="F16" s="88" t="s">
        <v>182</v>
      </c>
      <c r="G16" s="89"/>
      <c r="H16" s="89"/>
      <c r="I16" s="71">
        <f>C18</f>
        <v>3083419.5</v>
      </c>
      <c r="J16" s="87">
        <f>I16/J3</f>
        <v>8.1274796906548019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</row>
    <row r="17" spans="2:56" s="67" customFormat="1" ht="15" customHeight="1">
      <c r="B17" s="81" t="s">
        <v>75</v>
      </c>
      <c r="C17" s="79">
        <f>1871223.75627106*(2.514%+1)</f>
        <v>1918266.3215037144</v>
      </c>
      <c r="D17" s="149" t="s">
        <v>203</v>
      </c>
      <c r="E17" s="223"/>
      <c r="F17" s="216" t="s">
        <v>178</v>
      </c>
      <c r="G17" s="98"/>
      <c r="H17" s="98"/>
      <c r="I17" s="224">
        <f>C19</f>
        <v>1767981.9372189478</v>
      </c>
      <c r="J17" s="225">
        <f>I17/J3</f>
        <v>4.6601629418869317</v>
      </c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</row>
    <row r="18" spans="2:56" s="67" customFormat="1" ht="15" customHeight="1">
      <c r="B18" s="81" t="s">
        <v>186</v>
      </c>
      <c r="C18" s="79">
        <f>1366165+925000*(2.514%+1)+769000</f>
        <v>3083419.5</v>
      </c>
      <c r="D18" s="149" t="s">
        <v>203</v>
      </c>
      <c r="E18" s="223"/>
      <c r="F18" s="88"/>
      <c r="G18" s="68"/>
      <c r="H18" s="68"/>
      <c r="I18" s="68"/>
      <c r="J18" s="80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</row>
    <row r="19" spans="2:56" s="67" customFormat="1" ht="15" customHeight="1" thickBot="1">
      <c r="B19" s="81" t="s">
        <v>183</v>
      </c>
      <c r="C19" s="79">
        <f>1724624.86803651*(2.514%+1)</f>
        <v>1767981.9372189478</v>
      </c>
      <c r="D19" s="149" t="s">
        <v>203</v>
      </c>
      <c r="E19" s="223"/>
      <c r="F19" s="99" t="s">
        <v>76</v>
      </c>
      <c r="G19" s="100"/>
      <c r="H19" s="100"/>
      <c r="I19" s="96">
        <f>SUM(I13:I17)</f>
        <v>42082141.374416783</v>
      </c>
      <c r="J19" s="97">
        <f>I19/J3</f>
        <v>110.92287292074158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</row>
    <row r="20" spans="2:56" s="67" customFormat="1" ht="15" customHeight="1" thickTop="1">
      <c r="B20" s="162" t="s">
        <v>59</v>
      </c>
      <c r="C20" s="157">
        <v>0.2417</v>
      </c>
      <c r="D20" s="151" t="s">
        <v>196</v>
      </c>
      <c r="E20" s="68"/>
      <c r="F20" s="90"/>
      <c r="G20" s="68"/>
      <c r="H20" s="68"/>
      <c r="I20" s="68"/>
      <c r="J20" s="80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</row>
    <row r="21" spans="2:56" s="67" customFormat="1" ht="15" customHeight="1" thickBot="1">
      <c r="B21" s="163" t="s">
        <v>218</v>
      </c>
      <c r="C21" s="369">
        <f>CAF!BT24:BT24</f>
        <v>1.8120393120392975E-2</v>
      </c>
      <c r="D21" s="370" t="s">
        <v>217</v>
      </c>
      <c r="E21" s="226"/>
      <c r="F21" s="88" t="s">
        <v>59</v>
      </c>
      <c r="G21" s="89"/>
      <c r="H21" s="91">
        <f>C20</f>
        <v>0.2417</v>
      </c>
      <c r="I21" s="71">
        <f>H21*I19</f>
        <v>10171253.570196537</v>
      </c>
      <c r="J21" s="92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</row>
    <row r="22" spans="2:56" s="67" customFormat="1" ht="15" customHeight="1">
      <c r="B22" s="389" t="s">
        <v>230</v>
      </c>
      <c r="C22" s="388">
        <v>6.3E-3</v>
      </c>
      <c r="D22" s="390" t="s">
        <v>250</v>
      </c>
      <c r="E22" s="227"/>
      <c r="F22" s="158" t="s">
        <v>218</v>
      </c>
      <c r="G22" s="68"/>
      <c r="H22" s="155">
        <f>C21</f>
        <v>1.8120393120392975E-2</v>
      </c>
      <c r="I22" s="71">
        <f>(I19+I21)*H22</f>
        <v>946852.05827154836</v>
      </c>
      <c r="J22" s="92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</row>
    <row r="23" spans="2:56" s="67" customFormat="1" ht="15" customHeight="1" thickBot="1">
      <c r="B23" s="68"/>
      <c r="C23" s="68"/>
      <c r="D23" s="68"/>
      <c r="E23" s="68"/>
      <c r="F23" s="86" t="str">
        <f>B22</f>
        <v>PFLMA Trust Contribution</v>
      </c>
      <c r="G23" s="68"/>
      <c r="H23" s="155">
        <f>C22</f>
        <v>6.3E-3</v>
      </c>
      <c r="I23" s="391">
        <f>I10*(H22+1)*H23</f>
        <v>176541.26901514886</v>
      </c>
      <c r="J23" s="92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</row>
    <row r="24" spans="2:56" s="67" customFormat="1" ht="15" customHeight="1" thickTop="1">
      <c r="B24" s="599"/>
      <c r="E24" s="68"/>
      <c r="F24" s="88" t="s">
        <v>77</v>
      </c>
      <c r="G24" s="89"/>
      <c r="H24" s="89"/>
      <c r="I24" s="84">
        <f>I19+I21+I22+I23</f>
        <v>53376788.271900021</v>
      </c>
      <c r="J24" s="85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</row>
    <row r="25" spans="2:56" s="67" customFormat="1" ht="15" customHeight="1" thickBot="1">
      <c r="B25" s="602"/>
      <c r="C25" s="602"/>
      <c r="D25" s="602"/>
      <c r="E25" s="228"/>
      <c r="F25" s="132" t="s">
        <v>78</v>
      </c>
      <c r="G25" s="215"/>
      <c r="H25" s="215"/>
      <c r="I25" s="215"/>
      <c r="J25" s="217">
        <f>I24/J3+0.01</f>
        <v>140.70404524173529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</row>
    <row r="26" spans="2:56" s="67" customFormat="1" ht="15" customHeight="1">
      <c r="B26" s="602"/>
      <c r="C26" s="602"/>
      <c r="D26" s="602"/>
      <c r="E26" s="228"/>
      <c r="F26" s="77"/>
      <c r="G26" s="66"/>
      <c r="H26" s="66"/>
      <c r="I26" s="66"/>
      <c r="J26" s="66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</row>
    <row r="27" spans="2:56" s="67" customFormat="1" ht="15" customHeight="1">
      <c r="B27" s="602"/>
      <c r="C27" s="602"/>
      <c r="D27" s="602"/>
      <c r="E27" s="228"/>
      <c r="F27" s="77"/>
      <c r="G27" s="66"/>
      <c r="H27" s="66"/>
      <c r="I27" s="66"/>
      <c r="J27" s="66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</row>
    <row r="28" spans="2:56" s="67" customFormat="1" ht="15" customHeight="1">
      <c r="B28" s="602"/>
      <c r="C28" s="602"/>
      <c r="D28" s="602"/>
      <c r="E28" s="228"/>
      <c r="F28" s="336"/>
      <c r="G28" s="68"/>
      <c r="H28" s="66"/>
      <c r="I28" s="66"/>
      <c r="J28" s="229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</row>
    <row r="29" spans="2:56" s="67" customFormat="1" ht="15" customHeight="1">
      <c r="B29" s="602"/>
      <c r="C29" s="602"/>
      <c r="D29" s="602"/>
      <c r="E29" s="228"/>
      <c r="J29" s="7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</row>
    <row r="30" spans="2:56" s="67" customFormat="1" ht="15" customHeight="1">
      <c r="B30" s="602"/>
      <c r="C30" s="602"/>
      <c r="D30" s="602"/>
      <c r="E30" s="228"/>
      <c r="F30" s="336"/>
      <c r="G30" s="68"/>
      <c r="H30" s="65"/>
      <c r="I30" s="65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</row>
    <row r="31" spans="2:56" s="67" customFormat="1" ht="15" customHeight="1">
      <c r="B31" s="106"/>
      <c r="C31" s="106"/>
      <c r="D31" s="106"/>
      <c r="E31" s="230"/>
      <c r="F31" s="336"/>
      <c r="G31" s="68"/>
      <c r="H31" s="65"/>
      <c r="I31" s="65"/>
      <c r="J31" s="66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</row>
    <row r="32" spans="2:56" s="67" customFormat="1" ht="15" customHeight="1">
      <c r="B32" s="68"/>
      <c r="C32" s="68"/>
      <c r="D32" s="68"/>
      <c r="E32" s="68"/>
      <c r="F32" s="77"/>
      <c r="G32" s="66"/>
      <c r="H32" s="66"/>
      <c r="I32" s="66"/>
      <c r="J32" s="66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</row>
    <row r="33" spans="2:46" s="67" customFormat="1" ht="15" customHeight="1">
      <c r="B33" s="68"/>
      <c r="C33" s="159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</row>
    <row r="34" spans="2:46" s="67" customFormat="1" ht="15" customHeight="1">
      <c r="B34" s="68"/>
      <c r="C34" s="68"/>
      <c r="E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</row>
    <row r="35" spans="2:46" s="67" customFormat="1" ht="15" customHeight="1">
      <c r="B35" s="68"/>
      <c r="C35" s="68"/>
      <c r="D35" s="68"/>
      <c r="E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</row>
    <row r="36" spans="2:46" s="67" customFormat="1" ht="15" customHeight="1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</row>
    <row r="37" spans="2:46" s="67" customFormat="1" ht="15" customHeight="1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</row>
    <row r="38" spans="2:46" s="67" customFormat="1" ht="15" customHeight="1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</row>
    <row r="39" spans="2:46" s="67" customFormat="1" ht="15" customHeight="1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</row>
    <row r="40" spans="2:46" s="67" customFormat="1" ht="15" customHeight="1">
      <c r="B40" s="68"/>
      <c r="C40" s="71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</row>
    <row r="41" spans="2:46" s="67" customFormat="1" ht="15" customHeight="1">
      <c r="B41" s="68"/>
      <c r="C41" s="160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</row>
    <row r="42" spans="2:46" s="67" customFormat="1" ht="15" customHeight="1">
      <c r="B42" s="68"/>
      <c r="C42" s="7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</row>
    <row r="43" spans="2:46" s="67" customFormat="1" ht="15" customHeight="1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</row>
    <row r="44" spans="2:46" s="67" customFormat="1" ht="15" customHeight="1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</row>
    <row r="45" spans="2:46" s="67" customFormat="1" ht="15" customHeight="1">
      <c r="B45" s="65"/>
      <c r="C45" s="65"/>
      <c r="D45" s="65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</row>
    <row r="46" spans="2:46" s="67" customFormat="1" ht="15" customHeight="1">
      <c r="B46" s="65"/>
      <c r="C46" s="65"/>
      <c r="D46" s="65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</row>
    <row r="47" spans="2:46" s="67" customFormat="1" ht="15" customHeight="1">
      <c r="B47" s="65"/>
      <c r="C47" s="65"/>
      <c r="D47" s="65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</row>
    <row r="48" spans="2:46" s="67" customFormat="1" ht="15" customHeight="1">
      <c r="B48" s="65"/>
      <c r="C48" s="65"/>
      <c r="D48" s="65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</row>
    <row r="49" spans="2:46" s="67" customFormat="1" ht="15" customHeight="1">
      <c r="B49" s="65"/>
      <c r="C49" s="65"/>
      <c r="D49" s="65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</row>
    <row r="50" spans="2:46" s="67" customFormat="1" ht="15" customHeight="1">
      <c r="B50" s="65"/>
      <c r="C50" s="65"/>
      <c r="D50" s="65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</row>
    <row r="51" spans="2:46" s="67" customFormat="1" ht="15" customHeight="1">
      <c r="B51" s="65"/>
      <c r="C51" s="65"/>
      <c r="D51" s="65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</row>
    <row r="52" spans="2:46" s="67" customFormat="1" ht="15" customHeight="1">
      <c r="B52" s="65"/>
      <c r="C52" s="65"/>
      <c r="D52" s="65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</row>
    <row r="53" spans="2:46" s="67" customFormat="1" ht="15" customHeight="1">
      <c r="B53" s="65"/>
      <c r="C53" s="65"/>
      <c r="D53" s="65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</row>
    <row r="54" spans="2:46" s="67" customFormat="1" ht="15" customHeight="1">
      <c r="B54" s="65"/>
      <c r="C54" s="65"/>
      <c r="D54" s="65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</row>
    <row r="55" spans="2:46" s="67" customFormat="1" ht="15" customHeight="1">
      <c r="B55" s="65"/>
      <c r="C55" s="65"/>
      <c r="D55" s="65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</row>
  </sheetData>
  <mergeCells count="7">
    <mergeCell ref="F1:J1"/>
    <mergeCell ref="B25:D30"/>
    <mergeCell ref="B9:C9"/>
    <mergeCell ref="B15:C15"/>
    <mergeCell ref="B2:D2"/>
    <mergeCell ref="F2:J2"/>
    <mergeCell ref="B3:C3"/>
  </mergeCells>
  <pageMargins left="0.25" right="0.25" top="0.12937499999999999" bottom="0.75" header="0.3" footer="0.3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zoomScale="75" zoomScaleNormal="75" workbookViewId="0">
      <selection activeCell="L18" sqref="L18"/>
    </sheetView>
  </sheetViews>
  <sheetFormatPr defaultColWidth="9.140625" defaultRowHeight="15"/>
  <cols>
    <col min="1" max="1" width="5.7109375" style="35" customWidth="1"/>
    <col min="2" max="2" width="32" style="35" customWidth="1"/>
    <col min="3" max="3" width="13.7109375" style="57" customWidth="1"/>
    <col min="4" max="4" width="67.5703125" style="57" customWidth="1"/>
    <col min="5" max="5" width="9.7109375" style="35" customWidth="1"/>
    <col min="6" max="6" width="29.7109375" style="35" customWidth="1"/>
    <col min="7" max="7" width="10.5703125" style="35" customWidth="1"/>
    <col min="8" max="8" width="13.140625" style="35" customWidth="1"/>
    <col min="9" max="9" width="14.7109375" style="35" customWidth="1"/>
    <col min="10" max="10" width="9.5703125" style="35" customWidth="1"/>
    <col min="11" max="11" width="9.140625" style="35" customWidth="1"/>
    <col min="12" max="12" width="24.7109375" style="35" customWidth="1"/>
    <col min="13" max="13" width="10" style="35" customWidth="1"/>
    <col min="14" max="14" width="15.85546875" style="35" customWidth="1"/>
    <col min="15" max="15" width="16" style="35" customWidth="1"/>
    <col min="16" max="18" width="0" style="35" hidden="1" customWidth="1"/>
    <col min="19" max="16384" width="9.140625" style="35"/>
  </cols>
  <sheetData>
    <row r="1" spans="2:9" ht="22.5" customHeight="1" thickBot="1">
      <c r="B1" s="46"/>
      <c r="C1" s="61"/>
      <c r="D1" s="61"/>
      <c r="F1" s="617"/>
      <c r="G1" s="618"/>
      <c r="H1" s="618"/>
      <c r="I1" s="618"/>
    </row>
    <row r="2" spans="2:9" ht="20.25" customHeight="1" thickBot="1">
      <c r="B2" s="619" t="s">
        <v>175</v>
      </c>
      <c r="C2" s="620"/>
      <c r="D2" s="621"/>
      <c r="F2" s="622" t="s">
        <v>271</v>
      </c>
      <c r="G2" s="623"/>
      <c r="H2" s="623"/>
      <c r="I2" s="624"/>
    </row>
    <row r="3" spans="2:9">
      <c r="B3" s="625" t="s">
        <v>43</v>
      </c>
      <c r="C3" s="626"/>
      <c r="D3" s="123" t="s">
        <v>44</v>
      </c>
      <c r="F3" s="47"/>
      <c r="G3" s="49" t="s">
        <v>87</v>
      </c>
      <c r="H3" s="48"/>
      <c r="I3" s="381">
        <v>25789</v>
      </c>
    </row>
    <row r="4" spans="2:9" ht="15" customHeight="1">
      <c r="B4" s="36" t="s">
        <v>256</v>
      </c>
      <c r="C4" s="177">
        <v>42190</v>
      </c>
      <c r="D4" s="124" t="s">
        <v>195</v>
      </c>
      <c r="F4" s="50" t="s">
        <v>49</v>
      </c>
      <c r="G4" s="51" t="s">
        <v>73</v>
      </c>
      <c r="H4" s="51" t="s">
        <v>23</v>
      </c>
      <c r="I4" s="52" t="s">
        <v>25</v>
      </c>
    </row>
    <row r="5" spans="2:9" ht="18" customHeight="1">
      <c r="B5" s="36" t="s">
        <v>69</v>
      </c>
      <c r="C5" s="177">
        <v>59307</v>
      </c>
      <c r="D5" s="124" t="s">
        <v>195</v>
      </c>
      <c r="F5" s="37" t="s">
        <v>255</v>
      </c>
      <c r="G5" s="54">
        <f>C10</f>
        <v>50.32</v>
      </c>
      <c r="H5" s="177">
        <f>C4</f>
        <v>42190</v>
      </c>
      <c r="I5" s="137">
        <f>H5*G5</f>
        <v>2123000.7999999998</v>
      </c>
    </row>
    <row r="6" spans="2:9">
      <c r="B6" s="74" t="s">
        <v>262</v>
      </c>
      <c r="C6" s="177">
        <v>62130</v>
      </c>
      <c r="D6" s="124" t="s">
        <v>195</v>
      </c>
      <c r="F6" s="37" t="s">
        <v>83</v>
      </c>
      <c r="G6" s="54">
        <f>C11</f>
        <v>16.773333333333333</v>
      </c>
      <c r="H6" s="177">
        <f>C5</f>
        <v>59307</v>
      </c>
      <c r="I6" s="137">
        <f>H6*G6</f>
        <v>994776.08</v>
      </c>
    </row>
    <row r="7" spans="2:9" ht="15" customHeight="1">
      <c r="B7" s="36" t="s">
        <v>80</v>
      </c>
      <c r="C7" s="9">
        <f>89563.9582526153*(2.514%+1)</f>
        <v>91815.59616308604</v>
      </c>
      <c r="D7" s="124" t="s">
        <v>195</v>
      </c>
      <c r="F7" s="38" t="s">
        <v>254</v>
      </c>
      <c r="G7" s="54">
        <f>C12</f>
        <v>8.3866666666666667</v>
      </c>
      <c r="H7" s="177">
        <f>C6</f>
        <v>62130</v>
      </c>
      <c r="I7" s="137">
        <f>H7*G7</f>
        <v>521063.6</v>
      </c>
    </row>
    <row r="8" spans="2:9" ht="15" customHeight="1">
      <c r="B8" s="39" t="s">
        <v>72</v>
      </c>
      <c r="C8" s="9">
        <f>33326.7238957768*(2.514%+1)</f>
        <v>34164.557734516624</v>
      </c>
      <c r="D8" s="124" t="s">
        <v>195</v>
      </c>
      <c r="F8" s="37" t="s">
        <v>84</v>
      </c>
      <c r="G8" s="54">
        <f>C13</f>
        <v>1.339</v>
      </c>
      <c r="H8" s="9">
        <f>C7</f>
        <v>91815.59616308604</v>
      </c>
      <c r="I8" s="137">
        <f>H8*G8</f>
        <v>122941.08326237221</v>
      </c>
    </row>
    <row r="9" spans="2:9">
      <c r="B9" s="627" t="s">
        <v>191</v>
      </c>
      <c r="C9" s="628"/>
      <c r="D9" s="125"/>
      <c r="F9" s="43" t="s">
        <v>85</v>
      </c>
      <c r="G9" s="55">
        <f>C14</f>
        <v>3.8739999999999997</v>
      </c>
      <c r="H9" s="41">
        <f>C8</f>
        <v>34164.557734516624</v>
      </c>
      <c r="I9" s="138">
        <f>H9*G9</f>
        <v>132353.49666351738</v>
      </c>
    </row>
    <row r="10" spans="2:9">
      <c r="B10" s="36" t="s">
        <v>68</v>
      </c>
      <c r="C10" s="62">
        <v>50.32</v>
      </c>
      <c r="D10" s="128" t="s">
        <v>197</v>
      </c>
      <c r="F10" s="37" t="s">
        <v>65</v>
      </c>
      <c r="G10" s="56">
        <f>SUM(G5:G9)</f>
        <v>80.692999999999998</v>
      </c>
      <c r="H10" s="40"/>
      <c r="I10" s="11">
        <f>SUM(I5:I9)</f>
        <v>3894135.0599258896</v>
      </c>
    </row>
    <row r="11" spans="2:9" ht="18" customHeight="1">
      <c r="B11" s="36" t="s">
        <v>69</v>
      </c>
      <c r="C11" s="62">
        <v>16.773333333333333</v>
      </c>
      <c r="D11" s="128" t="s">
        <v>198</v>
      </c>
      <c r="F11" s="37"/>
      <c r="G11" s="10"/>
      <c r="H11" s="56"/>
      <c r="I11" s="11"/>
    </row>
    <row r="12" spans="2:9">
      <c r="B12" s="36" t="s">
        <v>79</v>
      </c>
      <c r="C12" s="62">
        <v>8.3866666666666667</v>
      </c>
      <c r="D12" s="128" t="s">
        <v>199</v>
      </c>
      <c r="F12" s="43" t="s">
        <v>81</v>
      </c>
      <c r="G12" s="60"/>
      <c r="H12" s="110">
        <f>C16</f>
        <v>0.28298501102565127</v>
      </c>
      <c r="I12" s="42">
        <f>I10*H12</f>
        <v>1101981.852868503</v>
      </c>
    </row>
    <row r="13" spans="2:9" ht="17.25" customHeight="1" thickBot="1">
      <c r="B13" s="36" t="s">
        <v>80</v>
      </c>
      <c r="C13" s="62">
        <v>1.339</v>
      </c>
      <c r="D13" s="128" t="s">
        <v>200</v>
      </c>
      <c r="F13" s="143" t="s">
        <v>66</v>
      </c>
      <c r="G13" s="141"/>
      <c r="H13" s="141"/>
      <c r="I13" s="142">
        <f>I10+I12</f>
        <v>4996116.9127943926</v>
      </c>
    </row>
    <row r="14" spans="2:9" ht="15.75" thickTop="1">
      <c r="B14" s="39" t="s">
        <v>72</v>
      </c>
      <c r="C14" s="63">
        <v>3.8739999999999997</v>
      </c>
      <c r="D14" s="129" t="s">
        <v>201</v>
      </c>
      <c r="F14" s="37"/>
      <c r="G14" s="58"/>
      <c r="H14" s="58"/>
      <c r="I14" s="11"/>
    </row>
    <row r="15" spans="2:9">
      <c r="B15" s="614" t="s">
        <v>53</v>
      </c>
      <c r="C15" s="615"/>
      <c r="D15" s="125"/>
      <c r="F15" s="36" t="s">
        <v>185</v>
      </c>
      <c r="G15" s="40"/>
      <c r="H15" s="58"/>
      <c r="I15" s="133">
        <f>C17</f>
        <v>190010.5368166168</v>
      </c>
    </row>
    <row r="16" spans="2:9">
      <c r="B16" s="36" t="s">
        <v>55</v>
      </c>
      <c r="C16" s="64">
        <v>0.28298501102565127</v>
      </c>
      <c r="D16" s="126" t="s">
        <v>202</v>
      </c>
      <c r="F16" s="37" t="s">
        <v>82</v>
      </c>
      <c r="G16" s="58"/>
      <c r="H16" s="58"/>
      <c r="I16" s="133">
        <f>C18</f>
        <v>780514.36199999996</v>
      </c>
    </row>
    <row r="17" spans="2:10" ht="13.5" customHeight="1">
      <c r="B17" s="36" t="s">
        <v>185</v>
      </c>
      <c r="C17" s="9">
        <f>185350.817270438*(2.514%+1)</f>
        <v>190010.5368166168</v>
      </c>
      <c r="D17" s="124" t="s">
        <v>203</v>
      </c>
      <c r="F17" s="37"/>
      <c r="G17" s="40"/>
      <c r="H17" s="58"/>
      <c r="I17" s="53"/>
    </row>
    <row r="18" spans="2:10" ht="15.75" customHeight="1" thickBot="1">
      <c r="B18" s="36" t="s">
        <v>187</v>
      </c>
      <c r="C18" s="177">
        <f>629823+63300*(2.514%+1)+85800</f>
        <v>780514.36199999996</v>
      </c>
      <c r="D18" s="124" t="s">
        <v>203</v>
      </c>
      <c r="F18" s="45" t="s">
        <v>176</v>
      </c>
      <c r="G18" s="59"/>
      <c r="H18" s="59"/>
      <c r="I18" s="44">
        <f>SUM(I13:I17)</f>
        <v>5966641.8116110088</v>
      </c>
    </row>
    <row r="19" spans="2:10" ht="16.5" customHeight="1" thickTop="1">
      <c r="B19" s="39" t="s">
        <v>59</v>
      </c>
      <c r="C19" s="109">
        <v>4.2590000000000003E-2</v>
      </c>
      <c r="D19" s="127" t="s">
        <v>196</v>
      </c>
      <c r="E19" s="336"/>
      <c r="F19" s="134"/>
      <c r="G19" s="372"/>
      <c r="H19" s="372"/>
      <c r="I19" s="11"/>
    </row>
    <row r="20" spans="2:10">
      <c r="B20" s="213" t="s">
        <v>245</v>
      </c>
      <c r="C20" s="373">
        <f>CAF!BT24</f>
        <v>1.8120393120392975E-2</v>
      </c>
      <c r="D20" s="370" t="s">
        <v>217</v>
      </c>
      <c r="E20" s="336"/>
      <c r="F20" s="36" t="s">
        <v>61</v>
      </c>
      <c r="G20" s="372"/>
      <c r="H20" s="64">
        <f>C19</f>
        <v>4.2590000000000003E-2</v>
      </c>
      <c r="I20" s="12">
        <f>H20*I18</f>
        <v>254119.2747565129</v>
      </c>
    </row>
    <row r="21" spans="2:10" ht="15.75" customHeight="1">
      <c r="B21" s="214" t="s">
        <v>230</v>
      </c>
      <c r="C21" s="388">
        <v>6.3E-3</v>
      </c>
      <c r="D21" s="374" t="s">
        <v>250</v>
      </c>
      <c r="E21" s="336"/>
      <c r="F21" s="36"/>
      <c r="G21" s="122"/>
      <c r="H21" s="122"/>
      <c r="I21" s="53"/>
    </row>
    <row r="22" spans="2:10" ht="16.5" customHeight="1" thickBot="1">
      <c r="B22" s="130"/>
      <c r="C22" s="131"/>
      <c r="D22" s="226"/>
      <c r="E22" s="336"/>
      <c r="F22" s="375" t="s">
        <v>86</v>
      </c>
      <c r="G22" s="376"/>
      <c r="H22" s="377"/>
      <c r="I22" s="142">
        <f>I18+I20</f>
        <v>6220761.0863675214</v>
      </c>
    </row>
    <row r="23" spans="2:10" ht="15.75" thickTop="1">
      <c r="B23" s="600"/>
      <c r="C23" s="107"/>
      <c r="D23" s="121"/>
      <c r="E23" s="336"/>
      <c r="F23" s="134"/>
      <c r="G23" s="135"/>
      <c r="H23" s="34"/>
      <c r="I23" s="136"/>
    </row>
    <row r="24" spans="2:10">
      <c r="B24" s="616"/>
      <c r="C24" s="616"/>
      <c r="D24" s="616"/>
      <c r="E24" s="336"/>
      <c r="F24" s="36" t="s">
        <v>19</v>
      </c>
      <c r="G24" s="64"/>
      <c r="H24" s="378">
        <f>C20</f>
        <v>1.8120393120392975E-2</v>
      </c>
      <c r="I24" s="144">
        <f>I22*H24</f>
        <v>112722.63639302237</v>
      </c>
    </row>
    <row r="25" spans="2:10">
      <c r="B25" s="616"/>
      <c r="C25" s="616"/>
      <c r="D25" s="616"/>
      <c r="E25" s="336"/>
      <c r="F25" s="384" t="str">
        <f>B21</f>
        <v>PFLMA Trust Contribution</v>
      </c>
      <c r="G25" s="385"/>
      <c r="H25" s="386">
        <f>C21</f>
        <v>6.3E-3</v>
      </c>
      <c r="I25" s="387">
        <f>I10*(H24+1)*H25</f>
        <v>24977.599403876608</v>
      </c>
    </row>
    <row r="26" spans="2:10">
      <c r="B26" s="616"/>
      <c r="C26" s="616"/>
      <c r="D26" s="616"/>
      <c r="E26" s="336"/>
      <c r="F26" s="146" t="s">
        <v>9</v>
      </c>
      <c r="G26" s="140"/>
      <c r="H26" s="139"/>
      <c r="I26" s="145">
        <f>I24+I22+I25</f>
        <v>6358461.322164421</v>
      </c>
    </row>
    <row r="27" spans="2:10" ht="15.75" thickBot="1">
      <c r="B27" s="616"/>
      <c r="C27" s="616"/>
      <c r="D27" s="616"/>
      <c r="E27" s="336"/>
      <c r="F27" s="32" t="s">
        <v>78</v>
      </c>
      <c r="G27" s="379"/>
      <c r="H27" s="379"/>
      <c r="I27" s="33">
        <f>I26/I3</f>
        <v>246.55711047983331</v>
      </c>
    </row>
    <row r="28" spans="2:10">
      <c r="B28" s="616"/>
      <c r="C28" s="616"/>
      <c r="D28" s="616"/>
      <c r="E28" s="336"/>
      <c r="F28" s="336"/>
      <c r="G28" s="380"/>
      <c r="H28" s="336"/>
      <c r="I28" s="114"/>
    </row>
    <row r="29" spans="2:10">
      <c r="B29" s="616"/>
      <c r="C29" s="616"/>
      <c r="D29" s="616"/>
      <c r="E29" s="336"/>
      <c r="F29" s="336"/>
      <c r="G29" s="336"/>
      <c r="H29" s="336"/>
    </row>
    <row r="30" spans="2:10">
      <c r="B30" s="120"/>
      <c r="C30" s="107"/>
      <c r="D30" s="121"/>
      <c r="I30" s="218"/>
    </row>
    <row r="31" spans="2:10">
      <c r="B31" s="120"/>
      <c r="C31" s="107"/>
      <c r="D31" s="121"/>
      <c r="E31" s="218"/>
    </row>
    <row r="32" spans="2:10">
      <c r="F32" s="336"/>
      <c r="G32" s="336"/>
      <c r="H32" s="336"/>
      <c r="I32" s="336"/>
      <c r="J32" s="336"/>
    </row>
    <row r="33" spans="6:10">
      <c r="F33" s="336"/>
      <c r="G33" s="336"/>
      <c r="H33" s="336"/>
      <c r="I33" s="336"/>
      <c r="J33" s="336"/>
    </row>
    <row r="34" spans="6:10">
      <c r="I34" s="35" t="s">
        <v>252</v>
      </c>
    </row>
  </sheetData>
  <mergeCells count="7">
    <mergeCell ref="B15:C15"/>
    <mergeCell ref="B24:D29"/>
    <mergeCell ref="F1:I1"/>
    <mergeCell ref="B2:D2"/>
    <mergeCell ref="F2:I2"/>
    <mergeCell ref="B3:C3"/>
    <mergeCell ref="B9:C9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I41"/>
  <sheetViews>
    <sheetView zoomScale="90" zoomScaleNormal="90" workbookViewId="0">
      <selection activeCell="F32" sqref="F32"/>
    </sheetView>
  </sheetViews>
  <sheetFormatPr defaultRowHeight="15"/>
  <cols>
    <col min="1" max="1" width="4.85546875" style="35" customWidth="1"/>
    <col min="2" max="2" width="37.140625" style="35" customWidth="1"/>
    <col min="3" max="3" width="13.7109375" style="35" customWidth="1"/>
    <col min="4" max="4" width="9.85546875" style="35" customWidth="1"/>
    <col min="5" max="5" width="9.5703125" style="35" customWidth="1"/>
    <col min="6" max="6" width="29.5703125" style="35" customWidth="1"/>
    <col min="7" max="7" width="10.5703125" style="35" customWidth="1"/>
    <col min="8" max="8" width="13.140625" style="35" customWidth="1"/>
    <col min="9" max="9" width="14.7109375" style="164" customWidth="1"/>
    <col min="10" max="10" width="12.85546875" style="35" customWidth="1"/>
    <col min="11" max="257" width="9.140625" style="35"/>
    <col min="258" max="258" width="33.140625" style="35" customWidth="1"/>
    <col min="259" max="259" width="10" style="35" customWidth="1"/>
    <col min="260" max="260" width="9.85546875" style="35" customWidth="1"/>
    <col min="261" max="261" width="14.42578125" style="35" customWidth="1"/>
    <col min="262" max="262" width="0" style="35" hidden="1" customWidth="1"/>
    <col min="263" max="263" width="10.7109375" style="35" bestFit="1" customWidth="1"/>
    <col min="264" max="264" width="43" style="35" bestFit="1" customWidth="1"/>
    <col min="265" max="265" width="7.85546875" style="35" customWidth="1"/>
    <col min="266" max="266" width="7.7109375" style="35" customWidth="1"/>
    <col min="267" max="513" width="9.140625" style="35"/>
    <col min="514" max="514" width="33.140625" style="35" customWidth="1"/>
    <col min="515" max="515" width="10" style="35" customWidth="1"/>
    <col min="516" max="516" width="9.85546875" style="35" customWidth="1"/>
    <col min="517" max="517" width="14.42578125" style="35" customWidth="1"/>
    <col min="518" max="518" width="0" style="35" hidden="1" customWidth="1"/>
    <col min="519" max="519" width="10.7109375" style="35" bestFit="1" customWidth="1"/>
    <col min="520" max="520" width="43" style="35" bestFit="1" customWidth="1"/>
    <col min="521" max="521" width="7.85546875" style="35" customWidth="1"/>
    <col min="522" max="522" width="7.7109375" style="35" customWidth="1"/>
    <col min="523" max="769" width="9.140625" style="35"/>
    <col min="770" max="770" width="33.140625" style="35" customWidth="1"/>
    <col min="771" max="771" width="10" style="35" customWidth="1"/>
    <col min="772" max="772" width="9.85546875" style="35" customWidth="1"/>
    <col min="773" max="773" width="14.42578125" style="35" customWidth="1"/>
    <col min="774" max="774" width="0" style="35" hidden="1" customWidth="1"/>
    <col min="775" max="775" width="10.7109375" style="35" bestFit="1" customWidth="1"/>
    <col min="776" max="776" width="43" style="35" bestFit="1" customWidth="1"/>
    <col min="777" max="777" width="7.85546875" style="35" customWidth="1"/>
    <col min="778" max="778" width="7.7109375" style="35" customWidth="1"/>
    <col min="779" max="1025" width="9.140625" style="35"/>
    <col min="1026" max="1026" width="33.140625" style="35" customWidth="1"/>
    <col min="1027" max="1027" width="10" style="35" customWidth="1"/>
    <col min="1028" max="1028" width="9.85546875" style="35" customWidth="1"/>
    <col min="1029" max="1029" width="14.42578125" style="35" customWidth="1"/>
    <col min="1030" max="1030" width="0" style="35" hidden="1" customWidth="1"/>
    <col min="1031" max="1031" width="10.7109375" style="35" bestFit="1" customWidth="1"/>
    <col min="1032" max="1032" width="43" style="35" bestFit="1" customWidth="1"/>
    <col min="1033" max="1033" width="7.85546875" style="35" customWidth="1"/>
    <col min="1034" max="1034" width="7.7109375" style="35" customWidth="1"/>
    <col min="1035" max="1281" width="9.140625" style="35"/>
    <col min="1282" max="1282" width="33.140625" style="35" customWidth="1"/>
    <col min="1283" max="1283" width="10" style="35" customWidth="1"/>
    <col min="1284" max="1284" width="9.85546875" style="35" customWidth="1"/>
    <col min="1285" max="1285" width="14.42578125" style="35" customWidth="1"/>
    <col min="1286" max="1286" width="0" style="35" hidden="1" customWidth="1"/>
    <col min="1287" max="1287" width="10.7109375" style="35" bestFit="1" customWidth="1"/>
    <col min="1288" max="1288" width="43" style="35" bestFit="1" customWidth="1"/>
    <col min="1289" max="1289" width="7.85546875" style="35" customWidth="1"/>
    <col min="1290" max="1290" width="7.7109375" style="35" customWidth="1"/>
    <col min="1291" max="1537" width="9.140625" style="35"/>
    <col min="1538" max="1538" width="33.140625" style="35" customWidth="1"/>
    <col min="1539" max="1539" width="10" style="35" customWidth="1"/>
    <col min="1540" max="1540" width="9.85546875" style="35" customWidth="1"/>
    <col min="1541" max="1541" width="14.42578125" style="35" customWidth="1"/>
    <col min="1542" max="1542" width="0" style="35" hidden="1" customWidth="1"/>
    <col min="1543" max="1543" width="10.7109375" style="35" bestFit="1" customWidth="1"/>
    <col min="1544" max="1544" width="43" style="35" bestFit="1" customWidth="1"/>
    <col min="1545" max="1545" width="7.85546875" style="35" customWidth="1"/>
    <col min="1546" max="1546" width="7.7109375" style="35" customWidth="1"/>
    <col min="1547" max="1793" width="9.140625" style="35"/>
    <col min="1794" max="1794" width="33.140625" style="35" customWidth="1"/>
    <col min="1795" max="1795" width="10" style="35" customWidth="1"/>
    <col min="1796" max="1796" width="9.85546875" style="35" customWidth="1"/>
    <col min="1797" max="1797" width="14.42578125" style="35" customWidth="1"/>
    <col min="1798" max="1798" width="0" style="35" hidden="1" customWidth="1"/>
    <col min="1799" max="1799" width="10.7109375" style="35" bestFit="1" customWidth="1"/>
    <col min="1800" max="1800" width="43" style="35" bestFit="1" customWidth="1"/>
    <col min="1801" max="1801" width="7.85546875" style="35" customWidth="1"/>
    <col min="1802" max="1802" width="7.7109375" style="35" customWidth="1"/>
    <col min="1803" max="2049" width="9.140625" style="35"/>
    <col min="2050" max="2050" width="33.140625" style="35" customWidth="1"/>
    <col min="2051" max="2051" width="10" style="35" customWidth="1"/>
    <col min="2052" max="2052" width="9.85546875" style="35" customWidth="1"/>
    <col min="2053" max="2053" width="14.42578125" style="35" customWidth="1"/>
    <col min="2054" max="2054" width="0" style="35" hidden="1" customWidth="1"/>
    <col min="2055" max="2055" width="10.7109375" style="35" bestFit="1" customWidth="1"/>
    <col min="2056" max="2056" width="43" style="35" bestFit="1" customWidth="1"/>
    <col min="2057" max="2057" width="7.85546875" style="35" customWidth="1"/>
    <col min="2058" max="2058" width="7.7109375" style="35" customWidth="1"/>
    <col min="2059" max="2305" width="9.140625" style="35"/>
    <col min="2306" max="2306" width="33.140625" style="35" customWidth="1"/>
    <col min="2307" max="2307" width="10" style="35" customWidth="1"/>
    <col min="2308" max="2308" width="9.85546875" style="35" customWidth="1"/>
    <col min="2309" max="2309" width="14.42578125" style="35" customWidth="1"/>
    <col min="2310" max="2310" width="0" style="35" hidden="1" customWidth="1"/>
    <col min="2311" max="2311" width="10.7109375" style="35" bestFit="1" customWidth="1"/>
    <col min="2312" max="2312" width="43" style="35" bestFit="1" customWidth="1"/>
    <col min="2313" max="2313" width="7.85546875" style="35" customWidth="1"/>
    <col min="2314" max="2314" width="7.7109375" style="35" customWidth="1"/>
    <col min="2315" max="2561" width="9.140625" style="35"/>
    <col min="2562" max="2562" width="33.140625" style="35" customWidth="1"/>
    <col min="2563" max="2563" width="10" style="35" customWidth="1"/>
    <col min="2564" max="2564" width="9.85546875" style="35" customWidth="1"/>
    <col min="2565" max="2565" width="14.42578125" style="35" customWidth="1"/>
    <col min="2566" max="2566" width="0" style="35" hidden="1" customWidth="1"/>
    <col min="2567" max="2567" width="10.7109375" style="35" bestFit="1" customWidth="1"/>
    <col min="2568" max="2568" width="43" style="35" bestFit="1" customWidth="1"/>
    <col min="2569" max="2569" width="7.85546875" style="35" customWidth="1"/>
    <col min="2570" max="2570" width="7.7109375" style="35" customWidth="1"/>
    <col min="2571" max="2817" width="9.140625" style="35"/>
    <col min="2818" max="2818" width="33.140625" style="35" customWidth="1"/>
    <col min="2819" max="2819" width="10" style="35" customWidth="1"/>
    <col min="2820" max="2820" width="9.85546875" style="35" customWidth="1"/>
    <col min="2821" max="2821" width="14.42578125" style="35" customWidth="1"/>
    <col min="2822" max="2822" width="0" style="35" hidden="1" customWidth="1"/>
    <col min="2823" max="2823" width="10.7109375" style="35" bestFit="1" customWidth="1"/>
    <col min="2824" max="2824" width="43" style="35" bestFit="1" customWidth="1"/>
    <col min="2825" max="2825" width="7.85546875" style="35" customWidth="1"/>
    <col min="2826" max="2826" width="7.7109375" style="35" customWidth="1"/>
    <col min="2827" max="3073" width="9.140625" style="35"/>
    <col min="3074" max="3074" width="33.140625" style="35" customWidth="1"/>
    <col min="3075" max="3075" width="10" style="35" customWidth="1"/>
    <col min="3076" max="3076" width="9.85546875" style="35" customWidth="1"/>
    <col min="3077" max="3077" width="14.42578125" style="35" customWidth="1"/>
    <col min="3078" max="3078" width="0" style="35" hidden="1" customWidth="1"/>
    <col min="3079" max="3079" width="10.7109375" style="35" bestFit="1" customWidth="1"/>
    <col min="3080" max="3080" width="43" style="35" bestFit="1" customWidth="1"/>
    <col min="3081" max="3081" width="7.85546875" style="35" customWidth="1"/>
    <col min="3082" max="3082" width="7.7109375" style="35" customWidth="1"/>
    <col min="3083" max="3329" width="9.140625" style="35"/>
    <col min="3330" max="3330" width="33.140625" style="35" customWidth="1"/>
    <col min="3331" max="3331" width="10" style="35" customWidth="1"/>
    <col min="3332" max="3332" width="9.85546875" style="35" customWidth="1"/>
    <col min="3333" max="3333" width="14.42578125" style="35" customWidth="1"/>
    <col min="3334" max="3334" width="0" style="35" hidden="1" customWidth="1"/>
    <col min="3335" max="3335" width="10.7109375" style="35" bestFit="1" customWidth="1"/>
    <col min="3336" max="3336" width="43" style="35" bestFit="1" customWidth="1"/>
    <col min="3337" max="3337" width="7.85546875" style="35" customWidth="1"/>
    <col min="3338" max="3338" width="7.7109375" style="35" customWidth="1"/>
    <col min="3339" max="3585" width="9.140625" style="35"/>
    <col min="3586" max="3586" width="33.140625" style="35" customWidth="1"/>
    <col min="3587" max="3587" width="10" style="35" customWidth="1"/>
    <col min="3588" max="3588" width="9.85546875" style="35" customWidth="1"/>
    <col min="3589" max="3589" width="14.42578125" style="35" customWidth="1"/>
    <col min="3590" max="3590" width="0" style="35" hidden="1" customWidth="1"/>
    <col min="3591" max="3591" width="10.7109375" style="35" bestFit="1" customWidth="1"/>
    <col min="3592" max="3592" width="43" style="35" bestFit="1" customWidth="1"/>
    <col min="3593" max="3593" width="7.85546875" style="35" customWidth="1"/>
    <col min="3594" max="3594" width="7.7109375" style="35" customWidth="1"/>
    <col min="3595" max="3841" width="9.140625" style="35"/>
    <col min="3842" max="3842" width="33.140625" style="35" customWidth="1"/>
    <col min="3843" max="3843" width="10" style="35" customWidth="1"/>
    <col min="3844" max="3844" width="9.85546875" style="35" customWidth="1"/>
    <col min="3845" max="3845" width="14.42578125" style="35" customWidth="1"/>
    <col min="3846" max="3846" width="0" style="35" hidden="1" customWidth="1"/>
    <col min="3847" max="3847" width="10.7109375" style="35" bestFit="1" customWidth="1"/>
    <col min="3848" max="3848" width="43" style="35" bestFit="1" customWidth="1"/>
    <col min="3849" max="3849" width="7.85546875" style="35" customWidth="1"/>
    <col min="3850" max="3850" width="7.7109375" style="35" customWidth="1"/>
    <col min="3851" max="4097" width="9.140625" style="35"/>
    <col min="4098" max="4098" width="33.140625" style="35" customWidth="1"/>
    <col min="4099" max="4099" width="10" style="35" customWidth="1"/>
    <col min="4100" max="4100" width="9.85546875" style="35" customWidth="1"/>
    <col min="4101" max="4101" width="14.42578125" style="35" customWidth="1"/>
    <col min="4102" max="4102" width="0" style="35" hidden="1" customWidth="1"/>
    <col min="4103" max="4103" width="10.7109375" style="35" bestFit="1" customWidth="1"/>
    <col min="4104" max="4104" width="43" style="35" bestFit="1" customWidth="1"/>
    <col min="4105" max="4105" width="7.85546875" style="35" customWidth="1"/>
    <col min="4106" max="4106" width="7.7109375" style="35" customWidth="1"/>
    <col min="4107" max="4353" width="9.140625" style="35"/>
    <col min="4354" max="4354" width="33.140625" style="35" customWidth="1"/>
    <col min="4355" max="4355" width="10" style="35" customWidth="1"/>
    <col min="4356" max="4356" width="9.85546875" style="35" customWidth="1"/>
    <col min="4357" max="4357" width="14.42578125" style="35" customWidth="1"/>
    <col min="4358" max="4358" width="0" style="35" hidden="1" customWidth="1"/>
    <col min="4359" max="4359" width="10.7109375" style="35" bestFit="1" customWidth="1"/>
    <col min="4360" max="4360" width="43" style="35" bestFit="1" customWidth="1"/>
    <col min="4361" max="4361" width="7.85546875" style="35" customWidth="1"/>
    <col min="4362" max="4362" width="7.7109375" style="35" customWidth="1"/>
    <col min="4363" max="4609" width="9.140625" style="35"/>
    <col min="4610" max="4610" width="33.140625" style="35" customWidth="1"/>
    <col min="4611" max="4611" width="10" style="35" customWidth="1"/>
    <col min="4612" max="4612" width="9.85546875" style="35" customWidth="1"/>
    <col min="4613" max="4613" width="14.42578125" style="35" customWidth="1"/>
    <col min="4614" max="4614" width="0" style="35" hidden="1" customWidth="1"/>
    <col min="4615" max="4615" width="10.7109375" style="35" bestFit="1" customWidth="1"/>
    <col min="4616" max="4616" width="43" style="35" bestFit="1" customWidth="1"/>
    <col min="4617" max="4617" width="7.85546875" style="35" customWidth="1"/>
    <col min="4618" max="4618" width="7.7109375" style="35" customWidth="1"/>
    <col min="4619" max="4865" width="9.140625" style="35"/>
    <col min="4866" max="4866" width="33.140625" style="35" customWidth="1"/>
    <col min="4867" max="4867" width="10" style="35" customWidth="1"/>
    <col min="4868" max="4868" width="9.85546875" style="35" customWidth="1"/>
    <col min="4869" max="4869" width="14.42578125" style="35" customWidth="1"/>
    <col min="4870" max="4870" width="0" style="35" hidden="1" customWidth="1"/>
    <col min="4871" max="4871" width="10.7109375" style="35" bestFit="1" customWidth="1"/>
    <col min="4872" max="4872" width="43" style="35" bestFit="1" customWidth="1"/>
    <col min="4873" max="4873" width="7.85546875" style="35" customWidth="1"/>
    <col min="4874" max="4874" width="7.7109375" style="35" customWidth="1"/>
    <col min="4875" max="5121" width="9.140625" style="35"/>
    <col min="5122" max="5122" width="33.140625" style="35" customWidth="1"/>
    <col min="5123" max="5123" width="10" style="35" customWidth="1"/>
    <col min="5124" max="5124" width="9.85546875" style="35" customWidth="1"/>
    <col min="5125" max="5125" width="14.42578125" style="35" customWidth="1"/>
    <col min="5126" max="5126" width="0" style="35" hidden="1" customWidth="1"/>
    <col min="5127" max="5127" width="10.7109375" style="35" bestFit="1" customWidth="1"/>
    <col min="5128" max="5128" width="43" style="35" bestFit="1" customWidth="1"/>
    <col min="5129" max="5129" width="7.85546875" style="35" customWidth="1"/>
    <col min="5130" max="5130" width="7.7109375" style="35" customWidth="1"/>
    <col min="5131" max="5377" width="9.140625" style="35"/>
    <col min="5378" max="5378" width="33.140625" style="35" customWidth="1"/>
    <col min="5379" max="5379" width="10" style="35" customWidth="1"/>
    <col min="5380" max="5380" width="9.85546875" style="35" customWidth="1"/>
    <col min="5381" max="5381" width="14.42578125" style="35" customWidth="1"/>
    <col min="5382" max="5382" width="0" style="35" hidden="1" customWidth="1"/>
    <col min="5383" max="5383" width="10.7109375" style="35" bestFit="1" customWidth="1"/>
    <col min="5384" max="5384" width="43" style="35" bestFit="1" customWidth="1"/>
    <col min="5385" max="5385" width="7.85546875" style="35" customWidth="1"/>
    <col min="5386" max="5386" width="7.7109375" style="35" customWidth="1"/>
    <col min="5387" max="5633" width="9.140625" style="35"/>
    <col min="5634" max="5634" width="33.140625" style="35" customWidth="1"/>
    <col min="5635" max="5635" width="10" style="35" customWidth="1"/>
    <col min="5636" max="5636" width="9.85546875" style="35" customWidth="1"/>
    <col min="5637" max="5637" width="14.42578125" style="35" customWidth="1"/>
    <col min="5638" max="5638" width="0" style="35" hidden="1" customWidth="1"/>
    <col min="5639" max="5639" width="10.7109375" style="35" bestFit="1" customWidth="1"/>
    <col min="5640" max="5640" width="43" style="35" bestFit="1" customWidth="1"/>
    <col min="5641" max="5641" width="7.85546875" style="35" customWidth="1"/>
    <col min="5642" max="5642" width="7.7109375" style="35" customWidth="1"/>
    <col min="5643" max="5889" width="9.140625" style="35"/>
    <col min="5890" max="5890" width="33.140625" style="35" customWidth="1"/>
    <col min="5891" max="5891" width="10" style="35" customWidth="1"/>
    <col min="5892" max="5892" width="9.85546875" style="35" customWidth="1"/>
    <col min="5893" max="5893" width="14.42578125" style="35" customWidth="1"/>
    <col min="5894" max="5894" width="0" style="35" hidden="1" customWidth="1"/>
    <col min="5895" max="5895" width="10.7109375" style="35" bestFit="1" customWidth="1"/>
    <col min="5896" max="5896" width="43" style="35" bestFit="1" customWidth="1"/>
    <col min="5897" max="5897" width="7.85546875" style="35" customWidth="1"/>
    <col min="5898" max="5898" width="7.7109375" style="35" customWidth="1"/>
    <col min="5899" max="6145" width="9.140625" style="35"/>
    <col min="6146" max="6146" width="33.140625" style="35" customWidth="1"/>
    <col min="6147" max="6147" width="10" style="35" customWidth="1"/>
    <col min="6148" max="6148" width="9.85546875" style="35" customWidth="1"/>
    <col min="6149" max="6149" width="14.42578125" style="35" customWidth="1"/>
    <col min="6150" max="6150" width="0" style="35" hidden="1" customWidth="1"/>
    <col min="6151" max="6151" width="10.7109375" style="35" bestFit="1" customWidth="1"/>
    <col min="6152" max="6152" width="43" style="35" bestFit="1" customWidth="1"/>
    <col min="6153" max="6153" width="7.85546875" style="35" customWidth="1"/>
    <col min="6154" max="6154" width="7.7109375" style="35" customWidth="1"/>
    <col min="6155" max="6401" width="9.140625" style="35"/>
    <col min="6402" max="6402" width="33.140625" style="35" customWidth="1"/>
    <col min="6403" max="6403" width="10" style="35" customWidth="1"/>
    <col min="6404" max="6404" width="9.85546875" style="35" customWidth="1"/>
    <col min="6405" max="6405" width="14.42578125" style="35" customWidth="1"/>
    <col min="6406" max="6406" width="0" style="35" hidden="1" customWidth="1"/>
    <col min="6407" max="6407" width="10.7109375" style="35" bestFit="1" customWidth="1"/>
    <col min="6408" max="6408" width="43" style="35" bestFit="1" customWidth="1"/>
    <col min="6409" max="6409" width="7.85546875" style="35" customWidth="1"/>
    <col min="6410" max="6410" width="7.7109375" style="35" customWidth="1"/>
    <col min="6411" max="6657" width="9.140625" style="35"/>
    <col min="6658" max="6658" width="33.140625" style="35" customWidth="1"/>
    <col min="6659" max="6659" width="10" style="35" customWidth="1"/>
    <col min="6660" max="6660" width="9.85546875" style="35" customWidth="1"/>
    <col min="6661" max="6661" width="14.42578125" style="35" customWidth="1"/>
    <col min="6662" max="6662" width="0" style="35" hidden="1" customWidth="1"/>
    <col min="6663" max="6663" width="10.7109375" style="35" bestFit="1" customWidth="1"/>
    <col min="6664" max="6664" width="43" style="35" bestFit="1" customWidth="1"/>
    <col min="6665" max="6665" width="7.85546875" style="35" customWidth="1"/>
    <col min="6666" max="6666" width="7.7109375" style="35" customWidth="1"/>
    <col min="6667" max="6913" width="9.140625" style="35"/>
    <col min="6914" max="6914" width="33.140625" style="35" customWidth="1"/>
    <col min="6915" max="6915" width="10" style="35" customWidth="1"/>
    <col min="6916" max="6916" width="9.85546875" style="35" customWidth="1"/>
    <col min="6917" max="6917" width="14.42578125" style="35" customWidth="1"/>
    <col min="6918" max="6918" width="0" style="35" hidden="1" customWidth="1"/>
    <col min="6919" max="6919" width="10.7109375" style="35" bestFit="1" customWidth="1"/>
    <col min="6920" max="6920" width="43" style="35" bestFit="1" customWidth="1"/>
    <col min="6921" max="6921" width="7.85546875" style="35" customWidth="1"/>
    <col min="6922" max="6922" width="7.7109375" style="35" customWidth="1"/>
    <col min="6923" max="7169" width="9.140625" style="35"/>
    <col min="7170" max="7170" width="33.140625" style="35" customWidth="1"/>
    <col min="7171" max="7171" width="10" style="35" customWidth="1"/>
    <col min="7172" max="7172" width="9.85546875" style="35" customWidth="1"/>
    <col min="7173" max="7173" width="14.42578125" style="35" customWidth="1"/>
    <col min="7174" max="7174" width="0" style="35" hidden="1" customWidth="1"/>
    <col min="7175" max="7175" width="10.7109375" style="35" bestFit="1" customWidth="1"/>
    <col min="7176" max="7176" width="43" style="35" bestFit="1" customWidth="1"/>
    <col min="7177" max="7177" width="7.85546875" style="35" customWidth="1"/>
    <col min="7178" max="7178" width="7.7109375" style="35" customWidth="1"/>
    <col min="7179" max="7425" width="9.140625" style="35"/>
    <col min="7426" max="7426" width="33.140625" style="35" customWidth="1"/>
    <col min="7427" max="7427" width="10" style="35" customWidth="1"/>
    <col min="7428" max="7428" width="9.85546875" style="35" customWidth="1"/>
    <col min="7429" max="7429" width="14.42578125" style="35" customWidth="1"/>
    <col min="7430" max="7430" width="0" style="35" hidden="1" customWidth="1"/>
    <col min="7431" max="7431" width="10.7109375" style="35" bestFit="1" customWidth="1"/>
    <col min="7432" max="7432" width="43" style="35" bestFit="1" customWidth="1"/>
    <col min="7433" max="7433" width="7.85546875" style="35" customWidth="1"/>
    <col min="7434" max="7434" width="7.7109375" style="35" customWidth="1"/>
    <col min="7435" max="7681" width="9.140625" style="35"/>
    <col min="7682" max="7682" width="33.140625" style="35" customWidth="1"/>
    <col min="7683" max="7683" width="10" style="35" customWidth="1"/>
    <col min="7684" max="7684" width="9.85546875" style="35" customWidth="1"/>
    <col min="7685" max="7685" width="14.42578125" style="35" customWidth="1"/>
    <col min="7686" max="7686" width="0" style="35" hidden="1" customWidth="1"/>
    <col min="7687" max="7687" width="10.7109375" style="35" bestFit="1" customWidth="1"/>
    <col min="7688" max="7688" width="43" style="35" bestFit="1" customWidth="1"/>
    <col min="7689" max="7689" width="7.85546875" style="35" customWidth="1"/>
    <col min="7690" max="7690" width="7.7109375" style="35" customWidth="1"/>
    <col min="7691" max="7937" width="9.140625" style="35"/>
    <col min="7938" max="7938" width="33.140625" style="35" customWidth="1"/>
    <col min="7939" max="7939" width="10" style="35" customWidth="1"/>
    <col min="7940" max="7940" width="9.85546875" style="35" customWidth="1"/>
    <col min="7941" max="7941" width="14.42578125" style="35" customWidth="1"/>
    <col min="7942" max="7942" width="0" style="35" hidden="1" customWidth="1"/>
    <col min="7943" max="7943" width="10.7109375" style="35" bestFit="1" customWidth="1"/>
    <col min="7944" max="7944" width="43" style="35" bestFit="1" customWidth="1"/>
    <col min="7945" max="7945" width="7.85546875" style="35" customWidth="1"/>
    <col min="7946" max="7946" width="7.7109375" style="35" customWidth="1"/>
    <col min="7947" max="8193" width="9.140625" style="35"/>
    <col min="8194" max="8194" width="33.140625" style="35" customWidth="1"/>
    <col min="8195" max="8195" width="10" style="35" customWidth="1"/>
    <col min="8196" max="8196" width="9.85546875" style="35" customWidth="1"/>
    <col min="8197" max="8197" width="14.42578125" style="35" customWidth="1"/>
    <col min="8198" max="8198" width="0" style="35" hidden="1" customWidth="1"/>
    <col min="8199" max="8199" width="10.7109375" style="35" bestFit="1" customWidth="1"/>
    <col min="8200" max="8200" width="43" style="35" bestFit="1" customWidth="1"/>
    <col min="8201" max="8201" width="7.85546875" style="35" customWidth="1"/>
    <col min="8202" max="8202" width="7.7109375" style="35" customWidth="1"/>
    <col min="8203" max="8449" width="9.140625" style="35"/>
    <col min="8450" max="8450" width="33.140625" style="35" customWidth="1"/>
    <col min="8451" max="8451" width="10" style="35" customWidth="1"/>
    <col min="8452" max="8452" width="9.85546875" style="35" customWidth="1"/>
    <col min="8453" max="8453" width="14.42578125" style="35" customWidth="1"/>
    <col min="8454" max="8454" width="0" style="35" hidden="1" customWidth="1"/>
    <col min="8455" max="8455" width="10.7109375" style="35" bestFit="1" customWidth="1"/>
    <col min="8456" max="8456" width="43" style="35" bestFit="1" customWidth="1"/>
    <col min="8457" max="8457" width="7.85546875" style="35" customWidth="1"/>
    <col min="8458" max="8458" width="7.7109375" style="35" customWidth="1"/>
    <col min="8459" max="8705" width="9.140625" style="35"/>
    <col min="8706" max="8706" width="33.140625" style="35" customWidth="1"/>
    <col min="8707" max="8707" width="10" style="35" customWidth="1"/>
    <col min="8708" max="8708" width="9.85546875" style="35" customWidth="1"/>
    <col min="8709" max="8709" width="14.42578125" style="35" customWidth="1"/>
    <col min="8710" max="8710" width="0" style="35" hidden="1" customWidth="1"/>
    <col min="8711" max="8711" width="10.7109375" style="35" bestFit="1" customWidth="1"/>
    <col min="8712" max="8712" width="43" style="35" bestFit="1" customWidth="1"/>
    <col min="8713" max="8713" width="7.85546875" style="35" customWidth="1"/>
    <col min="8714" max="8714" width="7.7109375" style="35" customWidth="1"/>
    <col min="8715" max="8961" width="9.140625" style="35"/>
    <col min="8962" max="8962" width="33.140625" style="35" customWidth="1"/>
    <col min="8963" max="8963" width="10" style="35" customWidth="1"/>
    <col min="8964" max="8964" width="9.85546875" style="35" customWidth="1"/>
    <col min="8965" max="8965" width="14.42578125" style="35" customWidth="1"/>
    <col min="8966" max="8966" width="0" style="35" hidden="1" customWidth="1"/>
    <col min="8967" max="8967" width="10.7109375" style="35" bestFit="1" customWidth="1"/>
    <col min="8968" max="8968" width="43" style="35" bestFit="1" customWidth="1"/>
    <col min="8969" max="8969" width="7.85546875" style="35" customWidth="1"/>
    <col min="8970" max="8970" width="7.7109375" style="35" customWidth="1"/>
    <col min="8971" max="9217" width="9.140625" style="35"/>
    <col min="9218" max="9218" width="33.140625" style="35" customWidth="1"/>
    <col min="9219" max="9219" width="10" style="35" customWidth="1"/>
    <col min="9220" max="9220" width="9.85546875" style="35" customWidth="1"/>
    <col min="9221" max="9221" width="14.42578125" style="35" customWidth="1"/>
    <col min="9222" max="9222" width="0" style="35" hidden="1" customWidth="1"/>
    <col min="9223" max="9223" width="10.7109375" style="35" bestFit="1" customWidth="1"/>
    <col min="9224" max="9224" width="43" style="35" bestFit="1" customWidth="1"/>
    <col min="9225" max="9225" width="7.85546875" style="35" customWidth="1"/>
    <col min="9226" max="9226" width="7.7109375" style="35" customWidth="1"/>
    <col min="9227" max="9473" width="9.140625" style="35"/>
    <col min="9474" max="9474" width="33.140625" style="35" customWidth="1"/>
    <col min="9475" max="9475" width="10" style="35" customWidth="1"/>
    <col min="9476" max="9476" width="9.85546875" style="35" customWidth="1"/>
    <col min="9477" max="9477" width="14.42578125" style="35" customWidth="1"/>
    <col min="9478" max="9478" width="0" style="35" hidden="1" customWidth="1"/>
    <col min="9479" max="9479" width="10.7109375" style="35" bestFit="1" customWidth="1"/>
    <col min="9480" max="9480" width="43" style="35" bestFit="1" customWidth="1"/>
    <col min="9481" max="9481" width="7.85546875" style="35" customWidth="1"/>
    <col min="9482" max="9482" width="7.7109375" style="35" customWidth="1"/>
    <col min="9483" max="9729" width="9.140625" style="35"/>
    <col min="9730" max="9730" width="33.140625" style="35" customWidth="1"/>
    <col min="9731" max="9731" width="10" style="35" customWidth="1"/>
    <col min="9732" max="9732" width="9.85546875" style="35" customWidth="1"/>
    <col min="9733" max="9733" width="14.42578125" style="35" customWidth="1"/>
    <col min="9734" max="9734" width="0" style="35" hidden="1" customWidth="1"/>
    <col min="9735" max="9735" width="10.7109375" style="35" bestFit="1" customWidth="1"/>
    <col min="9736" max="9736" width="43" style="35" bestFit="1" customWidth="1"/>
    <col min="9737" max="9737" width="7.85546875" style="35" customWidth="1"/>
    <col min="9738" max="9738" width="7.7109375" style="35" customWidth="1"/>
    <col min="9739" max="9985" width="9.140625" style="35"/>
    <col min="9986" max="9986" width="33.140625" style="35" customWidth="1"/>
    <col min="9987" max="9987" width="10" style="35" customWidth="1"/>
    <col min="9988" max="9988" width="9.85546875" style="35" customWidth="1"/>
    <col min="9989" max="9989" width="14.42578125" style="35" customWidth="1"/>
    <col min="9990" max="9990" width="0" style="35" hidden="1" customWidth="1"/>
    <col min="9991" max="9991" width="10.7109375" style="35" bestFit="1" customWidth="1"/>
    <col min="9992" max="9992" width="43" style="35" bestFit="1" customWidth="1"/>
    <col min="9993" max="9993" width="7.85546875" style="35" customWidth="1"/>
    <col min="9994" max="9994" width="7.7109375" style="35" customWidth="1"/>
    <col min="9995" max="10241" width="9.140625" style="35"/>
    <col min="10242" max="10242" width="33.140625" style="35" customWidth="1"/>
    <col min="10243" max="10243" width="10" style="35" customWidth="1"/>
    <col min="10244" max="10244" width="9.85546875" style="35" customWidth="1"/>
    <col min="10245" max="10245" width="14.42578125" style="35" customWidth="1"/>
    <col min="10246" max="10246" width="0" style="35" hidden="1" customWidth="1"/>
    <col min="10247" max="10247" width="10.7109375" style="35" bestFit="1" customWidth="1"/>
    <col min="10248" max="10248" width="43" style="35" bestFit="1" customWidth="1"/>
    <col min="10249" max="10249" width="7.85546875" style="35" customWidth="1"/>
    <col min="10250" max="10250" width="7.7109375" style="35" customWidth="1"/>
    <col min="10251" max="10497" width="9.140625" style="35"/>
    <col min="10498" max="10498" width="33.140625" style="35" customWidth="1"/>
    <col min="10499" max="10499" width="10" style="35" customWidth="1"/>
    <col min="10500" max="10500" width="9.85546875" style="35" customWidth="1"/>
    <col min="10501" max="10501" width="14.42578125" style="35" customWidth="1"/>
    <col min="10502" max="10502" width="0" style="35" hidden="1" customWidth="1"/>
    <col min="10503" max="10503" width="10.7109375" style="35" bestFit="1" customWidth="1"/>
    <col min="10504" max="10504" width="43" style="35" bestFit="1" customWidth="1"/>
    <col min="10505" max="10505" width="7.85546875" style="35" customWidth="1"/>
    <col min="10506" max="10506" width="7.7109375" style="35" customWidth="1"/>
    <col min="10507" max="10753" width="9.140625" style="35"/>
    <col min="10754" max="10754" width="33.140625" style="35" customWidth="1"/>
    <col min="10755" max="10755" width="10" style="35" customWidth="1"/>
    <col min="10756" max="10756" width="9.85546875" style="35" customWidth="1"/>
    <col min="10757" max="10757" width="14.42578125" style="35" customWidth="1"/>
    <col min="10758" max="10758" width="0" style="35" hidden="1" customWidth="1"/>
    <col min="10759" max="10759" width="10.7109375" style="35" bestFit="1" customWidth="1"/>
    <col min="10760" max="10760" width="43" style="35" bestFit="1" customWidth="1"/>
    <col min="10761" max="10761" width="7.85546875" style="35" customWidth="1"/>
    <col min="10762" max="10762" width="7.7109375" style="35" customWidth="1"/>
    <col min="10763" max="11009" width="9.140625" style="35"/>
    <col min="11010" max="11010" width="33.140625" style="35" customWidth="1"/>
    <col min="11011" max="11011" width="10" style="35" customWidth="1"/>
    <col min="11012" max="11012" width="9.85546875" style="35" customWidth="1"/>
    <col min="11013" max="11013" width="14.42578125" style="35" customWidth="1"/>
    <col min="11014" max="11014" width="0" style="35" hidden="1" customWidth="1"/>
    <col min="11015" max="11015" width="10.7109375" style="35" bestFit="1" customWidth="1"/>
    <col min="11016" max="11016" width="43" style="35" bestFit="1" customWidth="1"/>
    <col min="11017" max="11017" width="7.85546875" style="35" customWidth="1"/>
    <col min="11018" max="11018" width="7.7109375" style="35" customWidth="1"/>
    <col min="11019" max="11265" width="9.140625" style="35"/>
    <col min="11266" max="11266" width="33.140625" style="35" customWidth="1"/>
    <col min="11267" max="11267" width="10" style="35" customWidth="1"/>
    <col min="11268" max="11268" width="9.85546875" style="35" customWidth="1"/>
    <col min="11269" max="11269" width="14.42578125" style="35" customWidth="1"/>
    <col min="11270" max="11270" width="0" style="35" hidden="1" customWidth="1"/>
    <col min="11271" max="11271" width="10.7109375" style="35" bestFit="1" customWidth="1"/>
    <col min="11272" max="11272" width="43" style="35" bestFit="1" customWidth="1"/>
    <col min="11273" max="11273" width="7.85546875" style="35" customWidth="1"/>
    <col min="11274" max="11274" width="7.7109375" style="35" customWidth="1"/>
    <col min="11275" max="11521" width="9.140625" style="35"/>
    <col min="11522" max="11522" width="33.140625" style="35" customWidth="1"/>
    <col min="11523" max="11523" width="10" style="35" customWidth="1"/>
    <col min="11524" max="11524" width="9.85546875" style="35" customWidth="1"/>
    <col min="11525" max="11525" width="14.42578125" style="35" customWidth="1"/>
    <col min="11526" max="11526" width="0" style="35" hidden="1" customWidth="1"/>
    <col min="11527" max="11527" width="10.7109375" style="35" bestFit="1" customWidth="1"/>
    <col min="11528" max="11528" width="43" style="35" bestFit="1" customWidth="1"/>
    <col min="11529" max="11529" width="7.85546875" style="35" customWidth="1"/>
    <col min="11530" max="11530" width="7.7109375" style="35" customWidth="1"/>
    <col min="11531" max="11777" width="9.140625" style="35"/>
    <col min="11778" max="11778" width="33.140625" style="35" customWidth="1"/>
    <col min="11779" max="11779" width="10" style="35" customWidth="1"/>
    <col min="11780" max="11780" width="9.85546875" style="35" customWidth="1"/>
    <col min="11781" max="11781" width="14.42578125" style="35" customWidth="1"/>
    <col min="11782" max="11782" width="0" style="35" hidden="1" customWidth="1"/>
    <col min="11783" max="11783" width="10.7109375" style="35" bestFit="1" customWidth="1"/>
    <col min="11784" max="11784" width="43" style="35" bestFit="1" customWidth="1"/>
    <col min="11785" max="11785" width="7.85546875" style="35" customWidth="1"/>
    <col min="11786" max="11786" width="7.7109375" style="35" customWidth="1"/>
    <col min="11787" max="12033" width="9.140625" style="35"/>
    <col min="12034" max="12034" width="33.140625" style="35" customWidth="1"/>
    <col min="12035" max="12035" width="10" style="35" customWidth="1"/>
    <col min="12036" max="12036" width="9.85546875" style="35" customWidth="1"/>
    <col min="12037" max="12037" width="14.42578125" style="35" customWidth="1"/>
    <col min="12038" max="12038" width="0" style="35" hidden="1" customWidth="1"/>
    <col min="12039" max="12039" width="10.7109375" style="35" bestFit="1" customWidth="1"/>
    <col min="12040" max="12040" width="43" style="35" bestFit="1" customWidth="1"/>
    <col min="12041" max="12041" width="7.85546875" style="35" customWidth="1"/>
    <col min="12042" max="12042" width="7.7109375" style="35" customWidth="1"/>
    <col min="12043" max="12289" width="9.140625" style="35"/>
    <col min="12290" max="12290" width="33.140625" style="35" customWidth="1"/>
    <col min="12291" max="12291" width="10" style="35" customWidth="1"/>
    <col min="12292" max="12292" width="9.85546875" style="35" customWidth="1"/>
    <col min="12293" max="12293" width="14.42578125" style="35" customWidth="1"/>
    <col min="12294" max="12294" width="0" style="35" hidden="1" customWidth="1"/>
    <col min="12295" max="12295" width="10.7109375" style="35" bestFit="1" customWidth="1"/>
    <col min="12296" max="12296" width="43" style="35" bestFit="1" customWidth="1"/>
    <col min="12297" max="12297" width="7.85546875" style="35" customWidth="1"/>
    <col min="12298" max="12298" width="7.7109375" style="35" customWidth="1"/>
    <col min="12299" max="12545" width="9.140625" style="35"/>
    <col min="12546" max="12546" width="33.140625" style="35" customWidth="1"/>
    <col min="12547" max="12547" width="10" style="35" customWidth="1"/>
    <col min="12548" max="12548" width="9.85546875" style="35" customWidth="1"/>
    <col min="12549" max="12549" width="14.42578125" style="35" customWidth="1"/>
    <col min="12550" max="12550" width="0" style="35" hidden="1" customWidth="1"/>
    <col min="12551" max="12551" width="10.7109375" style="35" bestFit="1" customWidth="1"/>
    <col min="12552" max="12552" width="43" style="35" bestFit="1" customWidth="1"/>
    <col min="12553" max="12553" width="7.85546875" style="35" customWidth="1"/>
    <col min="12554" max="12554" width="7.7109375" style="35" customWidth="1"/>
    <col min="12555" max="12801" width="9.140625" style="35"/>
    <col min="12802" max="12802" width="33.140625" style="35" customWidth="1"/>
    <col min="12803" max="12803" width="10" style="35" customWidth="1"/>
    <col min="12804" max="12804" width="9.85546875" style="35" customWidth="1"/>
    <col min="12805" max="12805" width="14.42578125" style="35" customWidth="1"/>
    <col min="12806" max="12806" width="0" style="35" hidden="1" customWidth="1"/>
    <col min="12807" max="12807" width="10.7109375" style="35" bestFit="1" customWidth="1"/>
    <col min="12808" max="12808" width="43" style="35" bestFit="1" customWidth="1"/>
    <col min="12809" max="12809" width="7.85546875" style="35" customWidth="1"/>
    <col min="12810" max="12810" width="7.7109375" style="35" customWidth="1"/>
    <col min="12811" max="13057" width="9.140625" style="35"/>
    <col min="13058" max="13058" width="33.140625" style="35" customWidth="1"/>
    <col min="13059" max="13059" width="10" style="35" customWidth="1"/>
    <col min="13060" max="13060" width="9.85546875" style="35" customWidth="1"/>
    <col min="13061" max="13061" width="14.42578125" style="35" customWidth="1"/>
    <col min="13062" max="13062" width="0" style="35" hidden="1" customWidth="1"/>
    <col min="13063" max="13063" width="10.7109375" style="35" bestFit="1" customWidth="1"/>
    <col min="13064" max="13064" width="43" style="35" bestFit="1" customWidth="1"/>
    <col min="13065" max="13065" width="7.85546875" style="35" customWidth="1"/>
    <col min="13066" max="13066" width="7.7109375" style="35" customWidth="1"/>
    <col min="13067" max="13313" width="9.140625" style="35"/>
    <col min="13314" max="13314" width="33.140625" style="35" customWidth="1"/>
    <col min="13315" max="13315" width="10" style="35" customWidth="1"/>
    <col min="13316" max="13316" width="9.85546875" style="35" customWidth="1"/>
    <col min="13317" max="13317" width="14.42578125" style="35" customWidth="1"/>
    <col min="13318" max="13318" width="0" style="35" hidden="1" customWidth="1"/>
    <col min="13319" max="13319" width="10.7109375" style="35" bestFit="1" customWidth="1"/>
    <col min="13320" max="13320" width="43" style="35" bestFit="1" customWidth="1"/>
    <col min="13321" max="13321" width="7.85546875" style="35" customWidth="1"/>
    <col min="13322" max="13322" width="7.7109375" style="35" customWidth="1"/>
    <col min="13323" max="13569" width="9.140625" style="35"/>
    <col min="13570" max="13570" width="33.140625" style="35" customWidth="1"/>
    <col min="13571" max="13571" width="10" style="35" customWidth="1"/>
    <col min="13572" max="13572" width="9.85546875" style="35" customWidth="1"/>
    <col min="13573" max="13573" width="14.42578125" style="35" customWidth="1"/>
    <col min="13574" max="13574" width="0" style="35" hidden="1" customWidth="1"/>
    <col min="13575" max="13575" width="10.7109375" style="35" bestFit="1" customWidth="1"/>
    <col min="13576" max="13576" width="43" style="35" bestFit="1" customWidth="1"/>
    <col min="13577" max="13577" width="7.85546875" style="35" customWidth="1"/>
    <col min="13578" max="13578" width="7.7109375" style="35" customWidth="1"/>
    <col min="13579" max="13825" width="9.140625" style="35"/>
    <col min="13826" max="13826" width="33.140625" style="35" customWidth="1"/>
    <col min="13827" max="13827" width="10" style="35" customWidth="1"/>
    <col min="13828" max="13828" width="9.85546875" style="35" customWidth="1"/>
    <col min="13829" max="13829" width="14.42578125" style="35" customWidth="1"/>
    <col min="13830" max="13830" width="0" style="35" hidden="1" customWidth="1"/>
    <col min="13831" max="13831" width="10.7109375" style="35" bestFit="1" customWidth="1"/>
    <col min="13832" max="13832" width="43" style="35" bestFit="1" customWidth="1"/>
    <col min="13833" max="13833" width="7.85546875" style="35" customWidth="1"/>
    <col min="13834" max="13834" width="7.7109375" style="35" customWidth="1"/>
    <col min="13835" max="14081" width="9.140625" style="35"/>
    <col min="14082" max="14082" width="33.140625" style="35" customWidth="1"/>
    <col min="14083" max="14083" width="10" style="35" customWidth="1"/>
    <col min="14084" max="14084" width="9.85546875" style="35" customWidth="1"/>
    <col min="14085" max="14085" width="14.42578125" style="35" customWidth="1"/>
    <col min="14086" max="14086" width="0" style="35" hidden="1" customWidth="1"/>
    <col min="14087" max="14087" width="10.7109375" style="35" bestFit="1" customWidth="1"/>
    <col min="14088" max="14088" width="43" style="35" bestFit="1" customWidth="1"/>
    <col min="14089" max="14089" width="7.85546875" style="35" customWidth="1"/>
    <col min="14090" max="14090" width="7.7109375" style="35" customWidth="1"/>
    <col min="14091" max="14337" width="9.140625" style="35"/>
    <col min="14338" max="14338" width="33.140625" style="35" customWidth="1"/>
    <col min="14339" max="14339" width="10" style="35" customWidth="1"/>
    <col min="14340" max="14340" width="9.85546875" style="35" customWidth="1"/>
    <col min="14341" max="14341" width="14.42578125" style="35" customWidth="1"/>
    <col min="14342" max="14342" width="0" style="35" hidden="1" customWidth="1"/>
    <col min="14343" max="14343" width="10.7109375" style="35" bestFit="1" customWidth="1"/>
    <col min="14344" max="14344" width="43" style="35" bestFit="1" customWidth="1"/>
    <col min="14345" max="14345" width="7.85546875" style="35" customWidth="1"/>
    <col min="14346" max="14346" width="7.7109375" style="35" customWidth="1"/>
    <col min="14347" max="14593" width="9.140625" style="35"/>
    <col min="14594" max="14594" width="33.140625" style="35" customWidth="1"/>
    <col min="14595" max="14595" width="10" style="35" customWidth="1"/>
    <col min="14596" max="14596" width="9.85546875" style="35" customWidth="1"/>
    <col min="14597" max="14597" width="14.42578125" style="35" customWidth="1"/>
    <col min="14598" max="14598" width="0" style="35" hidden="1" customWidth="1"/>
    <col min="14599" max="14599" width="10.7109375" style="35" bestFit="1" customWidth="1"/>
    <col min="14600" max="14600" width="43" style="35" bestFit="1" customWidth="1"/>
    <col min="14601" max="14601" width="7.85546875" style="35" customWidth="1"/>
    <col min="14602" max="14602" width="7.7109375" style="35" customWidth="1"/>
    <col min="14603" max="14849" width="9.140625" style="35"/>
    <col min="14850" max="14850" width="33.140625" style="35" customWidth="1"/>
    <col min="14851" max="14851" width="10" style="35" customWidth="1"/>
    <col min="14852" max="14852" width="9.85546875" style="35" customWidth="1"/>
    <col min="14853" max="14853" width="14.42578125" style="35" customWidth="1"/>
    <col min="14854" max="14854" width="0" style="35" hidden="1" customWidth="1"/>
    <col min="14855" max="14855" width="10.7109375" style="35" bestFit="1" customWidth="1"/>
    <col min="14856" max="14856" width="43" style="35" bestFit="1" customWidth="1"/>
    <col min="14857" max="14857" width="7.85546875" style="35" customWidth="1"/>
    <col min="14858" max="14858" width="7.7109375" style="35" customWidth="1"/>
    <col min="14859" max="15105" width="9.140625" style="35"/>
    <col min="15106" max="15106" width="33.140625" style="35" customWidth="1"/>
    <col min="15107" max="15107" width="10" style="35" customWidth="1"/>
    <col min="15108" max="15108" width="9.85546875" style="35" customWidth="1"/>
    <col min="15109" max="15109" width="14.42578125" style="35" customWidth="1"/>
    <col min="15110" max="15110" width="0" style="35" hidden="1" customWidth="1"/>
    <col min="15111" max="15111" width="10.7109375" style="35" bestFit="1" customWidth="1"/>
    <col min="15112" max="15112" width="43" style="35" bestFit="1" customWidth="1"/>
    <col min="15113" max="15113" width="7.85546875" style="35" customWidth="1"/>
    <col min="15114" max="15114" width="7.7109375" style="35" customWidth="1"/>
    <col min="15115" max="15361" width="9.140625" style="35"/>
    <col min="15362" max="15362" width="33.140625" style="35" customWidth="1"/>
    <col min="15363" max="15363" width="10" style="35" customWidth="1"/>
    <col min="15364" max="15364" width="9.85546875" style="35" customWidth="1"/>
    <col min="15365" max="15365" width="14.42578125" style="35" customWidth="1"/>
    <col min="15366" max="15366" width="0" style="35" hidden="1" customWidth="1"/>
    <col min="15367" max="15367" width="10.7109375" style="35" bestFit="1" customWidth="1"/>
    <col min="15368" max="15368" width="43" style="35" bestFit="1" customWidth="1"/>
    <col min="15369" max="15369" width="7.85546875" style="35" customWidth="1"/>
    <col min="15370" max="15370" width="7.7109375" style="35" customWidth="1"/>
    <col min="15371" max="15617" width="9.140625" style="35"/>
    <col min="15618" max="15618" width="33.140625" style="35" customWidth="1"/>
    <col min="15619" max="15619" width="10" style="35" customWidth="1"/>
    <col min="15620" max="15620" width="9.85546875" style="35" customWidth="1"/>
    <col min="15621" max="15621" width="14.42578125" style="35" customWidth="1"/>
    <col min="15622" max="15622" width="0" style="35" hidden="1" customWidth="1"/>
    <col min="15623" max="15623" width="10.7109375" style="35" bestFit="1" customWidth="1"/>
    <col min="15624" max="15624" width="43" style="35" bestFit="1" customWidth="1"/>
    <col min="15625" max="15625" width="7.85546875" style="35" customWidth="1"/>
    <col min="15626" max="15626" width="7.7109375" style="35" customWidth="1"/>
    <col min="15627" max="15873" width="9.140625" style="35"/>
    <col min="15874" max="15874" width="33.140625" style="35" customWidth="1"/>
    <col min="15875" max="15875" width="10" style="35" customWidth="1"/>
    <col min="15876" max="15876" width="9.85546875" style="35" customWidth="1"/>
    <col min="15877" max="15877" width="14.42578125" style="35" customWidth="1"/>
    <col min="15878" max="15878" width="0" style="35" hidden="1" customWidth="1"/>
    <col min="15879" max="15879" width="10.7109375" style="35" bestFit="1" customWidth="1"/>
    <col min="15880" max="15880" width="43" style="35" bestFit="1" customWidth="1"/>
    <col min="15881" max="15881" width="7.85546875" style="35" customWidth="1"/>
    <col min="15882" max="15882" width="7.7109375" style="35" customWidth="1"/>
    <col min="15883" max="16129" width="9.140625" style="35"/>
    <col min="16130" max="16130" width="33.140625" style="35" customWidth="1"/>
    <col min="16131" max="16131" width="10" style="35" customWidth="1"/>
    <col min="16132" max="16132" width="9.85546875" style="35" customWidth="1"/>
    <col min="16133" max="16133" width="14.42578125" style="35" customWidth="1"/>
    <col min="16134" max="16134" width="0" style="35" hidden="1" customWidth="1"/>
    <col min="16135" max="16135" width="10.7109375" style="35" bestFit="1" customWidth="1"/>
    <col min="16136" max="16136" width="43" style="35" bestFit="1" customWidth="1"/>
    <col min="16137" max="16137" width="7.85546875" style="35" customWidth="1"/>
    <col min="16138" max="16138" width="7.7109375" style="35" customWidth="1"/>
    <col min="16139" max="16384" width="9.140625" style="35"/>
  </cols>
  <sheetData>
    <row r="1" spans="2:9" ht="24" customHeight="1" thickBot="1">
      <c r="B1" s="46"/>
      <c r="F1" s="46"/>
      <c r="G1" s="46"/>
      <c r="H1" s="46"/>
    </row>
    <row r="2" spans="2:9" ht="20.25" customHeight="1" thickBot="1">
      <c r="B2" s="629" t="s">
        <v>211</v>
      </c>
      <c r="C2" s="630"/>
      <c r="D2" s="631"/>
      <c r="F2" s="629" t="s">
        <v>214</v>
      </c>
      <c r="G2" s="630"/>
      <c r="H2" s="630"/>
      <c r="I2" s="631"/>
    </row>
    <row r="3" spans="2:9" ht="17.25" customHeight="1">
      <c r="B3" s="171"/>
      <c r="C3" s="518" t="s">
        <v>23</v>
      </c>
      <c r="D3" s="519" t="s">
        <v>24</v>
      </c>
      <c r="E3" s="165"/>
      <c r="F3" s="549" t="s">
        <v>212</v>
      </c>
      <c r="G3" s="165" t="s">
        <v>63</v>
      </c>
      <c r="H3" s="550" t="s">
        <v>213</v>
      </c>
      <c r="I3" s="551">
        <v>12</v>
      </c>
    </row>
    <row r="4" spans="2:9" ht="15.75" thickBot="1">
      <c r="B4" s="520" t="s">
        <v>26</v>
      </c>
      <c r="C4" s="521">
        <f>43805.7303428861*(2.514%+1)</f>
        <v>44907.006403706255</v>
      </c>
      <c r="D4" s="522">
        <f>D16</f>
        <v>0.5</v>
      </c>
      <c r="E4" s="166"/>
      <c r="F4" s="552" t="s">
        <v>49</v>
      </c>
      <c r="G4" s="553" t="s">
        <v>24</v>
      </c>
      <c r="H4" s="554" t="s">
        <v>23</v>
      </c>
      <c r="I4" s="555" t="s">
        <v>25</v>
      </c>
    </row>
    <row r="5" spans="2:9">
      <c r="B5" s="523" t="s">
        <v>29</v>
      </c>
      <c r="C5" s="521">
        <f>30650</f>
        <v>30650</v>
      </c>
      <c r="D5" s="522">
        <f>D17+D18</f>
        <v>2.4</v>
      </c>
      <c r="E5" s="166"/>
      <c r="F5" s="556" t="s">
        <v>26</v>
      </c>
      <c r="G5" s="557">
        <f>D4</f>
        <v>0.5</v>
      </c>
      <c r="H5" s="558">
        <f t="shared" ref="H5:H6" si="0">C4</f>
        <v>44907.006403706255</v>
      </c>
      <c r="I5" s="559">
        <f>G5*H5</f>
        <v>22453.503201853127</v>
      </c>
    </row>
    <row r="6" spans="2:9">
      <c r="B6" s="524"/>
      <c r="C6" s="525"/>
      <c r="D6" s="526" t="s">
        <v>248</v>
      </c>
      <c r="E6" s="167"/>
      <c r="F6" s="560" t="s">
        <v>29</v>
      </c>
      <c r="G6" s="561">
        <f>D5</f>
        <v>2.4</v>
      </c>
      <c r="H6" s="562">
        <f t="shared" si="0"/>
        <v>30650</v>
      </c>
      <c r="I6" s="563">
        <f>G6*H6</f>
        <v>73560</v>
      </c>
    </row>
    <row r="7" spans="2:9">
      <c r="B7" s="527" t="s">
        <v>35</v>
      </c>
      <c r="C7" s="528"/>
      <c r="D7" s="529">
        <v>0.27179999999999999</v>
      </c>
      <c r="E7" s="166"/>
      <c r="F7" s="564" t="s">
        <v>33</v>
      </c>
      <c r="G7" s="565">
        <f>SUM(G5:G6)</f>
        <v>2.9</v>
      </c>
      <c r="H7" s="168"/>
      <c r="I7" s="566">
        <f>SUM(I5:I6)</f>
        <v>96013.503201853135</v>
      </c>
    </row>
    <row r="8" spans="2:9" ht="15.75" thickBot="1">
      <c r="B8" s="530" t="s">
        <v>31</v>
      </c>
      <c r="C8" s="528"/>
      <c r="D8" s="531">
        <v>4490</v>
      </c>
      <c r="E8" s="168"/>
      <c r="F8" s="567"/>
      <c r="G8" s="568"/>
      <c r="H8" s="568"/>
      <c r="I8" s="569"/>
    </row>
    <row r="9" spans="2:9" ht="15.75" thickTop="1">
      <c r="B9" s="532" t="s">
        <v>38</v>
      </c>
      <c r="C9" s="528"/>
      <c r="D9" s="533">
        <v>2190.286517144305</v>
      </c>
      <c r="E9" s="169"/>
      <c r="F9" s="384" t="s">
        <v>35</v>
      </c>
      <c r="G9" s="570"/>
      <c r="H9" s="571">
        <f>D7</f>
        <v>0.27179999999999999</v>
      </c>
      <c r="I9" s="559">
        <f>H9*I7</f>
        <v>26096.470170263681</v>
      </c>
    </row>
    <row r="10" spans="2:9" ht="15.75" thickBot="1">
      <c r="B10" s="171" t="s">
        <v>40</v>
      </c>
      <c r="C10" s="528"/>
      <c r="D10" s="534">
        <v>2190.286517144305</v>
      </c>
      <c r="E10" s="170"/>
      <c r="F10" s="572" t="s">
        <v>36</v>
      </c>
      <c r="G10" s="573"/>
      <c r="H10" s="574"/>
      <c r="I10" s="575">
        <f>SUM(I7:I9)</f>
        <v>122109.97337211682</v>
      </c>
    </row>
    <row r="11" spans="2:9" ht="15.75" thickTop="1">
      <c r="B11" s="171" t="s">
        <v>230</v>
      </c>
      <c r="C11" s="535">
        <v>6.3E-3</v>
      </c>
      <c r="D11" s="534"/>
      <c r="E11" s="168"/>
      <c r="F11" s="384" t="s">
        <v>247</v>
      </c>
      <c r="G11" s="165"/>
      <c r="H11" s="571"/>
      <c r="I11" s="576">
        <f>D8</f>
        <v>4490</v>
      </c>
    </row>
    <row r="12" spans="2:9">
      <c r="B12" s="532" t="s">
        <v>41</v>
      </c>
      <c r="C12" s="528"/>
      <c r="D12" s="536">
        <v>0.11978089076404261</v>
      </c>
      <c r="E12" s="170"/>
      <c r="F12" s="384" t="s">
        <v>38</v>
      </c>
      <c r="G12" s="577"/>
      <c r="H12" s="122"/>
      <c r="I12" s="559">
        <f>D9</f>
        <v>2190.286517144305</v>
      </c>
    </row>
    <row r="13" spans="2:9" ht="15.75" thickBot="1">
      <c r="B13" s="537" t="s">
        <v>219</v>
      </c>
      <c r="C13" s="538"/>
      <c r="D13" s="539">
        <f>CAF!BT24</f>
        <v>1.8120393120392975E-2</v>
      </c>
      <c r="E13" s="170"/>
      <c r="F13" s="578" t="s">
        <v>39</v>
      </c>
      <c r="G13" s="579"/>
      <c r="H13" s="580"/>
      <c r="I13" s="581">
        <f>SUM(I10:I12)</f>
        <v>128790.25988926113</v>
      </c>
    </row>
    <row r="14" spans="2:9">
      <c r="B14" s="170"/>
      <c r="C14" s="253"/>
      <c r="D14" s="122"/>
      <c r="E14" s="172"/>
      <c r="F14" s="383"/>
      <c r="G14" s="582"/>
      <c r="H14" s="571"/>
      <c r="I14" s="583"/>
    </row>
    <row r="15" spans="2:9">
      <c r="B15" s="540" t="s">
        <v>21</v>
      </c>
      <c r="C15" s="541" t="s">
        <v>180</v>
      </c>
      <c r="D15" s="525" t="s">
        <v>22</v>
      </c>
      <c r="E15" s="172"/>
      <c r="F15" s="384" t="s">
        <v>41</v>
      </c>
      <c r="G15" s="372"/>
      <c r="H15" s="584">
        <f>D12</f>
        <v>0.11978089076404261</v>
      </c>
      <c r="I15" s="559">
        <f>I13*H15</f>
        <v>15426.612051268245</v>
      </c>
    </row>
    <row r="16" spans="2:9">
      <c r="B16" s="542" t="s">
        <v>26</v>
      </c>
      <c r="C16" s="543">
        <v>20</v>
      </c>
      <c r="D16" s="543">
        <f>C16/40</f>
        <v>0.5</v>
      </c>
      <c r="E16" s="170"/>
      <c r="F16" s="585" t="s">
        <v>40</v>
      </c>
      <c r="G16" s="586"/>
      <c r="H16" s="587"/>
      <c r="I16" s="563">
        <f>D10</f>
        <v>2190.286517144305</v>
      </c>
    </row>
    <row r="17" spans="2:9" ht="15.75" thickBot="1">
      <c r="B17" s="521" t="s">
        <v>27</v>
      </c>
      <c r="C17" s="543">
        <f>8*7</f>
        <v>56</v>
      </c>
      <c r="D17" s="543">
        <f>C17/40</f>
        <v>1.4</v>
      </c>
      <c r="E17" s="170"/>
      <c r="F17" s="588" t="s">
        <v>9</v>
      </c>
      <c r="G17" s="589"/>
      <c r="H17" s="589"/>
      <c r="I17" s="590">
        <f>SUM(I13:I16)</f>
        <v>146407.15845767368</v>
      </c>
    </row>
    <row r="18" spans="2:9" ht="13.5" customHeight="1" thickTop="1">
      <c r="B18" s="521" t="s">
        <v>28</v>
      </c>
      <c r="C18" s="543">
        <f>8*5</f>
        <v>40</v>
      </c>
      <c r="D18" s="543">
        <f>C18/40</f>
        <v>1</v>
      </c>
      <c r="E18" s="170"/>
      <c r="F18" s="383"/>
      <c r="G18" s="582"/>
      <c r="H18" s="582"/>
      <c r="I18" s="591"/>
    </row>
    <row r="19" spans="2:9">
      <c r="B19" s="521" t="s">
        <v>30</v>
      </c>
      <c r="C19" s="543">
        <v>16</v>
      </c>
      <c r="D19" s="543">
        <f>C19/40</f>
        <v>0.4</v>
      </c>
      <c r="E19" s="170"/>
      <c r="F19" s="384" t="s">
        <v>19</v>
      </c>
      <c r="G19" s="372"/>
      <c r="H19" s="378">
        <f>D13</f>
        <v>1.8120393120392975E-2</v>
      </c>
      <c r="I19" s="591">
        <f>H19*I17</f>
        <v>2652.9552668927145</v>
      </c>
    </row>
    <row r="20" spans="2:9" ht="15.75" thickBot="1">
      <c r="B20" s="544" t="s">
        <v>32</v>
      </c>
      <c r="C20" s="545">
        <f>8*7</f>
        <v>56</v>
      </c>
      <c r="D20" s="545">
        <f>C20/40</f>
        <v>1.4</v>
      </c>
      <c r="E20" s="170"/>
      <c r="F20" s="585" t="str">
        <f>B11</f>
        <v>PFLMA Trust Contribution</v>
      </c>
      <c r="G20" s="586"/>
      <c r="H20" s="592">
        <f>C11</f>
        <v>6.3E-3</v>
      </c>
      <c r="I20" s="593">
        <f>I7*(H19+1)*H20</f>
        <v>615.84582543584202</v>
      </c>
    </row>
    <row r="21" spans="2:9" ht="16.5" thickTop="1" thickBot="1">
      <c r="B21" s="546" t="s">
        <v>34</v>
      </c>
      <c r="C21" s="547">
        <f>SUM(C17:C20)</f>
        <v>168</v>
      </c>
      <c r="D21" s="548">
        <f>SUM(D16:D20)</f>
        <v>4.6999999999999993</v>
      </c>
      <c r="E21" s="172"/>
      <c r="F21" s="588" t="s">
        <v>9</v>
      </c>
      <c r="G21" s="594"/>
      <c r="H21" s="595"/>
      <c r="I21" s="590">
        <f>I17+I19+I20</f>
        <v>149675.95955000224</v>
      </c>
    </row>
    <row r="22" spans="2:9" ht="16.5" thickTop="1" thickBot="1">
      <c r="E22" s="122"/>
      <c r="F22" s="596" t="s">
        <v>42</v>
      </c>
      <c r="G22" s="379"/>
      <c r="H22" s="597"/>
      <c r="I22" s="598">
        <f>I21/I3</f>
        <v>12472.996629166853</v>
      </c>
    </row>
    <row r="23" spans="2:9">
      <c r="E23" s="122"/>
      <c r="I23" s="178"/>
    </row>
    <row r="24" spans="2:9">
      <c r="E24" s="122"/>
      <c r="I24" s="35"/>
    </row>
    <row r="25" spans="2:9">
      <c r="C25" s="178"/>
      <c r="E25" s="122"/>
      <c r="I25" s="231"/>
    </row>
    <row r="26" spans="2:9">
      <c r="I26" s="218"/>
    </row>
    <row r="27" spans="2:9">
      <c r="I27" s="220"/>
    </row>
    <row r="41" spans="3:4">
      <c r="C41" s="114"/>
      <c r="D41" s="114"/>
    </row>
  </sheetData>
  <mergeCells count="2">
    <mergeCell ref="F2:I2"/>
    <mergeCell ref="B2:D2"/>
  </mergeCells>
  <pageMargins left="0.25" right="0.2" top="0.54" bottom="0.75" header="0.3" footer="0.3"/>
  <pageSetup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I18"/>
  <sheetViews>
    <sheetView zoomScale="80" zoomScaleNormal="80" workbookViewId="0">
      <selection activeCell="H11" sqref="H11"/>
    </sheetView>
  </sheetViews>
  <sheetFormatPr defaultRowHeight="12.75"/>
  <cols>
    <col min="1" max="1" width="5.7109375" style="4" customWidth="1"/>
    <col min="2" max="2" width="26.28515625" style="4" customWidth="1"/>
    <col min="3" max="3" width="9.7109375" style="4" customWidth="1"/>
    <col min="4" max="4" width="9.140625" style="4" customWidth="1"/>
    <col min="5" max="5" width="12.7109375" style="4" customWidth="1"/>
    <col min="6" max="6" width="16" style="4" customWidth="1"/>
    <col min="7" max="7" width="15.42578125" style="4" customWidth="1"/>
    <col min="8" max="8" width="16.85546875" style="4" customWidth="1"/>
    <col min="9" max="9" width="15.28515625" style="4" customWidth="1"/>
    <col min="10" max="10" width="8.85546875" style="4"/>
    <col min="11" max="11" width="13.7109375" style="4" customWidth="1"/>
    <col min="12" max="257" width="8.85546875" style="4"/>
    <col min="258" max="258" width="19.140625" style="4" customWidth="1"/>
    <col min="259" max="259" width="11.42578125" style="4" customWidth="1"/>
    <col min="260" max="260" width="14.42578125" style="4" customWidth="1"/>
    <col min="261" max="261" width="16.42578125" style="4" customWidth="1"/>
    <col min="262" max="262" width="16" style="4" customWidth="1"/>
    <col min="263" max="263" width="15.42578125" style="4" customWidth="1"/>
    <col min="264" max="264" width="14.5703125" style="4" customWidth="1"/>
    <col min="265" max="265" width="15.28515625" style="4" customWidth="1"/>
    <col min="266" max="513" width="8.85546875" style="4"/>
    <col min="514" max="514" width="19.140625" style="4" customWidth="1"/>
    <col min="515" max="515" width="11.42578125" style="4" customWidth="1"/>
    <col min="516" max="516" width="14.42578125" style="4" customWidth="1"/>
    <col min="517" max="517" width="16.42578125" style="4" customWidth="1"/>
    <col min="518" max="518" width="16" style="4" customWidth="1"/>
    <col min="519" max="519" width="15.42578125" style="4" customWidth="1"/>
    <col min="520" max="520" width="14.5703125" style="4" customWidth="1"/>
    <col min="521" max="521" width="15.28515625" style="4" customWidth="1"/>
    <col min="522" max="769" width="8.85546875" style="4"/>
    <col min="770" max="770" width="19.140625" style="4" customWidth="1"/>
    <col min="771" max="771" width="11.42578125" style="4" customWidth="1"/>
    <col min="772" max="772" width="14.42578125" style="4" customWidth="1"/>
    <col min="773" max="773" width="16.42578125" style="4" customWidth="1"/>
    <col min="774" max="774" width="16" style="4" customWidth="1"/>
    <col min="775" max="775" width="15.42578125" style="4" customWidth="1"/>
    <col min="776" max="776" width="14.5703125" style="4" customWidth="1"/>
    <col min="777" max="777" width="15.28515625" style="4" customWidth="1"/>
    <col min="778" max="1025" width="8.85546875" style="4"/>
    <col min="1026" max="1026" width="19.140625" style="4" customWidth="1"/>
    <col min="1027" max="1027" width="11.42578125" style="4" customWidth="1"/>
    <col min="1028" max="1028" width="14.42578125" style="4" customWidth="1"/>
    <col min="1029" max="1029" width="16.42578125" style="4" customWidth="1"/>
    <col min="1030" max="1030" width="16" style="4" customWidth="1"/>
    <col min="1031" max="1031" width="15.42578125" style="4" customWidth="1"/>
    <col min="1032" max="1032" width="14.5703125" style="4" customWidth="1"/>
    <col min="1033" max="1033" width="15.28515625" style="4" customWidth="1"/>
    <col min="1034" max="1281" width="8.85546875" style="4"/>
    <col min="1282" max="1282" width="19.140625" style="4" customWidth="1"/>
    <col min="1283" max="1283" width="11.42578125" style="4" customWidth="1"/>
    <col min="1284" max="1284" width="14.42578125" style="4" customWidth="1"/>
    <col min="1285" max="1285" width="16.42578125" style="4" customWidth="1"/>
    <col min="1286" max="1286" width="16" style="4" customWidth="1"/>
    <col min="1287" max="1287" width="15.42578125" style="4" customWidth="1"/>
    <col min="1288" max="1288" width="14.5703125" style="4" customWidth="1"/>
    <col min="1289" max="1289" width="15.28515625" style="4" customWidth="1"/>
    <col min="1290" max="1537" width="8.85546875" style="4"/>
    <col min="1538" max="1538" width="19.140625" style="4" customWidth="1"/>
    <col min="1539" max="1539" width="11.42578125" style="4" customWidth="1"/>
    <col min="1540" max="1540" width="14.42578125" style="4" customWidth="1"/>
    <col min="1541" max="1541" width="16.42578125" style="4" customWidth="1"/>
    <col min="1542" max="1542" width="16" style="4" customWidth="1"/>
    <col min="1543" max="1543" width="15.42578125" style="4" customWidth="1"/>
    <col min="1544" max="1544" width="14.5703125" style="4" customWidth="1"/>
    <col min="1545" max="1545" width="15.28515625" style="4" customWidth="1"/>
    <col min="1546" max="1793" width="8.85546875" style="4"/>
    <col min="1794" max="1794" width="19.140625" style="4" customWidth="1"/>
    <col min="1795" max="1795" width="11.42578125" style="4" customWidth="1"/>
    <col min="1796" max="1796" width="14.42578125" style="4" customWidth="1"/>
    <col min="1797" max="1797" width="16.42578125" style="4" customWidth="1"/>
    <col min="1798" max="1798" width="16" style="4" customWidth="1"/>
    <col min="1799" max="1799" width="15.42578125" style="4" customWidth="1"/>
    <col min="1800" max="1800" width="14.5703125" style="4" customWidth="1"/>
    <col min="1801" max="1801" width="15.28515625" style="4" customWidth="1"/>
    <col min="1802" max="2049" width="8.85546875" style="4"/>
    <col min="2050" max="2050" width="19.140625" style="4" customWidth="1"/>
    <col min="2051" max="2051" width="11.42578125" style="4" customWidth="1"/>
    <col min="2052" max="2052" width="14.42578125" style="4" customWidth="1"/>
    <col min="2053" max="2053" width="16.42578125" style="4" customWidth="1"/>
    <col min="2054" max="2054" width="16" style="4" customWidth="1"/>
    <col min="2055" max="2055" width="15.42578125" style="4" customWidth="1"/>
    <col min="2056" max="2056" width="14.5703125" style="4" customWidth="1"/>
    <col min="2057" max="2057" width="15.28515625" style="4" customWidth="1"/>
    <col min="2058" max="2305" width="8.85546875" style="4"/>
    <col min="2306" max="2306" width="19.140625" style="4" customWidth="1"/>
    <col min="2307" max="2307" width="11.42578125" style="4" customWidth="1"/>
    <col min="2308" max="2308" width="14.42578125" style="4" customWidth="1"/>
    <col min="2309" max="2309" width="16.42578125" style="4" customWidth="1"/>
    <col min="2310" max="2310" width="16" style="4" customWidth="1"/>
    <col min="2311" max="2311" width="15.42578125" style="4" customWidth="1"/>
    <col min="2312" max="2312" width="14.5703125" style="4" customWidth="1"/>
    <col min="2313" max="2313" width="15.28515625" style="4" customWidth="1"/>
    <col min="2314" max="2561" width="8.85546875" style="4"/>
    <col min="2562" max="2562" width="19.140625" style="4" customWidth="1"/>
    <col min="2563" max="2563" width="11.42578125" style="4" customWidth="1"/>
    <col min="2564" max="2564" width="14.42578125" style="4" customWidth="1"/>
    <col min="2565" max="2565" width="16.42578125" style="4" customWidth="1"/>
    <col min="2566" max="2566" width="16" style="4" customWidth="1"/>
    <col min="2567" max="2567" width="15.42578125" style="4" customWidth="1"/>
    <col min="2568" max="2568" width="14.5703125" style="4" customWidth="1"/>
    <col min="2569" max="2569" width="15.28515625" style="4" customWidth="1"/>
    <col min="2570" max="2817" width="8.85546875" style="4"/>
    <col min="2818" max="2818" width="19.140625" style="4" customWidth="1"/>
    <col min="2819" max="2819" width="11.42578125" style="4" customWidth="1"/>
    <col min="2820" max="2820" width="14.42578125" style="4" customWidth="1"/>
    <col min="2821" max="2821" width="16.42578125" style="4" customWidth="1"/>
    <col min="2822" max="2822" width="16" style="4" customWidth="1"/>
    <col min="2823" max="2823" width="15.42578125" style="4" customWidth="1"/>
    <col min="2824" max="2824" width="14.5703125" style="4" customWidth="1"/>
    <col min="2825" max="2825" width="15.28515625" style="4" customWidth="1"/>
    <col min="2826" max="3073" width="8.85546875" style="4"/>
    <col min="3074" max="3074" width="19.140625" style="4" customWidth="1"/>
    <col min="3075" max="3075" width="11.42578125" style="4" customWidth="1"/>
    <col min="3076" max="3076" width="14.42578125" style="4" customWidth="1"/>
    <col min="3077" max="3077" width="16.42578125" style="4" customWidth="1"/>
    <col min="3078" max="3078" width="16" style="4" customWidth="1"/>
    <col min="3079" max="3079" width="15.42578125" style="4" customWidth="1"/>
    <col min="3080" max="3080" width="14.5703125" style="4" customWidth="1"/>
    <col min="3081" max="3081" width="15.28515625" style="4" customWidth="1"/>
    <col min="3082" max="3329" width="8.85546875" style="4"/>
    <col min="3330" max="3330" width="19.140625" style="4" customWidth="1"/>
    <col min="3331" max="3331" width="11.42578125" style="4" customWidth="1"/>
    <col min="3332" max="3332" width="14.42578125" style="4" customWidth="1"/>
    <col min="3333" max="3333" width="16.42578125" style="4" customWidth="1"/>
    <col min="3334" max="3334" width="16" style="4" customWidth="1"/>
    <col min="3335" max="3335" width="15.42578125" style="4" customWidth="1"/>
    <col min="3336" max="3336" width="14.5703125" style="4" customWidth="1"/>
    <col min="3337" max="3337" width="15.28515625" style="4" customWidth="1"/>
    <col min="3338" max="3585" width="8.85546875" style="4"/>
    <col min="3586" max="3586" width="19.140625" style="4" customWidth="1"/>
    <col min="3587" max="3587" width="11.42578125" style="4" customWidth="1"/>
    <col min="3588" max="3588" width="14.42578125" style="4" customWidth="1"/>
    <col min="3589" max="3589" width="16.42578125" style="4" customWidth="1"/>
    <col min="3590" max="3590" width="16" style="4" customWidth="1"/>
    <col min="3591" max="3591" width="15.42578125" style="4" customWidth="1"/>
    <col min="3592" max="3592" width="14.5703125" style="4" customWidth="1"/>
    <col min="3593" max="3593" width="15.28515625" style="4" customWidth="1"/>
    <col min="3594" max="3841" width="8.85546875" style="4"/>
    <col min="3842" max="3842" width="19.140625" style="4" customWidth="1"/>
    <col min="3843" max="3843" width="11.42578125" style="4" customWidth="1"/>
    <col min="3844" max="3844" width="14.42578125" style="4" customWidth="1"/>
    <col min="3845" max="3845" width="16.42578125" style="4" customWidth="1"/>
    <col min="3846" max="3846" width="16" style="4" customWidth="1"/>
    <col min="3847" max="3847" width="15.42578125" style="4" customWidth="1"/>
    <col min="3848" max="3848" width="14.5703125" style="4" customWidth="1"/>
    <col min="3849" max="3849" width="15.28515625" style="4" customWidth="1"/>
    <col min="3850" max="4097" width="8.85546875" style="4"/>
    <col min="4098" max="4098" width="19.140625" style="4" customWidth="1"/>
    <col min="4099" max="4099" width="11.42578125" style="4" customWidth="1"/>
    <col min="4100" max="4100" width="14.42578125" style="4" customWidth="1"/>
    <col min="4101" max="4101" width="16.42578125" style="4" customWidth="1"/>
    <col min="4102" max="4102" width="16" style="4" customWidth="1"/>
    <col min="4103" max="4103" width="15.42578125" style="4" customWidth="1"/>
    <col min="4104" max="4104" width="14.5703125" style="4" customWidth="1"/>
    <col min="4105" max="4105" width="15.28515625" style="4" customWidth="1"/>
    <col min="4106" max="4353" width="8.85546875" style="4"/>
    <col min="4354" max="4354" width="19.140625" style="4" customWidth="1"/>
    <col min="4355" max="4355" width="11.42578125" style="4" customWidth="1"/>
    <col min="4356" max="4356" width="14.42578125" style="4" customWidth="1"/>
    <col min="4357" max="4357" width="16.42578125" style="4" customWidth="1"/>
    <col min="4358" max="4358" width="16" style="4" customWidth="1"/>
    <col min="4359" max="4359" width="15.42578125" style="4" customWidth="1"/>
    <col min="4360" max="4360" width="14.5703125" style="4" customWidth="1"/>
    <col min="4361" max="4361" width="15.28515625" style="4" customWidth="1"/>
    <col min="4362" max="4609" width="8.85546875" style="4"/>
    <col min="4610" max="4610" width="19.140625" style="4" customWidth="1"/>
    <col min="4611" max="4611" width="11.42578125" style="4" customWidth="1"/>
    <col min="4612" max="4612" width="14.42578125" style="4" customWidth="1"/>
    <col min="4613" max="4613" width="16.42578125" style="4" customWidth="1"/>
    <col min="4614" max="4614" width="16" style="4" customWidth="1"/>
    <col min="4615" max="4615" width="15.42578125" style="4" customWidth="1"/>
    <col min="4616" max="4616" width="14.5703125" style="4" customWidth="1"/>
    <col min="4617" max="4617" width="15.28515625" style="4" customWidth="1"/>
    <col min="4618" max="4865" width="8.85546875" style="4"/>
    <col min="4866" max="4866" width="19.140625" style="4" customWidth="1"/>
    <col min="4867" max="4867" width="11.42578125" style="4" customWidth="1"/>
    <col min="4868" max="4868" width="14.42578125" style="4" customWidth="1"/>
    <col min="4869" max="4869" width="16.42578125" style="4" customWidth="1"/>
    <col min="4870" max="4870" width="16" style="4" customWidth="1"/>
    <col min="4871" max="4871" width="15.42578125" style="4" customWidth="1"/>
    <col min="4872" max="4872" width="14.5703125" style="4" customWidth="1"/>
    <col min="4873" max="4873" width="15.28515625" style="4" customWidth="1"/>
    <col min="4874" max="5121" width="8.85546875" style="4"/>
    <col min="5122" max="5122" width="19.140625" style="4" customWidth="1"/>
    <col min="5123" max="5123" width="11.42578125" style="4" customWidth="1"/>
    <col min="5124" max="5124" width="14.42578125" style="4" customWidth="1"/>
    <col min="5125" max="5125" width="16.42578125" style="4" customWidth="1"/>
    <col min="5126" max="5126" width="16" style="4" customWidth="1"/>
    <col min="5127" max="5127" width="15.42578125" style="4" customWidth="1"/>
    <col min="5128" max="5128" width="14.5703125" style="4" customWidth="1"/>
    <col min="5129" max="5129" width="15.28515625" style="4" customWidth="1"/>
    <col min="5130" max="5377" width="8.85546875" style="4"/>
    <col min="5378" max="5378" width="19.140625" style="4" customWidth="1"/>
    <col min="5379" max="5379" width="11.42578125" style="4" customWidth="1"/>
    <col min="5380" max="5380" width="14.42578125" style="4" customWidth="1"/>
    <col min="5381" max="5381" width="16.42578125" style="4" customWidth="1"/>
    <col min="5382" max="5382" width="16" style="4" customWidth="1"/>
    <col min="5383" max="5383" width="15.42578125" style="4" customWidth="1"/>
    <col min="5384" max="5384" width="14.5703125" style="4" customWidth="1"/>
    <col min="5385" max="5385" width="15.28515625" style="4" customWidth="1"/>
    <col min="5386" max="5633" width="8.85546875" style="4"/>
    <col min="5634" max="5634" width="19.140625" style="4" customWidth="1"/>
    <col min="5635" max="5635" width="11.42578125" style="4" customWidth="1"/>
    <col min="5636" max="5636" width="14.42578125" style="4" customWidth="1"/>
    <col min="5637" max="5637" width="16.42578125" style="4" customWidth="1"/>
    <col min="5638" max="5638" width="16" style="4" customWidth="1"/>
    <col min="5639" max="5639" width="15.42578125" style="4" customWidth="1"/>
    <col min="5640" max="5640" width="14.5703125" style="4" customWidth="1"/>
    <col min="5641" max="5641" width="15.28515625" style="4" customWidth="1"/>
    <col min="5642" max="5889" width="8.85546875" style="4"/>
    <col min="5890" max="5890" width="19.140625" style="4" customWidth="1"/>
    <col min="5891" max="5891" width="11.42578125" style="4" customWidth="1"/>
    <col min="5892" max="5892" width="14.42578125" style="4" customWidth="1"/>
    <col min="5893" max="5893" width="16.42578125" style="4" customWidth="1"/>
    <col min="5894" max="5894" width="16" style="4" customWidth="1"/>
    <col min="5895" max="5895" width="15.42578125" style="4" customWidth="1"/>
    <col min="5896" max="5896" width="14.5703125" style="4" customWidth="1"/>
    <col min="5897" max="5897" width="15.28515625" style="4" customWidth="1"/>
    <col min="5898" max="6145" width="8.85546875" style="4"/>
    <col min="6146" max="6146" width="19.140625" style="4" customWidth="1"/>
    <col min="6147" max="6147" width="11.42578125" style="4" customWidth="1"/>
    <col min="6148" max="6148" width="14.42578125" style="4" customWidth="1"/>
    <col min="6149" max="6149" width="16.42578125" style="4" customWidth="1"/>
    <col min="6150" max="6150" width="16" style="4" customWidth="1"/>
    <col min="6151" max="6151" width="15.42578125" style="4" customWidth="1"/>
    <col min="6152" max="6152" width="14.5703125" style="4" customWidth="1"/>
    <col min="6153" max="6153" width="15.28515625" style="4" customWidth="1"/>
    <col min="6154" max="6401" width="8.85546875" style="4"/>
    <col min="6402" max="6402" width="19.140625" style="4" customWidth="1"/>
    <col min="6403" max="6403" width="11.42578125" style="4" customWidth="1"/>
    <col min="6404" max="6404" width="14.42578125" style="4" customWidth="1"/>
    <col min="6405" max="6405" width="16.42578125" style="4" customWidth="1"/>
    <col min="6406" max="6406" width="16" style="4" customWidth="1"/>
    <col min="6407" max="6407" width="15.42578125" style="4" customWidth="1"/>
    <col min="6408" max="6408" width="14.5703125" style="4" customWidth="1"/>
    <col min="6409" max="6409" width="15.28515625" style="4" customWidth="1"/>
    <col min="6410" max="6657" width="8.85546875" style="4"/>
    <col min="6658" max="6658" width="19.140625" style="4" customWidth="1"/>
    <col min="6659" max="6659" width="11.42578125" style="4" customWidth="1"/>
    <col min="6660" max="6660" width="14.42578125" style="4" customWidth="1"/>
    <col min="6661" max="6661" width="16.42578125" style="4" customWidth="1"/>
    <col min="6662" max="6662" width="16" style="4" customWidth="1"/>
    <col min="6663" max="6663" width="15.42578125" style="4" customWidth="1"/>
    <col min="6664" max="6664" width="14.5703125" style="4" customWidth="1"/>
    <col min="6665" max="6665" width="15.28515625" style="4" customWidth="1"/>
    <col min="6666" max="6913" width="8.85546875" style="4"/>
    <col min="6914" max="6914" width="19.140625" style="4" customWidth="1"/>
    <col min="6915" max="6915" width="11.42578125" style="4" customWidth="1"/>
    <col min="6916" max="6916" width="14.42578125" style="4" customWidth="1"/>
    <col min="6917" max="6917" width="16.42578125" style="4" customWidth="1"/>
    <col min="6918" max="6918" width="16" style="4" customWidth="1"/>
    <col min="6919" max="6919" width="15.42578125" style="4" customWidth="1"/>
    <col min="6920" max="6920" width="14.5703125" style="4" customWidth="1"/>
    <col min="6921" max="6921" width="15.28515625" style="4" customWidth="1"/>
    <col min="6922" max="7169" width="8.85546875" style="4"/>
    <col min="7170" max="7170" width="19.140625" style="4" customWidth="1"/>
    <col min="7171" max="7171" width="11.42578125" style="4" customWidth="1"/>
    <col min="7172" max="7172" width="14.42578125" style="4" customWidth="1"/>
    <col min="7173" max="7173" width="16.42578125" style="4" customWidth="1"/>
    <col min="7174" max="7174" width="16" style="4" customWidth="1"/>
    <col min="7175" max="7175" width="15.42578125" style="4" customWidth="1"/>
    <col min="7176" max="7176" width="14.5703125" style="4" customWidth="1"/>
    <col min="7177" max="7177" width="15.28515625" style="4" customWidth="1"/>
    <col min="7178" max="7425" width="8.85546875" style="4"/>
    <col min="7426" max="7426" width="19.140625" style="4" customWidth="1"/>
    <col min="7427" max="7427" width="11.42578125" style="4" customWidth="1"/>
    <col min="7428" max="7428" width="14.42578125" style="4" customWidth="1"/>
    <col min="7429" max="7429" width="16.42578125" style="4" customWidth="1"/>
    <col min="7430" max="7430" width="16" style="4" customWidth="1"/>
    <col min="7431" max="7431" width="15.42578125" style="4" customWidth="1"/>
    <col min="7432" max="7432" width="14.5703125" style="4" customWidth="1"/>
    <col min="7433" max="7433" width="15.28515625" style="4" customWidth="1"/>
    <col min="7434" max="7681" width="8.85546875" style="4"/>
    <col min="7682" max="7682" width="19.140625" style="4" customWidth="1"/>
    <col min="7683" max="7683" width="11.42578125" style="4" customWidth="1"/>
    <col min="7684" max="7684" width="14.42578125" style="4" customWidth="1"/>
    <col min="7685" max="7685" width="16.42578125" style="4" customWidth="1"/>
    <col min="7686" max="7686" width="16" style="4" customWidth="1"/>
    <col min="7687" max="7687" width="15.42578125" style="4" customWidth="1"/>
    <col min="7688" max="7688" width="14.5703125" style="4" customWidth="1"/>
    <col min="7689" max="7689" width="15.28515625" style="4" customWidth="1"/>
    <col min="7690" max="7937" width="8.85546875" style="4"/>
    <col min="7938" max="7938" width="19.140625" style="4" customWidth="1"/>
    <col min="7939" max="7939" width="11.42578125" style="4" customWidth="1"/>
    <col min="7940" max="7940" width="14.42578125" style="4" customWidth="1"/>
    <col min="7941" max="7941" width="16.42578125" style="4" customWidth="1"/>
    <col min="7942" max="7942" width="16" style="4" customWidth="1"/>
    <col min="7943" max="7943" width="15.42578125" style="4" customWidth="1"/>
    <col min="7944" max="7944" width="14.5703125" style="4" customWidth="1"/>
    <col min="7945" max="7945" width="15.28515625" style="4" customWidth="1"/>
    <col min="7946" max="8193" width="8.85546875" style="4"/>
    <col min="8194" max="8194" width="19.140625" style="4" customWidth="1"/>
    <col min="8195" max="8195" width="11.42578125" style="4" customWidth="1"/>
    <col min="8196" max="8196" width="14.42578125" style="4" customWidth="1"/>
    <col min="8197" max="8197" width="16.42578125" style="4" customWidth="1"/>
    <col min="8198" max="8198" width="16" style="4" customWidth="1"/>
    <col min="8199" max="8199" width="15.42578125" style="4" customWidth="1"/>
    <col min="8200" max="8200" width="14.5703125" style="4" customWidth="1"/>
    <col min="8201" max="8201" width="15.28515625" style="4" customWidth="1"/>
    <col min="8202" max="8449" width="8.85546875" style="4"/>
    <col min="8450" max="8450" width="19.140625" style="4" customWidth="1"/>
    <col min="8451" max="8451" width="11.42578125" style="4" customWidth="1"/>
    <col min="8452" max="8452" width="14.42578125" style="4" customWidth="1"/>
    <col min="8453" max="8453" width="16.42578125" style="4" customWidth="1"/>
    <col min="8454" max="8454" width="16" style="4" customWidth="1"/>
    <col min="8455" max="8455" width="15.42578125" style="4" customWidth="1"/>
    <col min="8456" max="8456" width="14.5703125" style="4" customWidth="1"/>
    <col min="8457" max="8457" width="15.28515625" style="4" customWidth="1"/>
    <col min="8458" max="8705" width="8.85546875" style="4"/>
    <col min="8706" max="8706" width="19.140625" style="4" customWidth="1"/>
    <col min="8707" max="8707" width="11.42578125" style="4" customWidth="1"/>
    <col min="8708" max="8708" width="14.42578125" style="4" customWidth="1"/>
    <col min="8709" max="8709" width="16.42578125" style="4" customWidth="1"/>
    <col min="8710" max="8710" width="16" style="4" customWidth="1"/>
    <col min="8711" max="8711" width="15.42578125" style="4" customWidth="1"/>
    <col min="8712" max="8712" width="14.5703125" style="4" customWidth="1"/>
    <col min="8713" max="8713" width="15.28515625" style="4" customWidth="1"/>
    <col min="8714" max="8961" width="8.85546875" style="4"/>
    <col min="8962" max="8962" width="19.140625" style="4" customWidth="1"/>
    <col min="8963" max="8963" width="11.42578125" style="4" customWidth="1"/>
    <col min="8964" max="8964" width="14.42578125" style="4" customWidth="1"/>
    <col min="8965" max="8965" width="16.42578125" style="4" customWidth="1"/>
    <col min="8966" max="8966" width="16" style="4" customWidth="1"/>
    <col min="8967" max="8967" width="15.42578125" style="4" customWidth="1"/>
    <col min="8968" max="8968" width="14.5703125" style="4" customWidth="1"/>
    <col min="8969" max="8969" width="15.28515625" style="4" customWidth="1"/>
    <col min="8970" max="9217" width="8.85546875" style="4"/>
    <col min="9218" max="9218" width="19.140625" style="4" customWidth="1"/>
    <col min="9219" max="9219" width="11.42578125" style="4" customWidth="1"/>
    <col min="9220" max="9220" width="14.42578125" style="4" customWidth="1"/>
    <col min="9221" max="9221" width="16.42578125" style="4" customWidth="1"/>
    <col min="9222" max="9222" width="16" style="4" customWidth="1"/>
    <col min="9223" max="9223" width="15.42578125" style="4" customWidth="1"/>
    <col min="9224" max="9224" width="14.5703125" style="4" customWidth="1"/>
    <col min="9225" max="9225" width="15.28515625" style="4" customWidth="1"/>
    <col min="9226" max="9473" width="8.85546875" style="4"/>
    <col min="9474" max="9474" width="19.140625" style="4" customWidth="1"/>
    <col min="9475" max="9475" width="11.42578125" style="4" customWidth="1"/>
    <col min="9476" max="9476" width="14.42578125" style="4" customWidth="1"/>
    <col min="9477" max="9477" width="16.42578125" style="4" customWidth="1"/>
    <col min="9478" max="9478" width="16" style="4" customWidth="1"/>
    <col min="9479" max="9479" width="15.42578125" style="4" customWidth="1"/>
    <col min="9480" max="9480" width="14.5703125" style="4" customWidth="1"/>
    <col min="9481" max="9481" width="15.28515625" style="4" customWidth="1"/>
    <col min="9482" max="9729" width="8.85546875" style="4"/>
    <col min="9730" max="9730" width="19.140625" style="4" customWidth="1"/>
    <col min="9731" max="9731" width="11.42578125" style="4" customWidth="1"/>
    <col min="9732" max="9732" width="14.42578125" style="4" customWidth="1"/>
    <col min="9733" max="9733" width="16.42578125" style="4" customWidth="1"/>
    <col min="9734" max="9734" width="16" style="4" customWidth="1"/>
    <col min="9735" max="9735" width="15.42578125" style="4" customWidth="1"/>
    <col min="9736" max="9736" width="14.5703125" style="4" customWidth="1"/>
    <col min="9737" max="9737" width="15.28515625" style="4" customWidth="1"/>
    <col min="9738" max="9985" width="8.85546875" style="4"/>
    <col min="9986" max="9986" width="19.140625" style="4" customWidth="1"/>
    <col min="9987" max="9987" width="11.42578125" style="4" customWidth="1"/>
    <col min="9988" max="9988" width="14.42578125" style="4" customWidth="1"/>
    <col min="9989" max="9989" width="16.42578125" style="4" customWidth="1"/>
    <col min="9990" max="9990" width="16" style="4" customWidth="1"/>
    <col min="9991" max="9991" width="15.42578125" style="4" customWidth="1"/>
    <col min="9992" max="9992" width="14.5703125" style="4" customWidth="1"/>
    <col min="9993" max="9993" width="15.28515625" style="4" customWidth="1"/>
    <col min="9994" max="10241" width="8.85546875" style="4"/>
    <col min="10242" max="10242" width="19.140625" style="4" customWidth="1"/>
    <col min="10243" max="10243" width="11.42578125" style="4" customWidth="1"/>
    <col min="10244" max="10244" width="14.42578125" style="4" customWidth="1"/>
    <col min="10245" max="10245" width="16.42578125" style="4" customWidth="1"/>
    <col min="10246" max="10246" width="16" style="4" customWidth="1"/>
    <col min="10247" max="10247" width="15.42578125" style="4" customWidth="1"/>
    <col min="10248" max="10248" width="14.5703125" style="4" customWidth="1"/>
    <col min="10249" max="10249" width="15.28515625" style="4" customWidth="1"/>
    <col min="10250" max="10497" width="8.85546875" style="4"/>
    <col min="10498" max="10498" width="19.140625" style="4" customWidth="1"/>
    <col min="10499" max="10499" width="11.42578125" style="4" customWidth="1"/>
    <col min="10500" max="10500" width="14.42578125" style="4" customWidth="1"/>
    <col min="10501" max="10501" width="16.42578125" style="4" customWidth="1"/>
    <col min="10502" max="10502" width="16" style="4" customWidth="1"/>
    <col min="10503" max="10503" width="15.42578125" style="4" customWidth="1"/>
    <col min="10504" max="10504" width="14.5703125" style="4" customWidth="1"/>
    <col min="10505" max="10505" width="15.28515625" style="4" customWidth="1"/>
    <col min="10506" max="10753" width="8.85546875" style="4"/>
    <col min="10754" max="10754" width="19.140625" style="4" customWidth="1"/>
    <col min="10755" max="10755" width="11.42578125" style="4" customWidth="1"/>
    <col min="10756" max="10756" width="14.42578125" style="4" customWidth="1"/>
    <col min="10757" max="10757" width="16.42578125" style="4" customWidth="1"/>
    <col min="10758" max="10758" width="16" style="4" customWidth="1"/>
    <col min="10759" max="10759" width="15.42578125" style="4" customWidth="1"/>
    <col min="10760" max="10760" width="14.5703125" style="4" customWidth="1"/>
    <col min="10761" max="10761" width="15.28515625" style="4" customWidth="1"/>
    <col min="10762" max="11009" width="8.85546875" style="4"/>
    <col min="11010" max="11010" width="19.140625" style="4" customWidth="1"/>
    <col min="11011" max="11011" width="11.42578125" style="4" customWidth="1"/>
    <col min="11012" max="11012" width="14.42578125" style="4" customWidth="1"/>
    <col min="11013" max="11013" width="16.42578125" style="4" customWidth="1"/>
    <col min="11014" max="11014" width="16" style="4" customWidth="1"/>
    <col min="11015" max="11015" width="15.42578125" style="4" customWidth="1"/>
    <col min="11016" max="11016" width="14.5703125" style="4" customWidth="1"/>
    <col min="11017" max="11017" width="15.28515625" style="4" customWidth="1"/>
    <col min="11018" max="11265" width="8.85546875" style="4"/>
    <col min="11266" max="11266" width="19.140625" style="4" customWidth="1"/>
    <col min="11267" max="11267" width="11.42578125" style="4" customWidth="1"/>
    <col min="11268" max="11268" width="14.42578125" style="4" customWidth="1"/>
    <col min="11269" max="11269" width="16.42578125" style="4" customWidth="1"/>
    <col min="11270" max="11270" width="16" style="4" customWidth="1"/>
    <col min="11271" max="11271" width="15.42578125" style="4" customWidth="1"/>
    <col min="11272" max="11272" width="14.5703125" style="4" customWidth="1"/>
    <col min="11273" max="11273" width="15.28515625" style="4" customWidth="1"/>
    <col min="11274" max="11521" width="8.85546875" style="4"/>
    <col min="11522" max="11522" width="19.140625" style="4" customWidth="1"/>
    <col min="11523" max="11523" width="11.42578125" style="4" customWidth="1"/>
    <col min="11524" max="11524" width="14.42578125" style="4" customWidth="1"/>
    <col min="11525" max="11525" width="16.42578125" style="4" customWidth="1"/>
    <col min="11526" max="11526" width="16" style="4" customWidth="1"/>
    <col min="11527" max="11527" width="15.42578125" style="4" customWidth="1"/>
    <col min="11528" max="11528" width="14.5703125" style="4" customWidth="1"/>
    <col min="11529" max="11529" width="15.28515625" style="4" customWidth="1"/>
    <col min="11530" max="11777" width="8.85546875" style="4"/>
    <col min="11778" max="11778" width="19.140625" style="4" customWidth="1"/>
    <col min="11779" max="11779" width="11.42578125" style="4" customWidth="1"/>
    <col min="11780" max="11780" width="14.42578125" style="4" customWidth="1"/>
    <col min="11781" max="11781" width="16.42578125" style="4" customWidth="1"/>
    <col min="11782" max="11782" width="16" style="4" customWidth="1"/>
    <col min="11783" max="11783" width="15.42578125" style="4" customWidth="1"/>
    <col min="11784" max="11784" width="14.5703125" style="4" customWidth="1"/>
    <col min="11785" max="11785" width="15.28515625" style="4" customWidth="1"/>
    <col min="11786" max="12033" width="8.85546875" style="4"/>
    <col min="12034" max="12034" width="19.140625" style="4" customWidth="1"/>
    <col min="12035" max="12035" width="11.42578125" style="4" customWidth="1"/>
    <col min="12036" max="12036" width="14.42578125" style="4" customWidth="1"/>
    <col min="12037" max="12037" width="16.42578125" style="4" customWidth="1"/>
    <col min="12038" max="12038" width="16" style="4" customWidth="1"/>
    <col min="12039" max="12039" width="15.42578125" style="4" customWidth="1"/>
    <col min="12040" max="12040" width="14.5703125" style="4" customWidth="1"/>
    <col min="12041" max="12041" width="15.28515625" style="4" customWidth="1"/>
    <col min="12042" max="12289" width="8.85546875" style="4"/>
    <col min="12290" max="12290" width="19.140625" style="4" customWidth="1"/>
    <col min="12291" max="12291" width="11.42578125" style="4" customWidth="1"/>
    <col min="12292" max="12292" width="14.42578125" style="4" customWidth="1"/>
    <col min="12293" max="12293" width="16.42578125" style="4" customWidth="1"/>
    <col min="12294" max="12294" width="16" style="4" customWidth="1"/>
    <col min="12295" max="12295" width="15.42578125" style="4" customWidth="1"/>
    <col min="12296" max="12296" width="14.5703125" style="4" customWidth="1"/>
    <col min="12297" max="12297" width="15.28515625" style="4" customWidth="1"/>
    <col min="12298" max="12545" width="8.85546875" style="4"/>
    <col min="12546" max="12546" width="19.140625" style="4" customWidth="1"/>
    <col min="12547" max="12547" width="11.42578125" style="4" customWidth="1"/>
    <col min="12548" max="12548" width="14.42578125" style="4" customWidth="1"/>
    <col min="12549" max="12549" width="16.42578125" style="4" customWidth="1"/>
    <col min="12550" max="12550" width="16" style="4" customWidth="1"/>
    <col min="12551" max="12551" width="15.42578125" style="4" customWidth="1"/>
    <col min="12552" max="12552" width="14.5703125" style="4" customWidth="1"/>
    <col min="12553" max="12553" width="15.28515625" style="4" customWidth="1"/>
    <col min="12554" max="12801" width="8.85546875" style="4"/>
    <col min="12802" max="12802" width="19.140625" style="4" customWidth="1"/>
    <col min="12803" max="12803" width="11.42578125" style="4" customWidth="1"/>
    <col min="12804" max="12804" width="14.42578125" style="4" customWidth="1"/>
    <col min="12805" max="12805" width="16.42578125" style="4" customWidth="1"/>
    <col min="12806" max="12806" width="16" style="4" customWidth="1"/>
    <col min="12807" max="12807" width="15.42578125" style="4" customWidth="1"/>
    <col min="12808" max="12808" width="14.5703125" style="4" customWidth="1"/>
    <col min="12809" max="12809" width="15.28515625" style="4" customWidth="1"/>
    <col min="12810" max="13057" width="8.85546875" style="4"/>
    <col min="13058" max="13058" width="19.140625" style="4" customWidth="1"/>
    <col min="13059" max="13059" width="11.42578125" style="4" customWidth="1"/>
    <col min="13060" max="13060" width="14.42578125" style="4" customWidth="1"/>
    <col min="13061" max="13061" width="16.42578125" style="4" customWidth="1"/>
    <col min="13062" max="13062" width="16" style="4" customWidth="1"/>
    <col min="13063" max="13063" width="15.42578125" style="4" customWidth="1"/>
    <col min="13064" max="13064" width="14.5703125" style="4" customWidth="1"/>
    <col min="13065" max="13065" width="15.28515625" style="4" customWidth="1"/>
    <col min="13066" max="13313" width="8.85546875" style="4"/>
    <col min="13314" max="13314" width="19.140625" style="4" customWidth="1"/>
    <col min="13315" max="13315" width="11.42578125" style="4" customWidth="1"/>
    <col min="13316" max="13316" width="14.42578125" style="4" customWidth="1"/>
    <col min="13317" max="13317" width="16.42578125" style="4" customWidth="1"/>
    <col min="13318" max="13318" width="16" style="4" customWidth="1"/>
    <col min="13319" max="13319" width="15.42578125" style="4" customWidth="1"/>
    <col min="13320" max="13320" width="14.5703125" style="4" customWidth="1"/>
    <col min="13321" max="13321" width="15.28515625" style="4" customWidth="1"/>
    <col min="13322" max="13569" width="8.85546875" style="4"/>
    <col min="13570" max="13570" width="19.140625" style="4" customWidth="1"/>
    <col min="13571" max="13571" width="11.42578125" style="4" customWidth="1"/>
    <col min="13572" max="13572" width="14.42578125" style="4" customWidth="1"/>
    <col min="13573" max="13573" width="16.42578125" style="4" customWidth="1"/>
    <col min="13574" max="13574" width="16" style="4" customWidth="1"/>
    <col min="13575" max="13575" width="15.42578125" style="4" customWidth="1"/>
    <col min="13576" max="13576" width="14.5703125" style="4" customWidth="1"/>
    <col min="13577" max="13577" width="15.28515625" style="4" customWidth="1"/>
    <col min="13578" max="13825" width="8.85546875" style="4"/>
    <col min="13826" max="13826" width="19.140625" style="4" customWidth="1"/>
    <col min="13827" max="13827" width="11.42578125" style="4" customWidth="1"/>
    <col min="13828" max="13828" width="14.42578125" style="4" customWidth="1"/>
    <col min="13829" max="13829" width="16.42578125" style="4" customWidth="1"/>
    <col min="13830" max="13830" width="16" style="4" customWidth="1"/>
    <col min="13831" max="13831" width="15.42578125" style="4" customWidth="1"/>
    <col min="13832" max="13832" width="14.5703125" style="4" customWidth="1"/>
    <col min="13833" max="13833" width="15.28515625" style="4" customWidth="1"/>
    <col min="13834" max="14081" width="8.85546875" style="4"/>
    <col min="14082" max="14082" width="19.140625" style="4" customWidth="1"/>
    <col min="14083" max="14083" width="11.42578125" style="4" customWidth="1"/>
    <col min="14084" max="14084" width="14.42578125" style="4" customWidth="1"/>
    <col min="14085" max="14085" width="16.42578125" style="4" customWidth="1"/>
    <col min="14086" max="14086" width="16" style="4" customWidth="1"/>
    <col min="14087" max="14087" width="15.42578125" style="4" customWidth="1"/>
    <col min="14088" max="14088" width="14.5703125" style="4" customWidth="1"/>
    <col min="14089" max="14089" width="15.28515625" style="4" customWidth="1"/>
    <col min="14090" max="14337" width="8.85546875" style="4"/>
    <col min="14338" max="14338" width="19.140625" style="4" customWidth="1"/>
    <col min="14339" max="14339" width="11.42578125" style="4" customWidth="1"/>
    <col min="14340" max="14340" width="14.42578125" style="4" customWidth="1"/>
    <col min="14341" max="14341" width="16.42578125" style="4" customWidth="1"/>
    <col min="14342" max="14342" width="16" style="4" customWidth="1"/>
    <col min="14343" max="14343" width="15.42578125" style="4" customWidth="1"/>
    <col min="14344" max="14344" width="14.5703125" style="4" customWidth="1"/>
    <col min="14345" max="14345" width="15.28515625" style="4" customWidth="1"/>
    <col min="14346" max="14593" width="8.85546875" style="4"/>
    <col min="14594" max="14594" width="19.140625" style="4" customWidth="1"/>
    <col min="14595" max="14595" width="11.42578125" style="4" customWidth="1"/>
    <col min="14596" max="14596" width="14.42578125" style="4" customWidth="1"/>
    <col min="14597" max="14597" width="16.42578125" style="4" customWidth="1"/>
    <col min="14598" max="14598" width="16" style="4" customWidth="1"/>
    <col min="14599" max="14599" width="15.42578125" style="4" customWidth="1"/>
    <col min="14600" max="14600" width="14.5703125" style="4" customWidth="1"/>
    <col min="14601" max="14601" width="15.28515625" style="4" customWidth="1"/>
    <col min="14602" max="14849" width="8.85546875" style="4"/>
    <col min="14850" max="14850" width="19.140625" style="4" customWidth="1"/>
    <col min="14851" max="14851" width="11.42578125" style="4" customWidth="1"/>
    <col min="14852" max="14852" width="14.42578125" style="4" customWidth="1"/>
    <col min="14853" max="14853" width="16.42578125" style="4" customWidth="1"/>
    <col min="14854" max="14854" width="16" style="4" customWidth="1"/>
    <col min="14855" max="14855" width="15.42578125" style="4" customWidth="1"/>
    <col min="14856" max="14856" width="14.5703125" style="4" customWidth="1"/>
    <col min="14857" max="14857" width="15.28515625" style="4" customWidth="1"/>
    <col min="14858" max="15105" width="8.85546875" style="4"/>
    <col min="15106" max="15106" width="19.140625" style="4" customWidth="1"/>
    <col min="15107" max="15107" width="11.42578125" style="4" customWidth="1"/>
    <col min="15108" max="15108" width="14.42578125" style="4" customWidth="1"/>
    <col min="15109" max="15109" width="16.42578125" style="4" customWidth="1"/>
    <col min="15110" max="15110" width="16" style="4" customWidth="1"/>
    <col min="15111" max="15111" width="15.42578125" style="4" customWidth="1"/>
    <col min="15112" max="15112" width="14.5703125" style="4" customWidth="1"/>
    <col min="15113" max="15113" width="15.28515625" style="4" customWidth="1"/>
    <col min="15114" max="15361" width="8.85546875" style="4"/>
    <col min="15362" max="15362" width="19.140625" style="4" customWidth="1"/>
    <col min="15363" max="15363" width="11.42578125" style="4" customWidth="1"/>
    <col min="15364" max="15364" width="14.42578125" style="4" customWidth="1"/>
    <col min="15365" max="15365" width="16.42578125" style="4" customWidth="1"/>
    <col min="15366" max="15366" width="16" style="4" customWidth="1"/>
    <col min="15367" max="15367" width="15.42578125" style="4" customWidth="1"/>
    <col min="15368" max="15368" width="14.5703125" style="4" customWidth="1"/>
    <col min="15369" max="15369" width="15.28515625" style="4" customWidth="1"/>
    <col min="15370" max="15617" width="8.85546875" style="4"/>
    <col min="15618" max="15618" width="19.140625" style="4" customWidth="1"/>
    <col min="15619" max="15619" width="11.42578125" style="4" customWidth="1"/>
    <col min="15620" max="15620" width="14.42578125" style="4" customWidth="1"/>
    <col min="15621" max="15621" width="16.42578125" style="4" customWidth="1"/>
    <col min="15622" max="15622" width="16" style="4" customWidth="1"/>
    <col min="15623" max="15623" width="15.42578125" style="4" customWidth="1"/>
    <col min="15624" max="15624" width="14.5703125" style="4" customWidth="1"/>
    <col min="15625" max="15625" width="15.28515625" style="4" customWidth="1"/>
    <col min="15626" max="15873" width="8.85546875" style="4"/>
    <col min="15874" max="15874" width="19.140625" style="4" customWidth="1"/>
    <col min="15875" max="15875" width="11.42578125" style="4" customWidth="1"/>
    <col min="15876" max="15876" width="14.42578125" style="4" customWidth="1"/>
    <col min="15877" max="15877" width="16.42578125" style="4" customWidth="1"/>
    <col min="15878" max="15878" width="16" style="4" customWidth="1"/>
    <col min="15879" max="15879" width="15.42578125" style="4" customWidth="1"/>
    <col min="15880" max="15880" width="14.5703125" style="4" customWidth="1"/>
    <col min="15881" max="15881" width="15.28515625" style="4" customWidth="1"/>
    <col min="15882" max="16129" width="8.85546875" style="4"/>
    <col min="16130" max="16130" width="19.140625" style="4" customWidth="1"/>
    <col min="16131" max="16131" width="11.42578125" style="4" customWidth="1"/>
    <col min="16132" max="16132" width="14.42578125" style="4" customWidth="1"/>
    <col min="16133" max="16133" width="16.42578125" style="4" customWidth="1"/>
    <col min="16134" max="16134" width="16" style="4" customWidth="1"/>
    <col min="16135" max="16135" width="15.42578125" style="4" customWidth="1"/>
    <col min="16136" max="16136" width="14.5703125" style="4" customWidth="1"/>
    <col min="16137" max="16137" width="15.28515625" style="4" customWidth="1"/>
    <col min="16138" max="16384" width="8.85546875" style="4"/>
  </cols>
  <sheetData>
    <row r="1" spans="2:9" ht="23.25">
      <c r="B1" s="516" t="s">
        <v>177</v>
      </c>
      <c r="C1" s="517"/>
      <c r="D1" s="517"/>
      <c r="E1" s="517"/>
      <c r="F1" s="364"/>
    </row>
    <row r="2" spans="2:9" ht="18.75" customHeight="1">
      <c r="B2" s="364"/>
      <c r="C2" s="364"/>
      <c r="D2" s="364"/>
      <c r="E2" s="364"/>
      <c r="F2" s="364"/>
    </row>
    <row r="3" spans="2:9" ht="24.75" customHeight="1">
      <c r="B3" s="496"/>
      <c r="C3" s="497"/>
      <c r="D3" s="497"/>
      <c r="E3" s="497"/>
      <c r="F3" s="497"/>
      <c r="G3" s="66"/>
      <c r="H3" s="66"/>
      <c r="I3" s="232"/>
    </row>
    <row r="4" spans="2:9" ht="63">
      <c r="B4" s="498" t="s">
        <v>267</v>
      </c>
      <c r="C4" s="499" t="s">
        <v>19</v>
      </c>
      <c r="D4" s="499" t="s">
        <v>19</v>
      </c>
      <c r="E4" s="499" t="s">
        <v>19</v>
      </c>
      <c r="F4" s="498" t="s">
        <v>20</v>
      </c>
    </row>
    <row r="5" spans="2:9" ht="15.75">
      <c r="B5" s="500">
        <v>346.19</v>
      </c>
      <c r="C5" s="501">
        <v>6.1350000000000002E-2</v>
      </c>
      <c r="D5" s="501">
        <v>3.1800000000000002E-2</v>
      </c>
      <c r="E5" s="501">
        <v>2.5100000000000001E-2</v>
      </c>
      <c r="F5" s="502">
        <f>B5*(C5+1)*(D5+1)*(E5+1)</f>
        <v>388.62872702971322</v>
      </c>
    </row>
    <row r="6" spans="2:9" ht="15.75">
      <c r="B6" s="497"/>
      <c r="C6" s="497"/>
      <c r="D6" s="497"/>
      <c r="E6" s="497"/>
      <c r="F6" s="497"/>
      <c r="G6" s="66"/>
      <c r="H6" s="66"/>
      <c r="I6" s="66"/>
    </row>
    <row r="7" spans="2:9" ht="34.15" customHeight="1">
      <c r="B7" s="503"/>
      <c r="C7" s="498"/>
      <c r="D7" s="498"/>
      <c r="E7" s="498" t="s">
        <v>273</v>
      </c>
      <c r="F7" s="497"/>
      <c r="G7" s="66"/>
      <c r="H7" s="66"/>
      <c r="I7" s="66"/>
    </row>
    <row r="8" spans="2:9" ht="18.600000000000001" customHeight="1">
      <c r="B8" s="504" t="s">
        <v>224</v>
      </c>
      <c r="C8" s="505"/>
      <c r="D8" s="506"/>
      <c r="E8" s="507">
        <f>F5</f>
        <v>388.62872702971322</v>
      </c>
      <c r="F8" s="497"/>
      <c r="G8" s="66"/>
      <c r="H8" s="66"/>
      <c r="I8" s="66"/>
    </row>
    <row r="9" spans="2:9" ht="15.75">
      <c r="B9" s="504" t="s">
        <v>268</v>
      </c>
      <c r="C9" s="505"/>
      <c r="D9" s="506"/>
      <c r="E9" s="507">
        <v>9.44</v>
      </c>
      <c r="F9" s="497"/>
      <c r="G9" s="66"/>
      <c r="H9" s="66"/>
      <c r="I9" s="66"/>
    </row>
    <row r="10" spans="2:9" ht="16.5" thickBot="1">
      <c r="B10" s="508" t="s">
        <v>19</v>
      </c>
      <c r="C10" s="509"/>
      <c r="D10" s="510">
        <f>CAF!BT24</f>
        <v>1.8120393120392975E-2</v>
      </c>
      <c r="E10" s="511">
        <f>SUM(E8:E9)*(D10)</f>
        <v>7.2131618227128049</v>
      </c>
      <c r="F10" s="497"/>
      <c r="G10" s="66"/>
      <c r="H10" s="66"/>
      <c r="I10" s="66"/>
    </row>
    <row r="11" spans="2:9" ht="16.5" thickBot="1">
      <c r="B11" s="512" t="s">
        <v>266</v>
      </c>
      <c r="C11" s="513"/>
      <c r="D11" s="514"/>
      <c r="E11" s="515">
        <f>SUM(E8:E10)</f>
        <v>405.28188885242599</v>
      </c>
      <c r="F11" s="497"/>
      <c r="G11" s="340"/>
      <c r="H11" s="66"/>
      <c r="I11" s="66"/>
    </row>
    <row r="12" spans="2:9" ht="23.25">
      <c r="B12" s="364"/>
      <c r="C12" s="364"/>
      <c r="D12" s="364"/>
      <c r="E12" s="364"/>
      <c r="F12" s="364"/>
      <c r="G12" s="337"/>
      <c r="H12" s="341"/>
    </row>
    <row r="13" spans="2:9" ht="23.25">
      <c r="B13" s="364"/>
      <c r="C13" s="364"/>
      <c r="D13" s="364"/>
      <c r="E13" s="364"/>
      <c r="F13" s="364"/>
      <c r="G13" s="337"/>
    </row>
    <row r="14" spans="2:9" ht="26.45" customHeight="1">
      <c r="B14" s="364"/>
      <c r="C14" s="364"/>
      <c r="D14" s="382"/>
      <c r="E14" s="365"/>
      <c r="F14" s="364"/>
    </row>
    <row r="15" spans="2:9" ht="23.25">
      <c r="B15" s="364"/>
      <c r="C15" s="364"/>
      <c r="D15" s="366"/>
      <c r="E15" s="367"/>
      <c r="F15" s="364"/>
    </row>
    <row r="16" spans="2:9" ht="23.25">
      <c r="B16" s="364"/>
      <c r="C16" s="364"/>
      <c r="D16" s="368"/>
      <c r="E16" s="366"/>
      <c r="F16" s="364"/>
    </row>
    <row r="17" spans="2:7" ht="23.25">
      <c r="B17" s="364"/>
      <c r="C17" s="364"/>
      <c r="D17" s="364"/>
      <c r="E17" s="364"/>
      <c r="F17" s="364"/>
    </row>
    <row r="18" spans="2:7">
      <c r="G18" s="337"/>
    </row>
  </sheetData>
  <pageMargins left="0.17" right="0.16" top="0.34" bottom="0.3" header="0.3" footer="0.3"/>
  <pageSetup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zoomScale="80" zoomScaleNormal="80" workbookViewId="0">
      <selection activeCell="B8" sqref="B8"/>
    </sheetView>
  </sheetViews>
  <sheetFormatPr defaultRowHeight="15"/>
  <cols>
    <col min="1" max="1" width="5.7109375" customWidth="1"/>
    <col min="2" max="2" width="45.5703125" customWidth="1"/>
    <col min="3" max="3" width="18.28515625" hidden="1" customWidth="1"/>
    <col min="4" max="4" width="12.28515625" style="119" hidden="1" customWidth="1"/>
    <col min="5" max="5" width="17.140625" hidden="1" customWidth="1"/>
    <col min="6" max="6" width="15" customWidth="1"/>
    <col min="7" max="7" width="13.7109375" customWidth="1"/>
    <col min="8" max="8" width="14" customWidth="1"/>
    <col min="9" max="9" width="9.140625" customWidth="1"/>
    <col min="10" max="10" width="13.28515625" customWidth="1"/>
    <col min="11" max="11" width="10.42578125" bestFit="1" customWidth="1"/>
    <col min="259" max="259" width="48.42578125" customWidth="1"/>
    <col min="260" max="260" width="18.28515625" customWidth="1"/>
    <col min="261" max="261" width="10.28515625" customWidth="1"/>
    <col min="262" max="262" width="11.140625" customWidth="1"/>
    <col min="263" max="263" width="10.85546875" customWidth="1"/>
    <col min="264" max="265" width="9.140625" customWidth="1"/>
    <col min="266" max="266" width="13.28515625" customWidth="1"/>
    <col min="267" max="267" width="10.42578125" bestFit="1" customWidth="1"/>
    <col min="515" max="515" width="48.42578125" customWidth="1"/>
    <col min="516" max="516" width="18.28515625" customWidth="1"/>
    <col min="517" max="517" width="10.28515625" customWidth="1"/>
    <col min="518" max="518" width="11.140625" customWidth="1"/>
    <col min="519" max="519" width="10.85546875" customWidth="1"/>
    <col min="520" max="521" width="9.140625" customWidth="1"/>
    <col min="522" max="522" width="13.28515625" customWidth="1"/>
    <col min="523" max="523" width="10.42578125" bestFit="1" customWidth="1"/>
    <col min="771" max="771" width="48.42578125" customWidth="1"/>
    <col min="772" max="772" width="18.28515625" customWidth="1"/>
    <col min="773" max="773" width="10.28515625" customWidth="1"/>
    <col min="774" max="774" width="11.140625" customWidth="1"/>
    <col min="775" max="775" width="10.85546875" customWidth="1"/>
    <col min="776" max="777" width="9.140625" customWidth="1"/>
    <col min="778" max="778" width="13.28515625" customWidth="1"/>
    <col min="779" max="779" width="10.42578125" bestFit="1" customWidth="1"/>
    <col min="1027" max="1027" width="48.42578125" customWidth="1"/>
    <col min="1028" max="1028" width="18.28515625" customWidth="1"/>
    <col min="1029" max="1029" width="10.28515625" customWidth="1"/>
    <col min="1030" max="1030" width="11.140625" customWidth="1"/>
    <col min="1031" max="1031" width="10.85546875" customWidth="1"/>
    <col min="1032" max="1033" width="9.140625" customWidth="1"/>
    <col min="1034" max="1034" width="13.28515625" customWidth="1"/>
    <col min="1035" max="1035" width="10.42578125" bestFit="1" customWidth="1"/>
    <col min="1283" max="1283" width="48.42578125" customWidth="1"/>
    <col min="1284" max="1284" width="18.28515625" customWidth="1"/>
    <col min="1285" max="1285" width="10.28515625" customWidth="1"/>
    <col min="1286" max="1286" width="11.140625" customWidth="1"/>
    <col min="1287" max="1287" width="10.85546875" customWidth="1"/>
    <col min="1288" max="1289" width="9.140625" customWidth="1"/>
    <col min="1290" max="1290" width="13.28515625" customWidth="1"/>
    <col min="1291" max="1291" width="10.42578125" bestFit="1" customWidth="1"/>
    <col min="1539" max="1539" width="48.42578125" customWidth="1"/>
    <col min="1540" max="1540" width="18.28515625" customWidth="1"/>
    <col min="1541" max="1541" width="10.28515625" customWidth="1"/>
    <col min="1542" max="1542" width="11.140625" customWidth="1"/>
    <col min="1543" max="1543" width="10.85546875" customWidth="1"/>
    <col min="1544" max="1545" width="9.140625" customWidth="1"/>
    <col min="1546" max="1546" width="13.28515625" customWidth="1"/>
    <col min="1547" max="1547" width="10.42578125" bestFit="1" customWidth="1"/>
    <col min="1795" max="1795" width="48.42578125" customWidth="1"/>
    <col min="1796" max="1796" width="18.28515625" customWidth="1"/>
    <col min="1797" max="1797" width="10.28515625" customWidth="1"/>
    <col min="1798" max="1798" width="11.140625" customWidth="1"/>
    <col min="1799" max="1799" width="10.85546875" customWidth="1"/>
    <col min="1800" max="1801" width="9.140625" customWidth="1"/>
    <col min="1802" max="1802" width="13.28515625" customWidth="1"/>
    <col min="1803" max="1803" width="10.42578125" bestFit="1" customWidth="1"/>
    <col min="2051" max="2051" width="48.42578125" customWidth="1"/>
    <col min="2052" max="2052" width="18.28515625" customWidth="1"/>
    <col min="2053" max="2053" width="10.28515625" customWidth="1"/>
    <col min="2054" max="2054" width="11.140625" customWidth="1"/>
    <col min="2055" max="2055" width="10.85546875" customWidth="1"/>
    <col min="2056" max="2057" width="9.140625" customWidth="1"/>
    <col min="2058" max="2058" width="13.28515625" customWidth="1"/>
    <col min="2059" max="2059" width="10.42578125" bestFit="1" customWidth="1"/>
    <col min="2307" max="2307" width="48.42578125" customWidth="1"/>
    <col min="2308" max="2308" width="18.28515625" customWidth="1"/>
    <col min="2309" max="2309" width="10.28515625" customWidth="1"/>
    <col min="2310" max="2310" width="11.140625" customWidth="1"/>
    <col min="2311" max="2311" width="10.85546875" customWidth="1"/>
    <col min="2312" max="2313" width="9.140625" customWidth="1"/>
    <col min="2314" max="2314" width="13.28515625" customWidth="1"/>
    <col min="2315" max="2315" width="10.42578125" bestFit="1" customWidth="1"/>
    <col min="2563" max="2563" width="48.42578125" customWidth="1"/>
    <col min="2564" max="2564" width="18.28515625" customWidth="1"/>
    <col min="2565" max="2565" width="10.28515625" customWidth="1"/>
    <col min="2566" max="2566" width="11.140625" customWidth="1"/>
    <col min="2567" max="2567" width="10.85546875" customWidth="1"/>
    <col min="2568" max="2569" width="9.140625" customWidth="1"/>
    <col min="2570" max="2570" width="13.28515625" customWidth="1"/>
    <col min="2571" max="2571" width="10.42578125" bestFit="1" customWidth="1"/>
    <col min="2819" max="2819" width="48.42578125" customWidth="1"/>
    <col min="2820" max="2820" width="18.28515625" customWidth="1"/>
    <col min="2821" max="2821" width="10.28515625" customWidth="1"/>
    <col min="2822" max="2822" width="11.140625" customWidth="1"/>
    <col min="2823" max="2823" width="10.85546875" customWidth="1"/>
    <col min="2824" max="2825" width="9.140625" customWidth="1"/>
    <col min="2826" max="2826" width="13.28515625" customWidth="1"/>
    <col min="2827" max="2827" width="10.42578125" bestFit="1" customWidth="1"/>
    <col min="3075" max="3075" width="48.42578125" customWidth="1"/>
    <col min="3076" max="3076" width="18.28515625" customWidth="1"/>
    <col min="3077" max="3077" width="10.28515625" customWidth="1"/>
    <col min="3078" max="3078" width="11.140625" customWidth="1"/>
    <col min="3079" max="3079" width="10.85546875" customWidth="1"/>
    <col min="3080" max="3081" width="9.140625" customWidth="1"/>
    <col min="3082" max="3082" width="13.28515625" customWidth="1"/>
    <col min="3083" max="3083" width="10.42578125" bestFit="1" customWidth="1"/>
    <col min="3331" max="3331" width="48.42578125" customWidth="1"/>
    <col min="3332" max="3332" width="18.28515625" customWidth="1"/>
    <col min="3333" max="3333" width="10.28515625" customWidth="1"/>
    <col min="3334" max="3334" width="11.140625" customWidth="1"/>
    <col min="3335" max="3335" width="10.85546875" customWidth="1"/>
    <col min="3336" max="3337" width="9.140625" customWidth="1"/>
    <col min="3338" max="3338" width="13.28515625" customWidth="1"/>
    <col min="3339" max="3339" width="10.42578125" bestFit="1" customWidth="1"/>
    <col min="3587" max="3587" width="48.42578125" customWidth="1"/>
    <col min="3588" max="3588" width="18.28515625" customWidth="1"/>
    <col min="3589" max="3589" width="10.28515625" customWidth="1"/>
    <col min="3590" max="3590" width="11.140625" customWidth="1"/>
    <col min="3591" max="3591" width="10.85546875" customWidth="1"/>
    <col min="3592" max="3593" width="9.140625" customWidth="1"/>
    <col min="3594" max="3594" width="13.28515625" customWidth="1"/>
    <col min="3595" max="3595" width="10.42578125" bestFit="1" customWidth="1"/>
    <col min="3843" max="3843" width="48.42578125" customWidth="1"/>
    <col min="3844" max="3844" width="18.28515625" customWidth="1"/>
    <col min="3845" max="3845" width="10.28515625" customWidth="1"/>
    <col min="3846" max="3846" width="11.140625" customWidth="1"/>
    <col min="3847" max="3847" width="10.85546875" customWidth="1"/>
    <col min="3848" max="3849" width="9.140625" customWidth="1"/>
    <col min="3850" max="3850" width="13.28515625" customWidth="1"/>
    <col min="3851" max="3851" width="10.42578125" bestFit="1" customWidth="1"/>
    <col min="4099" max="4099" width="48.42578125" customWidth="1"/>
    <col min="4100" max="4100" width="18.28515625" customWidth="1"/>
    <col min="4101" max="4101" width="10.28515625" customWidth="1"/>
    <col min="4102" max="4102" width="11.140625" customWidth="1"/>
    <col min="4103" max="4103" width="10.85546875" customWidth="1"/>
    <col min="4104" max="4105" width="9.140625" customWidth="1"/>
    <col min="4106" max="4106" width="13.28515625" customWidth="1"/>
    <col min="4107" max="4107" width="10.42578125" bestFit="1" customWidth="1"/>
    <col min="4355" max="4355" width="48.42578125" customWidth="1"/>
    <col min="4356" max="4356" width="18.28515625" customWidth="1"/>
    <col min="4357" max="4357" width="10.28515625" customWidth="1"/>
    <col min="4358" max="4358" width="11.140625" customWidth="1"/>
    <col min="4359" max="4359" width="10.85546875" customWidth="1"/>
    <col min="4360" max="4361" width="9.140625" customWidth="1"/>
    <col min="4362" max="4362" width="13.28515625" customWidth="1"/>
    <col min="4363" max="4363" width="10.42578125" bestFit="1" customWidth="1"/>
    <col min="4611" max="4611" width="48.42578125" customWidth="1"/>
    <col min="4612" max="4612" width="18.28515625" customWidth="1"/>
    <col min="4613" max="4613" width="10.28515625" customWidth="1"/>
    <col min="4614" max="4614" width="11.140625" customWidth="1"/>
    <col min="4615" max="4615" width="10.85546875" customWidth="1"/>
    <col min="4616" max="4617" width="9.140625" customWidth="1"/>
    <col min="4618" max="4618" width="13.28515625" customWidth="1"/>
    <col min="4619" max="4619" width="10.42578125" bestFit="1" customWidth="1"/>
    <col min="4867" max="4867" width="48.42578125" customWidth="1"/>
    <col min="4868" max="4868" width="18.28515625" customWidth="1"/>
    <col min="4869" max="4869" width="10.28515625" customWidth="1"/>
    <col min="4870" max="4870" width="11.140625" customWidth="1"/>
    <col min="4871" max="4871" width="10.85546875" customWidth="1"/>
    <col min="4872" max="4873" width="9.140625" customWidth="1"/>
    <col min="4874" max="4874" width="13.28515625" customWidth="1"/>
    <col min="4875" max="4875" width="10.42578125" bestFit="1" customWidth="1"/>
    <col min="5123" max="5123" width="48.42578125" customWidth="1"/>
    <col min="5124" max="5124" width="18.28515625" customWidth="1"/>
    <col min="5125" max="5125" width="10.28515625" customWidth="1"/>
    <col min="5126" max="5126" width="11.140625" customWidth="1"/>
    <col min="5127" max="5127" width="10.85546875" customWidth="1"/>
    <col min="5128" max="5129" width="9.140625" customWidth="1"/>
    <col min="5130" max="5130" width="13.28515625" customWidth="1"/>
    <col min="5131" max="5131" width="10.42578125" bestFit="1" customWidth="1"/>
    <col min="5379" max="5379" width="48.42578125" customWidth="1"/>
    <col min="5380" max="5380" width="18.28515625" customWidth="1"/>
    <col min="5381" max="5381" width="10.28515625" customWidth="1"/>
    <col min="5382" max="5382" width="11.140625" customWidth="1"/>
    <col min="5383" max="5383" width="10.85546875" customWidth="1"/>
    <col min="5384" max="5385" width="9.140625" customWidth="1"/>
    <col min="5386" max="5386" width="13.28515625" customWidth="1"/>
    <col min="5387" max="5387" width="10.42578125" bestFit="1" customWidth="1"/>
    <col min="5635" max="5635" width="48.42578125" customWidth="1"/>
    <col min="5636" max="5636" width="18.28515625" customWidth="1"/>
    <col min="5637" max="5637" width="10.28515625" customWidth="1"/>
    <col min="5638" max="5638" width="11.140625" customWidth="1"/>
    <col min="5639" max="5639" width="10.85546875" customWidth="1"/>
    <col min="5640" max="5641" width="9.140625" customWidth="1"/>
    <col min="5642" max="5642" width="13.28515625" customWidth="1"/>
    <col min="5643" max="5643" width="10.42578125" bestFit="1" customWidth="1"/>
    <col min="5891" max="5891" width="48.42578125" customWidth="1"/>
    <col min="5892" max="5892" width="18.28515625" customWidth="1"/>
    <col min="5893" max="5893" width="10.28515625" customWidth="1"/>
    <col min="5894" max="5894" width="11.140625" customWidth="1"/>
    <col min="5895" max="5895" width="10.85546875" customWidth="1"/>
    <col min="5896" max="5897" width="9.140625" customWidth="1"/>
    <col min="5898" max="5898" width="13.28515625" customWidth="1"/>
    <col min="5899" max="5899" width="10.42578125" bestFit="1" customWidth="1"/>
    <col min="6147" max="6147" width="48.42578125" customWidth="1"/>
    <col min="6148" max="6148" width="18.28515625" customWidth="1"/>
    <col min="6149" max="6149" width="10.28515625" customWidth="1"/>
    <col min="6150" max="6150" width="11.140625" customWidth="1"/>
    <col min="6151" max="6151" width="10.85546875" customWidth="1"/>
    <col min="6152" max="6153" width="9.140625" customWidth="1"/>
    <col min="6154" max="6154" width="13.28515625" customWidth="1"/>
    <col min="6155" max="6155" width="10.42578125" bestFit="1" customWidth="1"/>
    <col min="6403" max="6403" width="48.42578125" customWidth="1"/>
    <col min="6404" max="6404" width="18.28515625" customWidth="1"/>
    <col min="6405" max="6405" width="10.28515625" customWidth="1"/>
    <col min="6406" max="6406" width="11.140625" customWidth="1"/>
    <col min="6407" max="6407" width="10.85546875" customWidth="1"/>
    <col min="6408" max="6409" width="9.140625" customWidth="1"/>
    <col min="6410" max="6410" width="13.28515625" customWidth="1"/>
    <col min="6411" max="6411" width="10.42578125" bestFit="1" customWidth="1"/>
    <col min="6659" max="6659" width="48.42578125" customWidth="1"/>
    <col min="6660" max="6660" width="18.28515625" customWidth="1"/>
    <col min="6661" max="6661" width="10.28515625" customWidth="1"/>
    <col min="6662" max="6662" width="11.140625" customWidth="1"/>
    <col min="6663" max="6663" width="10.85546875" customWidth="1"/>
    <col min="6664" max="6665" width="9.140625" customWidth="1"/>
    <col min="6666" max="6666" width="13.28515625" customWidth="1"/>
    <col min="6667" max="6667" width="10.42578125" bestFit="1" customWidth="1"/>
    <col min="6915" max="6915" width="48.42578125" customWidth="1"/>
    <col min="6916" max="6916" width="18.28515625" customWidth="1"/>
    <col min="6917" max="6917" width="10.28515625" customWidth="1"/>
    <col min="6918" max="6918" width="11.140625" customWidth="1"/>
    <col min="6919" max="6919" width="10.85546875" customWidth="1"/>
    <col min="6920" max="6921" width="9.140625" customWidth="1"/>
    <col min="6922" max="6922" width="13.28515625" customWidth="1"/>
    <col min="6923" max="6923" width="10.42578125" bestFit="1" customWidth="1"/>
    <col min="7171" max="7171" width="48.42578125" customWidth="1"/>
    <col min="7172" max="7172" width="18.28515625" customWidth="1"/>
    <col min="7173" max="7173" width="10.28515625" customWidth="1"/>
    <col min="7174" max="7174" width="11.140625" customWidth="1"/>
    <col min="7175" max="7175" width="10.85546875" customWidth="1"/>
    <col min="7176" max="7177" width="9.140625" customWidth="1"/>
    <col min="7178" max="7178" width="13.28515625" customWidth="1"/>
    <col min="7179" max="7179" width="10.42578125" bestFit="1" customWidth="1"/>
    <col min="7427" max="7427" width="48.42578125" customWidth="1"/>
    <col min="7428" max="7428" width="18.28515625" customWidth="1"/>
    <col min="7429" max="7429" width="10.28515625" customWidth="1"/>
    <col min="7430" max="7430" width="11.140625" customWidth="1"/>
    <col min="7431" max="7431" width="10.85546875" customWidth="1"/>
    <col min="7432" max="7433" width="9.140625" customWidth="1"/>
    <col min="7434" max="7434" width="13.28515625" customWidth="1"/>
    <col min="7435" max="7435" width="10.42578125" bestFit="1" customWidth="1"/>
    <col min="7683" max="7683" width="48.42578125" customWidth="1"/>
    <col min="7684" max="7684" width="18.28515625" customWidth="1"/>
    <col min="7685" max="7685" width="10.28515625" customWidth="1"/>
    <col min="7686" max="7686" width="11.140625" customWidth="1"/>
    <col min="7687" max="7687" width="10.85546875" customWidth="1"/>
    <col min="7688" max="7689" width="9.140625" customWidth="1"/>
    <col min="7690" max="7690" width="13.28515625" customWidth="1"/>
    <col min="7691" max="7691" width="10.42578125" bestFit="1" customWidth="1"/>
    <col min="7939" max="7939" width="48.42578125" customWidth="1"/>
    <col min="7940" max="7940" width="18.28515625" customWidth="1"/>
    <col min="7941" max="7941" width="10.28515625" customWidth="1"/>
    <col min="7942" max="7942" width="11.140625" customWidth="1"/>
    <col min="7943" max="7943" width="10.85546875" customWidth="1"/>
    <col min="7944" max="7945" width="9.140625" customWidth="1"/>
    <col min="7946" max="7946" width="13.28515625" customWidth="1"/>
    <col min="7947" max="7947" width="10.42578125" bestFit="1" customWidth="1"/>
    <col min="8195" max="8195" width="48.42578125" customWidth="1"/>
    <col min="8196" max="8196" width="18.28515625" customWidth="1"/>
    <col min="8197" max="8197" width="10.28515625" customWidth="1"/>
    <col min="8198" max="8198" width="11.140625" customWidth="1"/>
    <col min="8199" max="8199" width="10.85546875" customWidth="1"/>
    <col min="8200" max="8201" width="9.140625" customWidth="1"/>
    <col min="8202" max="8202" width="13.28515625" customWidth="1"/>
    <col min="8203" max="8203" width="10.42578125" bestFit="1" customWidth="1"/>
    <col min="8451" max="8451" width="48.42578125" customWidth="1"/>
    <col min="8452" max="8452" width="18.28515625" customWidth="1"/>
    <col min="8453" max="8453" width="10.28515625" customWidth="1"/>
    <col min="8454" max="8454" width="11.140625" customWidth="1"/>
    <col min="8455" max="8455" width="10.85546875" customWidth="1"/>
    <col min="8456" max="8457" width="9.140625" customWidth="1"/>
    <col min="8458" max="8458" width="13.28515625" customWidth="1"/>
    <col min="8459" max="8459" width="10.42578125" bestFit="1" customWidth="1"/>
    <col min="8707" max="8707" width="48.42578125" customWidth="1"/>
    <col min="8708" max="8708" width="18.28515625" customWidth="1"/>
    <col min="8709" max="8709" width="10.28515625" customWidth="1"/>
    <col min="8710" max="8710" width="11.140625" customWidth="1"/>
    <col min="8711" max="8711" width="10.85546875" customWidth="1"/>
    <col min="8712" max="8713" width="9.140625" customWidth="1"/>
    <col min="8714" max="8714" width="13.28515625" customWidth="1"/>
    <col min="8715" max="8715" width="10.42578125" bestFit="1" customWidth="1"/>
    <col min="8963" max="8963" width="48.42578125" customWidth="1"/>
    <col min="8964" max="8964" width="18.28515625" customWidth="1"/>
    <col min="8965" max="8965" width="10.28515625" customWidth="1"/>
    <col min="8966" max="8966" width="11.140625" customWidth="1"/>
    <col min="8967" max="8967" width="10.85546875" customWidth="1"/>
    <col min="8968" max="8969" width="9.140625" customWidth="1"/>
    <col min="8970" max="8970" width="13.28515625" customWidth="1"/>
    <col min="8971" max="8971" width="10.42578125" bestFit="1" customWidth="1"/>
    <col min="9219" max="9219" width="48.42578125" customWidth="1"/>
    <col min="9220" max="9220" width="18.28515625" customWidth="1"/>
    <col min="9221" max="9221" width="10.28515625" customWidth="1"/>
    <col min="9222" max="9222" width="11.140625" customWidth="1"/>
    <col min="9223" max="9223" width="10.85546875" customWidth="1"/>
    <col min="9224" max="9225" width="9.140625" customWidth="1"/>
    <col min="9226" max="9226" width="13.28515625" customWidth="1"/>
    <col min="9227" max="9227" width="10.42578125" bestFit="1" customWidth="1"/>
    <col min="9475" max="9475" width="48.42578125" customWidth="1"/>
    <col min="9476" max="9476" width="18.28515625" customWidth="1"/>
    <col min="9477" max="9477" width="10.28515625" customWidth="1"/>
    <col min="9478" max="9478" width="11.140625" customWidth="1"/>
    <col min="9479" max="9479" width="10.85546875" customWidth="1"/>
    <col min="9480" max="9481" width="9.140625" customWidth="1"/>
    <col min="9482" max="9482" width="13.28515625" customWidth="1"/>
    <col min="9483" max="9483" width="10.42578125" bestFit="1" customWidth="1"/>
    <col min="9731" max="9731" width="48.42578125" customWidth="1"/>
    <col min="9732" max="9732" width="18.28515625" customWidth="1"/>
    <col min="9733" max="9733" width="10.28515625" customWidth="1"/>
    <col min="9734" max="9734" width="11.140625" customWidth="1"/>
    <col min="9735" max="9735" width="10.85546875" customWidth="1"/>
    <col min="9736" max="9737" width="9.140625" customWidth="1"/>
    <col min="9738" max="9738" width="13.28515625" customWidth="1"/>
    <col min="9739" max="9739" width="10.42578125" bestFit="1" customWidth="1"/>
    <col min="9987" max="9987" width="48.42578125" customWidth="1"/>
    <col min="9988" max="9988" width="18.28515625" customWidth="1"/>
    <col min="9989" max="9989" width="10.28515625" customWidth="1"/>
    <col min="9990" max="9990" width="11.140625" customWidth="1"/>
    <col min="9991" max="9991" width="10.85546875" customWidth="1"/>
    <col min="9992" max="9993" width="9.140625" customWidth="1"/>
    <col min="9994" max="9994" width="13.28515625" customWidth="1"/>
    <col min="9995" max="9995" width="10.42578125" bestFit="1" customWidth="1"/>
    <col min="10243" max="10243" width="48.42578125" customWidth="1"/>
    <col min="10244" max="10244" width="18.28515625" customWidth="1"/>
    <col min="10245" max="10245" width="10.28515625" customWidth="1"/>
    <col min="10246" max="10246" width="11.140625" customWidth="1"/>
    <col min="10247" max="10247" width="10.85546875" customWidth="1"/>
    <col min="10248" max="10249" width="9.140625" customWidth="1"/>
    <col min="10250" max="10250" width="13.28515625" customWidth="1"/>
    <col min="10251" max="10251" width="10.42578125" bestFit="1" customWidth="1"/>
    <col min="10499" max="10499" width="48.42578125" customWidth="1"/>
    <col min="10500" max="10500" width="18.28515625" customWidth="1"/>
    <col min="10501" max="10501" width="10.28515625" customWidth="1"/>
    <col min="10502" max="10502" width="11.140625" customWidth="1"/>
    <col min="10503" max="10503" width="10.85546875" customWidth="1"/>
    <col min="10504" max="10505" width="9.140625" customWidth="1"/>
    <col min="10506" max="10506" width="13.28515625" customWidth="1"/>
    <col min="10507" max="10507" width="10.42578125" bestFit="1" customWidth="1"/>
    <col min="10755" max="10755" width="48.42578125" customWidth="1"/>
    <col min="10756" max="10756" width="18.28515625" customWidth="1"/>
    <col min="10757" max="10757" width="10.28515625" customWidth="1"/>
    <col min="10758" max="10758" width="11.140625" customWidth="1"/>
    <col min="10759" max="10759" width="10.85546875" customWidth="1"/>
    <col min="10760" max="10761" width="9.140625" customWidth="1"/>
    <col min="10762" max="10762" width="13.28515625" customWidth="1"/>
    <col min="10763" max="10763" width="10.42578125" bestFit="1" customWidth="1"/>
    <col min="11011" max="11011" width="48.42578125" customWidth="1"/>
    <col min="11012" max="11012" width="18.28515625" customWidth="1"/>
    <col min="11013" max="11013" width="10.28515625" customWidth="1"/>
    <col min="11014" max="11014" width="11.140625" customWidth="1"/>
    <col min="11015" max="11015" width="10.85546875" customWidth="1"/>
    <col min="11016" max="11017" width="9.140625" customWidth="1"/>
    <col min="11018" max="11018" width="13.28515625" customWidth="1"/>
    <col min="11019" max="11019" width="10.42578125" bestFit="1" customWidth="1"/>
    <col min="11267" max="11267" width="48.42578125" customWidth="1"/>
    <col min="11268" max="11268" width="18.28515625" customWidth="1"/>
    <col min="11269" max="11269" width="10.28515625" customWidth="1"/>
    <col min="11270" max="11270" width="11.140625" customWidth="1"/>
    <col min="11271" max="11271" width="10.85546875" customWidth="1"/>
    <col min="11272" max="11273" width="9.140625" customWidth="1"/>
    <col min="11274" max="11274" width="13.28515625" customWidth="1"/>
    <col min="11275" max="11275" width="10.42578125" bestFit="1" customWidth="1"/>
    <col min="11523" max="11523" width="48.42578125" customWidth="1"/>
    <col min="11524" max="11524" width="18.28515625" customWidth="1"/>
    <col min="11525" max="11525" width="10.28515625" customWidth="1"/>
    <col min="11526" max="11526" width="11.140625" customWidth="1"/>
    <col min="11527" max="11527" width="10.85546875" customWidth="1"/>
    <col min="11528" max="11529" width="9.140625" customWidth="1"/>
    <col min="11530" max="11530" width="13.28515625" customWidth="1"/>
    <col min="11531" max="11531" width="10.42578125" bestFit="1" customWidth="1"/>
    <col min="11779" max="11779" width="48.42578125" customWidth="1"/>
    <col min="11780" max="11780" width="18.28515625" customWidth="1"/>
    <col min="11781" max="11781" width="10.28515625" customWidth="1"/>
    <col min="11782" max="11782" width="11.140625" customWidth="1"/>
    <col min="11783" max="11783" width="10.85546875" customWidth="1"/>
    <col min="11784" max="11785" width="9.140625" customWidth="1"/>
    <col min="11786" max="11786" width="13.28515625" customWidth="1"/>
    <col min="11787" max="11787" width="10.42578125" bestFit="1" customWidth="1"/>
    <col min="12035" max="12035" width="48.42578125" customWidth="1"/>
    <col min="12036" max="12036" width="18.28515625" customWidth="1"/>
    <col min="12037" max="12037" width="10.28515625" customWidth="1"/>
    <col min="12038" max="12038" width="11.140625" customWidth="1"/>
    <col min="12039" max="12039" width="10.85546875" customWidth="1"/>
    <col min="12040" max="12041" width="9.140625" customWidth="1"/>
    <col min="12042" max="12042" width="13.28515625" customWidth="1"/>
    <col min="12043" max="12043" width="10.42578125" bestFit="1" customWidth="1"/>
    <col min="12291" max="12291" width="48.42578125" customWidth="1"/>
    <col min="12292" max="12292" width="18.28515625" customWidth="1"/>
    <col min="12293" max="12293" width="10.28515625" customWidth="1"/>
    <col min="12294" max="12294" width="11.140625" customWidth="1"/>
    <col min="12295" max="12295" width="10.85546875" customWidth="1"/>
    <col min="12296" max="12297" width="9.140625" customWidth="1"/>
    <col min="12298" max="12298" width="13.28515625" customWidth="1"/>
    <col min="12299" max="12299" width="10.42578125" bestFit="1" customWidth="1"/>
    <col min="12547" max="12547" width="48.42578125" customWidth="1"/>
    <col min="12548" max="12548" width="18.28515625" customWidth="1"/>
    <col min="12549" max="12549" width="10.28515625" customWidth="1"/>
    <col min="12550" max="12550" width="11.140625" customWidth="1"/>
    <col min="12551" max="12551" width="10.85546875" customWidth="1"/>
    <col min="12552" max="12553" width="9.140625" customWidth="1"/>
    <col min="12554" max="12554" width="13.28515625" customWidth="1"/>
    <col min="12555" max="12555" width="10.42578125" bestFit="1" customWidth="1"/>
    <col min="12803" max="12803" width="48.42578125" customWidth="1"/>
    <col min="12804" max="12804" width="18.28515625" customWidth="1"/>
    <col min="12805" max="12805" width="10.28515625" customWidth="1"/>
    <col min="12806" max="12806" width="11.140625" customWidth="1"/>
    <col min="12807" max="12807" width="10.85546875" customWidth="1"/>
    <col min="12808" max="12809" width="9.140625" customWidth="1"/>
    <col min="12810" max="12810" width="13.28515625" customWidth="1"/>
    <col min="12811" max="12811" width="10.42578125" bestFit="1" customWidth="1"/>
    <col min="13059" max="13059" width="48.42578125" customWidth="1"/>
    <col min="13060" max="13060" width="18.28515625" customWidth="1"/>
    <col min="13061" max="13061" width="10.28515625" customWidth="1"/>
    <col min="13062" max="13062" width="11.140625" customWidth="1"/>
    <col min="13063" max="13063" width="10.85546875" customWidth="1"/>
    <col min="13064" max="13065" width="9.140625" customWidth="1"/>
    <col min="13066" max="13066" width="13.28515625" customWidth="1"/>
    <col min="13067" max="13067" width="10.42578125" bestFit="1" customWidth="1"/>
    <col min="13315" max="13315" width="48.42578125" customWidth="1"/>
    <col min="13316" max="13316" width="18.28515625" customWidth="1"/>
    <col min="13317" max="13317" width="10.28515625" customWidth="1"/>
    <col min="13318" max="13318" width="11.140625" customWidth="1"/>
    <col min="13319" max="13319" width="10.85546875" customWidth="1"/>
    <col min="13320" max="13321" width="9.140625" customWidth="1"/>
    <col min="13322" max="13322" width="13.28515625" customWidth="1"/>
    <col min="13323" max="13323" width="10.42578125" bestFit="1" customWidth="1"/>
    <col min="13571" max="13571" width="48.42578125" customWidth="1"/>
    <col min="13572" max="13572" width="18.28515625" customWidth="1"/>
    <col min="13573" max="13573" width="10.28515625" customWidth="1"/>
    <col min="13574" max="13574" width="11.140625" customWidth="1"/>
    <col min="13575" max="13575" width="10.85546875" customWidth="1"/>
    <col min="13576" max="13577" width="9.140625" customWidth="1"/>
    <col min="13578" max="13578" width="13.28515625" customWidth="1"/>
    <col min="13579" max="13579" width="10.42578125" bestFit="1" customWidth="1"/>
    <col min="13827" max="13827" width="48.42578125" customWidth="1"/>
    <col min="13828" max="13828" width="18.28515625" customWidth="1"/>
    <col min="13829" max="13829" width="10.28515625" customWidth="1"/>
    <col min="13830" max="13830" width="11.140625" customWidth="1"/>
    <col min="13831" max="13831" width="10.85546875" customWidth="1"/>
    <col min="13832" max="13833" width="9.140625" customWidth="1"/>
    <col min="13834" max="13834" width="13.28515625" customWidth="1"/>
    <col min="13835" max="13835" width="10.42578125" bestFit="1" customWidth="1"/>
    <col min="14083" max="14083" width="48.42578125" customWidth="1"/>
    <col min="14084" max="14084" width="18.28515625" customWidth="1"/>
    <col min="14085" max="14085" width="10.28515625" customWidth="1"/>
    <col min="14086" max="14086" width="11.140625" customWidth="1"/>
    <col min="14087" max="14087" width="10.85546875" customWidth="1"/>
    <col min="14088" max="14089" width="9.140625" customWidth="1"/>
    <col min="14090" max="14090" width="13.28515625" customWidth="1"/>
    <col min="14091" max="14091" width="10.42578125" bestFit="1" customWidth="1"/>
    <col min="14339" max="14339" width="48.42578125" customWidth="1"/>
    <col min="14340" max="14340" width="18.28515625" customWidth="1"/>
    <col min="14341" max="14341" width="10.28515625" customWidth="1"/>
    <col min="14342" max="14342" width="11.140625" customWidth="1"/>
    <col min="14343" max="14343" width="10.85546875" customWidth="1"/>
    <col min="14344" max="14345" width="9.140625" customWidth="1"/>
    <col min="14346" max="14346" width="13.28515625" customWidth="1"/>
    <col min="14347" max="14347" width="10.42578125" bestFit="1" customWidth="1"/>
    <col min="14595" max="14595" width="48.42578125" customWidth="1"/>
    <col min="14596" max="14596" width="18.28515625" customWidth="1"/>
    <col min="14597" max="14597" width="10.28515625" customWidth="1"/>
    <col min="14598" max="14598" width="11.140625" customWidth="1"/>
    <col min="14599" max="14599" width="10.85546875" customWidth="1"/>
    <col min="14600" max="14601" width="9.140625" customWidth="1"/>
    <col min="14602" max="14602" width="13.28515625" customWidth="1"/>
    <col min="14603" max="14603" width="10.42578125" bestFit="1" customWidth="1"/>
    <col min="14851" max="14851" width="48.42578125" customWidth="1"/>
    <col min="14852" max="14852" width="18.28515625" customWidth="1"/>
    <col min="14853" max="14853" width="10.28515625" customWidth="1"/>
    <col min="14854" max="14854" width="11.140625" customWidth="1"/>
    <col min="14855" max="14855" width="10.85546875" customWidth="1"/>
    <col min="14856" max="14857" width="9.140625" customWidth="1"/>
    <col min="14858" max="14858" width="13.28515625" customWidth="1"/>
    <col min="14859" max="14859" width="10.42578125" bestFit="1" customWidth="1"/>
    <col min="15107" max="15107" width="48.42578125" customWidth="1"/>
    <col min="15108" max="15108" width="18.28515625" customWidth="1"/>
    <col min="15109" max="15109" width="10.28515625" customWidth="1"/>
    <col min="15110" max="15110" width="11.140625" customWidth="1"/>
    <col min="15111" max="15111" width="10.85546875" customWidth="1"/>
    <col min="15112" max="15113" width="9.140625" customWidth="1"/>
    <col min="15114" max="15114" width="13.28515625" customWidth="1"/>
    <col min="15115" max="15115" width="10.42578125" bestFit="1" customWidth="1"/>
    <col min="15363" max="15363" width="48.42578125" customWidth="1"/>
    <col min="15364" max="15364" width="18.28515625" customWidth="1"/>
    <col min="15365" max="15365" width="10.28515625" customWidth="1"/>
    <col min="15366" max="15366" width="11.140625" customWidth="1"/>
    <col min="15367" max="15367" width="10.85546875" customWidth="1"/>
    <col min="15368" max="15369" width="9.140625" customWidth="1"/>
    <col min="15370" max="15370" width="13.28515625" customWidth="1"/>
    <col min="15371" max="15371" width="10.42578125" bestFit="1" customWidth="1"/>
    <col min="15619" max="15619" width="48.42578125" customWidth="1"/>
    <col min="15620" max="15620" width="18.28515625" customWidth="1"/>
    <col min="15621" max="15621" width="10.28515625" customWidth="1"/>
    <col min="15622" max="15622" width="11.140625" customWidth="1"/>
    <col min="15623" max="15623" width="10.85546875" customWidth="1"/>
    <col min="15624" max="15625" width="9.140625" customWidth="1"/>
    <col min="15626" max="15626" width="13.28515625" customWidth="1"/>
    <col min="15627" max="15627" width="10.42578125" bestFit="1" customWidth="1"/>
    <col min="15875" max="15875" width="48.42578125" customWidth="1"/>
    <col min="15876" max="15876" width="18.28515625" customWidth="1"/>
    <col min="15877" max="15877" width="10.28515625" customWidth="1"/>
    <col min="15878" max="15878" width="11.140625" customWidth="1"/>
    <col min="15879" max="15879" width="10.85546875" customWidth="1"/>
    <col min="15880" max="15881" width="9.140625" customWidth="1"/>
    <col min="15882" max="15882" width="13.28515625" customWidth="1"/>
    <col min="15883" max="15883" width="10.42578125" bestFit="1" customWidth="1"/>
    <col min="16131" max="16131" width="48.42578125" customWidth="1"/>
    <col min="16132" max="16132" width="18.28515625" customWidth="1"/>
    <col min="16133" max="16133" width="10.28515625" customWidth="1"/>
    <col min="16134" max="16134" width="11.140625" customWidth="1"/>
    <col min="16135" max="16135" width="10.85546875" customWidth="1"/>
    <col min="16136" max="16137" width="9.140625" customWidth="1"/>
    <col min="16138" max="16138" width="13.28515625" customWidth="1"/>
    <col min="16139" max="16139" width="10.42578125" bestFit="1" customWidth="1"/>
  </cols>
  <sheetData>
    <row r="1" spans="2:14">
      <c r="I1" s="175"/>
      <c r="J1" s="175"/>
      <c r="K1" s="175"/>
      <c r="L1" s="175"/>
      <c r="M1" s="175"/>
      <c r="N1" s="175"/>
    </row>
    <row r="2" spans="2:14" s="2" customFormat="1" ht="25.5" customHeight="1" thickBot="1">
      <c r="B2" s="176" t="s">
        <v>216</v>
      </c>
      <c r="D2" s="174"/>
      <c r="G2" s="221"/>
      <c r="I2" s="3"/>
      <c r="J2" s="3"/>
      <c r="K2" s="3"/>
      <c r="L2" s="3"/>
      <c r="M2" s="3"/>
      <c r="N2" s="3"/>
    </row>
    <row r="3" spans="2:14" s="2" customFormat="1" ht="45.75" thickBot="1">
      <c r="B3" s="256" t="s">
        <v>0</v>
      </c>
      <c r="C3" s="257" t="s">
        <v>11</v>
      </c>
      <c r="D3" s="258" t="s">
        <v>12</v>
      </c>
      <c r="E3" s="260" t="s">
        <v>13</v>
      </c>
      <c r="F3" s="261" t="s">
        <v>220</v>
      </c>
      <c r="G3" s="259" t="s">
        <v>13</v>
      </c>
      <c r="I3" s="3"/>
      <c r="J3" s="3"/>
      <c r="K3" s="3"/>
      <c r="L3" s="3"/>
      <c r="M3" s="3"/>
      <c r="N3" s="3"/>
    </row>
    <row r="4" spans="2:14" s="2" customFormat="1">
      <c r="B4" s="254" t="s">
        <v>1</v>
      </c>
      <c r="C4" s="183">
        <v>80867.7745</v>
      </c>
      <c r="D4" s="184">
        <v>34</v>
      </c>
      <c r="E4" s="194">
        <v>198.20532965686274</v>
      </c>
      <c r="F4" s="183">
        <f>C4*(6.77%+1)*(3.18%+1)*(2.514%+1)</f>
        <v>91327.892786362427</v>
      </c>
      <c r="G4" s="255">
        <f>E4*(6.77%+1)*(3.18%+1)*(2.514%+1)</f>
        <v>223.84287447637857</v>
      </c>
      <c r="I4" s="3"/>
      <c r="J4" s="3"/>
      <c r="K4" s="3"/>
      <c r="L4" s="3"/>
      <c r="M4" s="3"/>
      <c r="N4" s="3"/>
    </row>
    <row r="5" spans="2:14" s="2" customFormat="1" ht="15" customHeight="1">
      <c r="B5" s="185" t="s">
        <v>14</v>
      </c>
      <c r="C5" s="179">
        <v>28783.765100000001</v>
      </c>
      <c r="D5" s="180">
        <v>12</v>
      </c>
      <c r="E5" s="186">
        <v>199.88725763888888</v>
      </c>
      <c r="F5" s="179">
        <f t="shared" ref="F5:F16" si="0">C5*(6.77%+1)*(3.18%+1)*(2.514%+1)</f>
        <v>32506.899432982926</v>
      </c>
      <c r="G5" s="198">
        <f t="shared" ref="G5:G16" si="1">E5*(6.77%+1)*(3.18%+1)*(2.514%+1)</f>
        <v>225.74235717349256</v>
      </c>
      <c r="I5" s="3"/>
      <c r="J5" s="3"/>
      <c r="K5" s="3"/>
      <c r="L5" s="3"/>
      <c r="M5" s="3"/>
      <c r="N5" s="3"/>
    </row>
    <row r="6" spans="2:14" s="2" customFormat="1">
      <c r="B6" s="185" t="s">
        <v>15</v>
      </c>
      <c r="C6" s="179">
        <v>76808.825400000002</v>
      </c>
      <c r="D6" s="180">
        <v>37</v>
      </c>
      <c r="E6" s="186">
        <v>172.99285</v>
      </c>
      <c r="F6" s="179">
        <f t="shared" si="0"/>
        <v>86743.925062233946</v>
      </c>
      <c r="G6" s="198">
        <f t="shared" si="1"/>
        <v>195.36920059061697</v>
      </c>
      <c r="I6" s="3"/>
      <c r="J6" s="3"/>
      <c r="K6" s="3"/>
      <c r="L6" s="3"/>
      <c r="M6" s="3"/>
      <c r="N6" s="3"/>
    </row>
    <row r="7" spans="2:14" s="2" customFormat="1">
      <c r="B7" s="185" t="s">
        <v>2</v>
      </c>
      <c r="C7" s="179">
        <v>88388</v>
      </c>
      <c r="D7" s="180">
        <v>50</v>
      </c>
      <c r="E7" s="186">
        <v>147.31333333333333</v>
      </c>
      <c r="F7" s="179">
        <f t="shared" si="0"/>
        <v>99820.847519440562</v>
      </c>
      <c r="G7" s="198">
        <f t="shared" si="1"/>
        <v>166.36807919906761</v>
      </c>
      <c r="I7" s="3"/>
      <c r="J7" s="3"/>
      <c r="K7" s="3"/>
      <c r="L7" s="3"/>
      <c r="M7" s="3"/>
      <c r="N7" s="3"/>
    </row>
    <row r="8" spans="2:14" s="2" customFormat="1">
      <c r="B8" s="185" t="s">
        <v>3</v>
      </c>
      <c r="C8" s="179">
        <v>54070</v>
      </c>
      <c r="D8" s="180">
        <v>28</v>
      </c>
      <c r="E8" s="186">
        <v>160.92261904761907</v>
      </c>
      <c r="F8" s="179">
        <f t="shared" si="0"/>
        <v>61063.868685524634</v>
      </c>
      <c r="G8" s="198">
        <f t="shared" si="1"/>
        <v>181.73770442120428</v>
      </c>
      <c r="I8" s="3"/>
      <c r="J8" s="3"/>
      <c r="K8" s="3"/>
      <c r="L8" s="3"/>
      <c r="M8" s="3"/>
      <c r="N8" s="3"/>
    </row>
    <row r="9" spans="2:14" s="2" customFormat="1">
      <c r="B9" s="185" t="s">
        <v>4</v>
      </c>
      <c r="C9" s="179">
        <v>119653.9513</v>
      </c>
      <c r="D9" s="180">
        <v>43</v>
      </c>
      <c r="E9" s="186">
        <v>231.88750251937984</v>
      </c>
      <c r="F9" s="179">
        <f t="shared" si="0"/>
        <v>135130.99999791678</v>
      </c>
      <c r="G9" s="198">
        <f t="shared" si="1"/>
        <v>261.88178294169916</v>
      </c>
      <c r="I9" s="3"/>
      <c r="J9" s="3"/>
      <c r="K9" s="3"/>
      <c r="L9" s="3"/>
      <c r="M9" s="3"/>
      <c r="N9" s="3"/>
    </row>
    <row r="10" spans="2:14" s="2" customFormat="1">
      <c r="B10" s="185" t="s">
        <v>16</v>
      </c>
      <c r="C10" s="179">
        <v>61909.875399999997</v>
      </c>
      <c r="D10" s="180">
        <v>27</v>
      </c>
      <c r="E10" s="186">
        <v>191.079862345679</v>
      </c>
      <c r="F10" s="179">
        <f t="shared" si="0"/>
        <v>69917.819525851519</v>
      </c>
      <c r="G10" s="198">
        <f t="shared" si="1"/>
        <v>215.79573927731948</v>
      </c>
      <c r="I10" s="3"/>
      <c r="J10" s="3"/>
      <c r="K10" s="3"/>
      <c r="L10" s="3"/>
      <c r="M10" s="3"/>
      <c r="N10" s="3"/>
    </row>
    <row r="11" spans="2:14" s="2" customFormat="1">
      <c r="B11" s="185" t="s">
        <v>17</v>
      </c>
      <c r="C11" s="179">
        <v>89901.45</v>
      </c>
      <c r="D11" s="180">
        <v>39</v>
      </c>
      <c r="E11" s="186">
        <v>192.09711538461536</v>
      </c>
      <c r="F11" s="179">
        <f t="shared" si="0"/>
        <v>101530.05987494468</v>
      </c>
      <c r="G11" s="198">
        <f t="shared" si="1"/>
        <v>216.94457238236038</v>
      </c>
      <c r="I11" s="3"/>
      <c r="J11" s="3"/>
      <c r="K11" s="3"/>
      <c r="L11" s="3"/>
      <c r="M11" s="3"/>
      <c r="N11" s="3"/>
    </row>
    <row r="12" spans="2:14" s="2" customFormat="1">
      <c r="B12" s="185" t="s">
        <v>5</v>
      </c>
      <c r="C12" s="179">
        <v>44941</v>
      </c>
      <c r="D12" s="180">
        <v>18</v>
      </c>
      <c r="E12" s="186">
        <v>208.06018518518519</v>
      </c>
      <c r="F12" s="179">
        <f t="shared" si="0"/>
        <v>50754.047024156876</v>
      </c>
      <c r="G12" s="198">
        <f t="shared" si="1"/>
        <v>234.97243992665221</v>
      </c>
      <c r="I12" s="3"/>
      <c r="J12" s="3"/>
      <c r="K12" s="3"/>
      <c r="L12" s="3"/>
      <c r="M12" s="3"/>
      <c r="N12" s="3"/>
    </row>
    <row r="13" spans="2:14" s="2" customFormat="1">
      <c r="B13" s="185" t="s">
        <v>18</v>
      </c>
      <c r="C13" s="179">
        <v>57451</v>
      </c>
      <c r="D13" s="180">
        <v>26</v>
      </c>
      <c r="E13" s="186">
        <v>184.13782051282053</v>
      </c>
      <c r="F13" s="179">
        <f t="shared" si="0"/>
        <v>64882.195669540888</v>
      </c>
      <c r="G13" s="198">
        <f t="shared" si="1"/>
        <v>207.95575535109259</v>
      </c>
      <c r="I13" s="3"/>
      <c r="J13" s="3"/>
      <c r="K13" s="3"/>
      <c r="L13" s="3"/>
      <c r="M13" s="3"/>
      <c r="N13" s="3"/>
    </row>
    <row r="14" spans="2:14" s="2" customFormat="1">
      <c r="B14" s="185" t="s">
        <v>6</v>
      </c>
      <c r="C14" s="179">
        <v>71184.882899999997</v>
      </c>
      <c r="D14" s="180">
        <v>30</v>
      </c>
      <c r="E14" s="186">
        <v>197.73578583333332</v>
      </c>
      <c r="F14" s="179">
        <f t="shared" si="0"/>
        <v>80392.534525615833</v>
      </c>
      <c r="G14" s="198">
        <f t="shared" si="1"/>
        <v>223.3125959044884</v>
      </c>
      <c r="I14" s="3"/>
      <c r="J14" s="3"/>
      <c r="K14" s="3"/>
      <c r="L14" s="3"/>
      <c r="M14" s="3"/>
      <c r="N14" s="3"/>
    </row>
    <row r="15" spans="2:14" s="2" customFormat="1">
      <c r="B15" s="185" t="s">
        <v>7</v>
      </c>
      <c r="C15" s="179">
        <v>196963</v>
      </c>
      <c r="D15" s="180">
        <v>86</v>
      </c>
      <c r="E15" s="186">
        <v>190.85562015503876</v>
      </c>
      <c r="F15" s="179">
        <f t="shared" si="0"/>
        <v>222439.8514501015</v>
      </c>
      <c r="G15" s="198">
        <f t="shared" si="1"/>
        <v>215.54249171521465</v>
      </c>
      <c r="I15" s="3"/>
      <c r="J15" s="3"/>
      <c r="K15" s="3"/>
      <c r="L15" s="3"/>
      <c r="M15" s="3"/>
      <c r="N15" s="3"/>
    </row>
    <row r="16" spans="2:14" s="2" customFormat="1" ht="15.75" thickBot="1">
      <c r="B16" s="196" t="s">
        <v>8</v>
      </c>
      <c r="C16" s="181">
        <v>31248</v>
      </c>
      <c r="D16" s="182">
        <v>17</v>
      </c>
      <c r="E16" s="197">
        <v>153.17647058823528</v>
      </c>
      <c r="F16" s="181">
        <f t="shared" si="0"/>
        <v>35289.8792063117</v>
      </c>
      <c r="G16" s="199">
        <f t="shared" si="1"/>
        <v>172.9896039525083</v>
      </c>
      <c r="I16" s="3"/>
      <c r="J16" s="3"/>
      <c r="K16" s="3"/>
      <c r="L16" s="3"/>
      <c r="M16" s="3"/>
      <c r="N16" s="3"/>
    </row>
    <row r="17" spans="2:14" s="2" customFormat="1" ht="15.75" thickTop="1">
      <c r="B17" s="193" t="s">
        <v>9</v>
      </c>
      <c r="C17" s="183">
        <f>SUM(C4:C16)</f>
        <v>1002171.5246</v>
      </c>
      <c r="D17" s="184">
        <f>SUM(D4:D16)</f>
        <v>447</v>
      </c>
      <c r="E17" s="194"/>
      <c r="F17" s="183">
        <f>SUM(F4:F16)</f>
        <v>1131800.8207609842</v>
      </c>
      <c r="G17" s="195"/>
      <c r="I17" s="3"/>
      <c r="J17" s="3"/>
      <c r="K17" s="3"/>
      <c r="L17" s="3"/>
      <c r="M17" s="3"/>
      <c r="N17" s="3"/>
    </row>
    <row r="18" spans="2:14" s="2" customFormat="1">
      <c r="B18" s="185" t="s">
        <v>215</v>
      </c>
      <c r="C18" s="187"/>
      <c r="D18" s="188"/>
      <c r="E18" s="186">
        <f>AVERAGE(E4:E16)</f>
        <v>186.79628863084548</v>
      </c>
      <c r="F18" s="186"/>
      <c r="G18" s="198">
        <f>AVERAGE(G4:G16)</f>
        <v>210.95809210093037</v>
      </c>
      <c r="I18" s="3"/>
      <c r="J18" s="3"/>
      <c r="K18" s="3"/>
      <c r="L18" s="3"/>
      <c r="M18" s="3"/>
      <c r="N18" s="3"/>
    </row>
    <row r="19" spans="2:14" s="2" customFormat="1">
      <c r="B19" s="185" t="s">
        <v>10</v>
      </c>
      <c r="C19" s="187"/>
      <c r="D19" s="188"/>
      <c r="E19" s="186">
        <f>+C17/D17/12</f>
        <v>186.83287184936614</v>
      </c>
      <c r="F19" s="186"/>
      <c r="G19" s="198">
        <f>F17/D17/12</f>
        <v>210.99940730070549</v>
      </c>
      <c r="I19" s="3"/>
      <c r="J19" s="3"/>
      <c r="K19" s="3"/>
      <c r="L19" s="3"/>
      <c r="M19" s="3"/>
      <c r="N19" s="3"/>
    </row>
    <row r="20" spans="2:14" s="2" customFormat="1">
      <c r="B20" s="189" t="s">
        <v>249</v>
      </c>
      <c r="C20" s="190" t="e">
        <f>#REF!</f>
        <v>#REF!</v>
      </c>
      <c r="D20" s="191"/>
      <c r="E20" s="192" t="e">
        <f>#REF!*(1+C20)</f>
        <v>#REF!</v>
      </c>
      <c r="F20" s="392">
        <f>[2]CAF!BT24</f>
        <v>1.8120393120392975E-2</v>
      </c>
      <c r="G20" s="200">
        <f>G18*(F20+1)-0.01</f>
        <v>214.77073566172731</v>
      </c>
      <c r="H20"/>
      <c r="I20" s="175"/>
      <c r="J20" s="175"/>
      <c r="K20" s="175"/>
      <c r="L20" s="175"/>
      <c r="M20" s="175"/>
      <c r="N20" s="3"/>
    </row>
    <row r="21" spans="2:14" s="2" customFormat="1">
      <c r="B21"/>
      <c r="C21"/>
      <c r="D21" s="119"/>
      <c r="E21"/>
      <c r="F21"/>
      <c r="G21"/>
      <c r="H21"/>
      <c r="I21" s="175"/>
      <c r="J21" s="175"/>
      <c r="K21" s="175"/>
      <c r="L21" s="175"/>
      <c r="M21" s="175"/>
      <c r="N21" s="3"/>
    </row>
    <row r="22" spans="2:14" s="2" customFormat="1">
      <c r="B22"/>
      <c r="C22"/>
      <c r="D22" s="119"/>
      <c r="E22"/>
      <c r="F22"/>
      <c r="G22"/>
      <c r="H22"/>
      <c r="I22" s="175"/>
      <c r="J22" s="175"/>
      <c r="K22" s="175"/>
      <c r="L22" s="175"/>
      <c r="M22" s="175"/>
      <c r="N22" s="3"/>
    </row>
    <row r="23" spans="2:14" s="2" customFormat="1">
      <c r="B23"/>
      <c r="C23"/>
      <c r="D23" s="119"/>
      <c r="E23"/>
      <c r="F23"/>
      <c r="G23"/>
      <c r="H23"/>
      <c r="I23" s="175"/>
      <c r="J23" s="175"/>
      <c r="K23" s="175"/>
      <c r="L23" s="175"/>
      <c r="M23" s="175"/>
      <c r="N23" s="3"/>
    </row>
    <row r="24" spans="2:14" s="2" customFormat="1">
      <c r="B24"/>
      <c r="C24"/>
      <c r="D24" s="119"/>
      <c r="E24"/>
      <c r="F24"/>
      <c r="G24"/>
      <c r="H24"/>
      <c r="I24" s="175"/>
      <c r="J24" s="175"/>
      <c r="K24" s="175"/>
      <c r="L24" s="175"/>
      <c r="M24" s="175"/>
      <c r="N24" s="3"/>
    </row>
    <row r="25" spans="2:14" s="2" customFormat="1">
      <c r="B25"/>
      <c r="C25"/>
      <c r="D25" s="119"/>
      <c r="E25"/>
      <c r="F25"/>
      <c r="G25"/>
      <c r="H25"/>
      <c r="I25" s="175"/>
      <c r="J25" s="175"/>
      <c r="K25" s="175"/>
      <c r="L25" s="175"/>
      <c r="M25" s="175"/>
      <c r="N25" s="3"/>
    </row>
    <row r="26" spans="2:14" s="2" customFormat="1">
      <c r="B26"/>
      <c r="C26"/>
      <c r="D26" s="119"/>
      <c r="E26"/>
      <c r="F26"/>
      <c r="G26"/>
      <c r="H26"/>
      <c r="I26" s="175"/>
      <c r="J26" s="175"/>
      <c r="K26" s="175"/>
      <c r="L26" s="175"/>
      <c r="M26" s="175"/>
      <c r="N26" s="3"/>
    </row>
    <row r="27" spans="2:14" s="2" customFormat="1">
      <c r="B27"/>
      <c r="C27"/>
      <c r="D27" s="119"/>
      <c r="E27"/>
      <c r="F27"/>
      <c r="G27"/>
      <c r="H27"/>
      <c r="I27" s="175"/>
      <c r="J27" s="175"/>
      <c r="K27" s="175"/>
      <c r="L27" s="175"/>
      <c r="M27" s="175"/>
      <c r="N27" s="3"/>
    </row>
    <row r="28" spans="2:14" s="2" customFormat="1">
      <c r="B28"/>
      <c r="C28"/>
      <c r="D28" s="119"/>
      <c r="E28"/>
      <c r="F28"/>
      <c r="G28"/>
      <c r="H28"/>
      <c r="I28" s="175"/>
      <c r="J28" s="175"/>
      <c r="K28" s="175"/>
      <c r="L28" s="175"/>
      <c r="M28" s="175"/>
      <c r="N28" s="3"/>
    </row>
    <row r="29" spans="2:14" s="2" customFormat="1">
      <c r="B29"/>
      <c r="C29"/>
      <c r="D29" s="119"/>
      <c r="E29"/>
      <c r="F29"/>
      <c r="G29"/>
      <c r="H29"/>
      <c r="I29"/>
      <c r="J29"/>
      <c r="K29"/>
      <c r="L29"/>
      <c r="M29"/>
    </row>
    <row r="30" spans="2:14" s="1" customFormat="1">
      <c r="B30"/>
      <c r="C30"/>
      <c r="D30" s="119"/>
      <c r="E30"/>
      <c r="F30"/>
      <c r="G30"/>
      <c r="H30"/>
      <c r="I30"/>
      <c r="J30"/>
      <c r="K30"/>
      <c r="L30"/>
      <c r="M30"/>
    </row>
  </sheetData>
  <printOptions horizontalCentered="1" verticalCentered="1"/>
  <pageMargins left="0.75" right="0.75" top="1" bottom="1" header="0.5" footer="0.5"/>
  <pageSetup orientation="landscape" r:id="rId1"/>
  <headerFooter alignWithMargins="0">
    <oddHeader>&amp;L.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J78"/>
  <sheetViews>
    <sheetView showGridLines="0" zoomScale="73" zoomScaleNormal="73" workbookViewId="0">
      <selection activeCell="N21" sqref="N21"/>
    </sheetView>
  </sheetViews>
  <sheetFormatPr defaultColWidth="9.140625" defaultRowHeight="18.75"/>
  <cols>
    <col min="1" max="1" width="5.7109375" style="5" customWidth="1"/>
    <col min="2" max="2" width="33.5703125" style="5" customWidth="1"/>
    <col min="3" max="3" width="9.7109375" style="7" bestFit="1" customWidth="1"/>
    <col min="4" max="4" width="69" style="5" customWidth="1"/>
    <col min="5" max="5" width="5" style="5" customWidth="1"/>
    <col min="6" max="6" width="32.140625" style="5" customWidth="1"/>
    <col min="7" max="7" width="15" style="5" customWidth="1"/>
    <col min="8" max="8" width="15.140625" style="5" customWidth="1"/>
    <col min="9" max="9" width="9.7109375" style="5" bestFit="1" customWidth="1"/>
    <col min="10" max="16384" width="9.140625" style="5"/>
  </cols>
  <sheetData>
    <row r="1" spans="2:10" ht="19.5" thickBot="1">
      <c r="B1" s="318"/>
    </row>
    <row r="2" spans="2:10" ht="32.25" customHeight="1" thickBot="1">
      <c r="B2" s="634" t="s">
        <v>181</v>
      </c>
      <c r="C2" s="635"/>
      <c r="D2" s="636"/>
      <c r="E2" s="233"/>
      <c r="F2" s="634" t="s">
        <v>274</v>
      </c>
      <c r="G2" s="635"/>
      <c r="H2" s="635"/>
      <c r="I2" s="636"/>
      <c r="J2" s="234"/>
    </row>
    <row r="3" spans="2:10" ht="18.75" customHeight="1">
      <c r="B3" s="638" t="s">
        <v>43</v>
      </c>
      <c r="C3" s="639"/>
      <c r="D3" s="235" t="s">
        <v>44</v>
      </c>
      <c r="E3" s="233"/>
      <c r="F3" s="273"/>
      <c r="G3" s="637" t="s">
        <v>45</v>
      </c>
      <c r="H3" s="637"/>
      <c r="I3" s="274">
        <v>50</v>
      </c>
      <c r="J3" s="234"/>
    </row>
    <row r="4" spans="2:10" ht="18.75" customHeight="1">
      <c r="B4" s="263" t="s">
        <v>46</v>
      </c>
      <c r="C4" s="264">
        <f>35180.1006648618*(2.514%+1)</f>
        <v>36064.528395576424</v>
      </c>
      <c r="D4" s="265" t="s">
        <v>222</v>
      </c>
      <c r="E4" s="233"/>
      <c r="F4" s="275"/>
      <c r="G4" s="276"/>
      <c r="H4" s="276"/>
      <c r="I4" s="277"/>
      <c r="J4" s="234"/>
    </row>
    <row r="5" spans="2:10">
      <c r="B5" s="266" t="s">
        <v>48</v>
      </c>
      <c r="C5" s="486">
        <v>30650</v>
      </c>
      <c r="D5" s="267" t="s">
        <v>246</v>
      </c>
      <c r="E5" s="233"/>
      <c r="F5" s="278" t="s">
        <v>49</v>
      </c>
      <c r="G5" s="279" t="s">
        <v>23</v>
      </c>
      <c r="H5" s="279" t="s">
        <v>24</v>
      </c>
      <c r="I5" s="280" t="s">
        <v>25</v>
      </c>
      <c r="J5" s="234"/>
    </row>
    <row r="6" spans="2:10">
      <c r="B6" s="632" t="s">
        <v>194</v>
      </c>
      <c r="C6" s="633"/>
      <c r="D6" s="265"/>
      <c r="E6" s="233"/>
      <c r="F6" s="263" t="s">
        <v>46</v>
      </c>
      <c r="G6" s="281">
        <f>C4</f>
        <v>36064.528395576424</v>
      </c>
      <c r="H6" s="282">
        <f>C7</f>
        <v>0.5</v>
      </c>
      <c r="I6" s="283">
        <f>G6*H6</f>
        <v>18032.264197788212</v>
      </c>
      <c r="J6" s="234"/>
    </row>
    <row r="7" spans="2:10">
      <c r="B7" s="263" t="s">
        <v>46</v>
      </c>
      <c r="C7" s="268">
        <v>0.5</v>
      </c>
      <c r="D7" s="265" t="s">
        <v>50</v>
      </c>
      <c r="E7" s="233"/>
      <c r="F7" s="266" t="s">
        <v>48</v>
      </c>
      <c r="G7" s="490">
        <f>C5</f>
        <v>30650</v>
      </c>
      <c r="H7" s="284">
        <f>C8</f>
        <v>0.2</v>
      </c>
      <c r="I7" s="285">
        <f>G7*H7</f>
        <v>6130</v>
      </c>
      <c r="J7" s="234"/>
    </row>
    <row r="8" spans="2:10">
      <c r="B8" s="266" t="str">
        <f>B5</f>
        <v>Monitor</v>
      </c>
      <c r="C8" s="269">
        <v>0.2</v>
      </c>
      <c r="D8" s="267" t="s">
        <v>50</v>
      </c>
      <c r="E8" s="233"/>
      <c r="F8" s="286" t="s">
        <v>51</v>
      </c>
      <c r="G8" s="276"/>
      <c r="H8" s="282">
        <f>SUM(H6:H7)</f>
        <v>0.7</v>
      </c>
      <c r="I8" s="283">
        <f>I6+I7</f>
        <v>24162.264197788212</v>
      </c>
      <c r="J8" s="234"/>
    </row>
    <row r="9" spans="2:10">
      <c r="B9" s="632" t="s">
        <v>53</v>
      </c>
      <c r="C9" s="633"/>
      <c r="D9" s="265"/>
      <c r="E9" s="233"/>
      <c r="F9" s="286"/>
      <c r="G9" s="276"/>
      <c r="H9" s="287"/>
      <c r="I9" s="283"/>
      <c r="J9" s="234"/>
    </row>
    <row r="10" spans="2:10" ht="15.75" customHeight="1" thickBot="1">
      <c r="B10" s="263" t="s">
        <v>55</v>
      </c>
      <c r="C10" s="487">
        <f>'[3]MM Clean Data'!BN3</f>
        <v>0.20800050160095318</v>
      </c>
      <c r="D10" s="265" t="s">
        <v>47</v>
      </c>
      <c r="E10" s="233"/>
      <c r="F10" s="288" t="s">
        <v>56</v>
      </c>
      <c r="G10" s="289">
        <f>C10</f>
        <v>0.20800050160095318</v>
      </c>
      <c r="H10" s="290"/>
      <c r="I10" s="291">
        <f>G10*I8</f>
        <v>5025.7630729547009</v>
      </c>
      <c r="J10" s="234"/>
    </row>
    <row r="11" spans="2:10" ht="20.25" thickTop="1" thickBot="1">
      <c r="B11" s="263" t="s">
        <v>52</v>
      </c>
      <c r="C11" s="264">
        <f>1221.15615824984*(2.514%+1)</f>
        <v>1251.8560240682409</v>
      </c>
      <c r="D11" s="265" t="s">
        <v>221</v>
      </c>
      <c r="E11" s="233"/>
      <c r="F11" s="292" t="s">
        <v>66</v>
      </c>
      <c r="G11" s="293"/>
      <c r="H11" s="293"/>
      <c r="I11" s="294">
        <f>I8+I10</f>
        <v>29188.027270742914</v>
      </c>
      <c r="J11" s="234"/>
    </row>
    <row r="12" spans="2:10" ht="17.25" customHeight="1" thickTop="1">
      <c r="B12" s="263" t="s">
        <v>54</v>
      </c>
      <c r="C12" s="264">
        <f>2556.46409638554*(2.514%+1)</f>
        <v>2620.7336037686723</v>
      </c>
      <c r="D12" s="265" t="s">
        <v>221</v>
      </c>
      <c r="E12" s="233"/>
      <c r="F12" s="295"/>
      <c r="G12" s="296"/>
      <c r="H12" s="297"/>
      <c r="I12" s="283"/>
      <c r="J12" s="234"/>
    </row>
    <row r="13" spans="2:10" ht="15.75" customHeight="1">
      <c r="B13" s="263" t="s">
        <v>57</v>
      </c>
      <c r="C13" s="264">
        <f>918.729908474249*(2.514%+1)</f>
        <v>941.82677837329152</v>
      </c>
      <c r="D13" s="265" t="s">
        <v>221</v>
      </c>
      <c r="E13" s="233"/>
      <c r="F13" s="263" t="s">
        <v>52</v>
      </c>
      <c r="G13" s="276"/>
      <c r="H13" s="298"/>
      <c r="I13" s="299">
        <f>C11*H8</f>
        <v>876.29921684776855</v>
      </c>
      <c r="J13" s="234"/>
    </row>
    <row r="14" spans="2:10">
      <c r="B14" s="263" t="s">
        <v>230</v>
      </c>
      <c r="C14" s="487">
        <v>6.3E-3</v>
      </c>
      <c r="D14" s="265" t="s">
        <v>250</v>
      </c>
      <c r="E14" s="233"/>
      <c r="F14" s="263" t="s">
        <v>54</v>
      </c>
      <c r="G14" s="276"/>
      <c r="H14" s="300"/>
      <c r="I14" s="301">
        <f>C12*H8</f>
        <v>1834.5135226380705</v>
      </c>
      <c r="J14" s="234"/>
    </row>
    <row r="15" spans="2:10" ht="19.5" thickBot="1">
      <c r="B15" s="270" t="s">
        <v>59</v>
      </c>
      <c r="C15" s="488">
        <f>'[3]MM Clean Data'!CX3</f>
        <v>0.18856714496655369</v>
      </c>
      <c r="D15" s="271" t="s">
        <v>47</v>
      </c>
      <c r="E15" s="233"/>
      <c r="F15" s="263" t="s">
        <v>57</v>
      </c>
      <c r="G15" s="276"/>
      <c r="H15" s="300"/>
      <c r="I15" s="301">
        <f>C13*H8</f>
        <v>659.27874486130406</v>
      </c>
      <c r="J15" s="234"/>
    </row>
    <row r="16" spans="2:10" ht="19.5" thickBot="1">
      <c r="B16" s="270" t="s">
        <v>218</v>
      </c>
      <c r="C16" s="489">
        <f>CAF!BT24</f>
        <v>1.8120393120392975E-2</v>
      </c>
      <c r="D16" s="272" t="s">
        <v>223</v>
      </c>
      <c r="E16" s="236"/>
      <c r="F16" s="278" t="s">
        <v>60</v>
      </c>
      <c r="G16" s="302"/>
      <c r="H16" s="303"/>
      <c r="I16" s="304">
        <f>SUM(I11:I15)</f>
        <v>32558.118755090058</v>
      </c>
      <c r="J16" s="234"/>
    </row>
    <row r="17" spans="2:10">
      <c r="B17" s="233"/>
      <c r="C17" s="237"/>
      <c r="D17" s="238"/>
      <c r="E17" s="236"/>
      <c r="F17" s="286"/>
      <c r="G17" s="302"/>
      <c r="H17" s="276"/>
      <c r="I17" s="283"/>
      <c r="J17" s="234"/>
    </row>
    <row r="18" spans="2:10" ht="16.5" customHeight="1">
      <c r="B18" s="236"/>
      <c r="C18" s="239"/>
      <c r="D18" s="240"/>
      <c r="E18" s="236"/>
      <c r="F18" s="263" t="s">
        <v>61</v>
      </c>
      <c r="G18" s="305">
        <v>0.18856714496655369</v>
      </c>
      <c r="H18" s="276"/>
      <c r="I18" s="283">
        <f>G18*I16</f>
        <v>6139.3914991293377</v>
      </c>
      <c r="J18" s="234"/>
    </row>
    <row r="19" spans="2:10" ht="19.5" thickBot="1">
      <c r="B19" s="241"/>
      <c r="C19" s="242"/>
      <c r="D19" s="240"/>
      <c r="E19" s="236"/>
      <c r="F19" s="306" t="s">
        <v>251</v>
      </c>
      <c r="G19" s="307"/>
      <c r="H19" s="307"/>
      <c r="I19" s="308">
        <f>I16+I18</f>
        <v>38697.510254219393</v>
      </c>
      <c r="J19" s="234"/>
    </row>
    <row r="20" spans="2:10" ht="22.9" customHeight="1" thickTop="1">
      <c r="B20" s="241"/>
      <c r="C20" s="243"/>
      <c r="D20" s="244"/>
      <c r="E20" s="236"/>
      <c r="F20" s="309" t="s">
        <v>19</v>
      </c>
      <c r="G20" s="491">
        <f>C16</f>
        <v>1.8120393120392975E-2</v>
      </c>
      <c r="H20" s="310"/>
      <c r="I20" s="311">
        <f>I19*G20</f>
        <v>701.21409858689367</v>
      </c>
      <c r="J20" s="234"/>
    </row>
    <row r="21" spans="2:10" ht="21" customHeight="1">
      <c r="B21" s="245"/>
      <c r="C21" s="243"/>
      <c r="D21" s="246"/>
      <c r="E21" s="247"/>
      <c r="F21" s="492" t="str">
        <f>B14</f>
        <v>PFLMA Trust Contribution</v>
      </c>
      <c r="G21" s="493">
        <f>C14</f>
        <v>6.3E-3</v>
      </c>
      <c r="H21" s="494"/>
      <c r="I21" s="495">
        <f>I8*(G20+1)*G21</f>
        <v>154.98059171950487</v>
      </c>
      <c r="J21" s="234"/>
    </row>
    <row r="22" spans="2:10" ht="21" customHeight="1" thickBot="1">
      <c r="B22" s="482"/>
      <c r="C22" s="483"/>
      <c r="D22" s="484"/>
      <c r="E22" s="247"/>
      <c r="F22" s="312" t="s">
        <v>9</v>
      </c>
      <c r="G22" s="313"/>
      <c r="H22" s="314"/>
      <c r="I22" s="308">
        <f>I19+I20+I21</f>
        <v>39553.704944525787</v>
      </c>
      <c r="J22" s="234"/>
    </row>
    <row r="23" spans="2:10" ht="22.5" customHeight="1" thickTop="1" thickBot="1">
      <c r="B23" s="252"/>
      <c r="C23" s="485"/>
      <c r="D23" s="252"/>
      <c r="E23" s="248"/>
      <c r="F23" s="315" t="s">
        <v>78</v>
      </c>
      <c r="G23" s="316"/>
      <c r="H23" s="316"/>
      <c r="I23" s="317">
        <f>I22/I3/12</f>
        <v>65.922841574209642</v>
      </c>
      <c r="J23" s="250"/>
    </row>
    <row r="24" spans="2:10" ht="15" customHeight="1">
      <c r="B24" s="250"/>
      <c r="C24" s="249"/>
      <c r="D24" s="250"/>
      <c r="E24" s="248"/>
      <c r="F24" s="250"/>
      <c r="G24" s="250"/>
      <c r="H24" s="250"/>
      <c r="I24" s="250"/>
      <c r="J24" s="250"/>
    </row>
    <row r="25" spans="2:10" ht="14.45" customHeight="1">
      <c r="B25" s="252"/>
      <c r="C25" s="249"/>
      <c r="D25" s="250"/>
      <c r="E25" s="248"/>
      <c r="F25" s="250"/>
      <c r="G25" s="250"/>
      <c r="H25" s="250"/>
      <c r="I25" s="250"/>
      <c r="J25" s="250"/>
    </row>
    <row r="26" spans="2:10" ht="14.45" customHeight="1">
      <c r="B26" s="252"/>
      <c r="C26" s="249"/>
      <c r="D26" s="250"/>
      <c r="E26" s="248"/>
      <c r="F26" s="250"/>
      <c r="G26" s="250"/>
      <c r="H26" s="250"/>
      <c r="I26" s="250"/>
      <c r="J26" s="250"/>
    </row>
    <row r="27" spans="2:10" ht="14.45" customHeight="1">
      <c r="B27" s="250"/>
      <c r="C27" s="249"/>
      <c r="D27" s="250"/>
      <c r="E27" s="248"/>
      <c r="F27" s="250"/>
      <c r="G27" s="250"/>
      <c r="H27" s="250"/>
      <c r="I27" s="251"/>
      <c r="J27" s="250"/>
    </row>
    <row r="28" spans="2:10" ht="14.45" customHeight="1">
      <c r="E28" s="6"/>
    </row>
    <row r="29" spans="2:10" ht="14.45" customHeight="1">
      <c r="E29" s="6"/>
    </row>
    <row r="30" spans="2:10" ht="14.45" customHeight="1"/>
    <row r="31" spans="2:10" ht="14.45" customHeight="1"/>
    <row r="32" spans="2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9" ht="19.5" customHeight="1"/>
    <row r="50" ht="18.75" customHeight="1"/>
    <row r="60" ht="15.75" customHeight="1"/>
    <row r="73" spans="2:10" s="8" customFormat="1">
      <c r="B73" s="5"/>
      <c r="C73" s="7"/>
      <c r="D73" s="5"/>
      <c r="E73" s="5"/>
      <c r="F73" s="5"/>
      <c r="G73" s="5"/>
      <c r="H73" s="5"/>
      <c r="I73" s="5"/>
      <c r="J73" s="5"/>
    </row>
    <row r="74" spans="2:10" s="8" customFormat="1">
      <c r="B74" s="5"/>
      <c r="C74" s="7"/>
      <c r="D74" s="5"/>
      <c r="E74" s="5"/>
      <c r="F74" s="5"/>
      <c r="G74" s="5"/>
      <c r="H74" s="5"/>
      <c r="I74" s="5"/>
      <c r="J74" s="5"/>
    </row>
    <row r="75" spans="2:10" s="8" customFormat="1">
      <c r="B75" s="5"/>
      <c r="C75" s="7"/>
      <c r="D75" s="5"/>
      <c r="E75" s="5"/>
      <c r="F75" s="5"/>
      <c r="G75" s="5"/>
      <c r="H75" s="5"/>
      <c r="I75" s="5"/>
      <c r="J75" s="5"/>
    </row>
    <row r="76" spans="2:10" s="8" customFormat="1">
      <c r="B76" s="5"/>
      <c r="C76" s="7"/>
      <c r="D76" s="5"/>
      <c r="E76" s="5"/>
      <c r="F76" s="5"/>
      <c r="G76" s="5"/>
      <c r="H76" s="5"/>
      <c r="I76" s="5"/>
      <c r="J76" s="5"/>
    </row>
    <row r="77" spans="2:10" s="8" customFormat="1">
      <c r="B77" s="5"/>
      <c r="C77" s="7"/>
      <c r="D77" s="5"/>
      <c r="E77" s="5"/>
      <c r="F77" s="5"/>
      <c r="G77" s="5"/>
      <c r="H77" s="5"/>
      <c r="I77" s="5"/>
      <c r="J77" s="5"/>
    </row>
    <row r="78" spans="2:10" s="8" customFormat="1">
      <c r="B78" s="5"/>
      <c r="C78" s="7"/>
      <c r="D78" s="5"/>
      <c r="E78" s="5"/>
      <c r="F78" s="5"/>
      <c r="G78" s="5"/>
      <c r="H78" s="5"/>
      <c r="I78" s="5"/>
      <c r="J78" s="5"/>
    </row>
  </sheetData>
  <mergeCells count="6">
    <mergeCell ref="B9:C9"/>
    <mergeCell ref="F2:I2"/>
    <mergeCell ref="G3:H3"/>
    <mergeCell ref="B3:C3"/>
    <mergeCell ref="B2:D2"/>
    <mergeCell ref="B6:C6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N45"/>
  <sheetViews>
    <sheetView showGridLines="0" zoomScale="80" zoomScaleNormal="80" workbookViewId="0">
      <selection activeCell="B2" sqref="B2:J23"/>
    </sheetView>
  </sheetViews>
  <sheetFormatPr defaultColWidth="9.140625" defaultRowHeight="12.75"/>
  <cols>
    <col min="1" max="1" width="5.7109375" style="115" customWidth="1"/>
    <col min="2" max="2" width="30.7109375" style="115" customWidth="1"/>
    <col min="3" max="3" width="15.85546875" style="115" customWidth="1"/>
    <col min="4" max="4" width="38" style="115" customWidth="1"/>
    <col min="5" max="5" width="20.140625" style="115" customWidth="1"/>
    <col min="6" max="6" width="7.7109375" style="115" customWidth="1"/>
    <col min="7" max="7" width="26.28515625" style="115" customWidth="1"/>
    <col min="8" max="8" width="14" style="115" customWidth="1"/>
    <col min="9" max="9" width="23" style="115" customWidth="1"/>
    <col min="10" max="10" width="14.7109375" style="115" customWidth="1"/>
    <col min="11" max="15" width="9.140625" style="115"/>
    <col min="16" max="16" width="5.7109375" style="115" customWidth="1"/>
    <col min="17" max="16384" width="9.140625" style="115"/>
  </cols>
  <sheetData>
    <row r="1" spans="2:10" ht="15" customHeight="1" thickBot="1">
      <c r="B1" s="642"/>
      <c r="C1" s="643"/>
      <c r="D1" s="643"/>
      <c r="E1" s="643"/>
      <c r="F1" s="643"/>
      <c r="G1" s="643"/>
      <c r="H1" s="643"/>
      <c r="I1" s="643"/>
      <c r="J1" s="643"/>
    </row>
    <row r="2" spans="2:10" s="117" customFormat="1" ht="18.75" customHeight="1" thickBot="1">
      <c r="B2" s="644" t="s">
        <v>276</v>
      </c>
      <c r="C2" s="645"/>
      <c r="D2" s="645"/>
      <c r="E2" s="646"/>
      <c r="G2" s="644" t="s">
        <v>275</v>
      </c>
      <c r="H2" s="645"/>
      <c r="I2" s="645"/>
      <c r="J2" s="646"/>
    </row>
    <row r="3" spans="2:10" ht="15.75" customHeight="1">
      <c r="B3" s="647" t="s">
        <v>188</v>
      </c>
      <c r="C3" s="648"/>
      <c r="D3" s="393" t="s">
        <v>44</v>
      </c>
      <c r="E3" s="394"/>
      <c r="F3" s="35"/>
      <c r="G3" s="395" t="s">
        <v>189</v>
      </c>
      <c r="H3" s="396"/>
      <c r="I3" s="397" t="s">
        <v>225</v>
      </c>
      <c r="J3" s="398">
        <v>153</v>
      </c>
    </row>
    <row r="4" spans="2:10" ht="16.5" customHeight="1">
      <c r="B4" s="399" t="s">
        <v>226</v>
      </c>
      <c r="C4" s="400">
        <f>86029*(1.61%+1)*(2.51%+1)</f>
        <v>89608.159979189993</v>
      </c>
      <c r="D4" s="401" t="s">
        <v>263</v>
      </c>
      <c r="E4" s="402"/>
      <c r="F4" s="35"/>
      <c r="G4" s="403" t="s">
        <v>49</v>
      </c>
      <c r="H4" s="404" t="s">
        <v>24</v>
      </c>
      <c r="I4" s="404" t="s">
        <v>23</v>
      </c>
      <c r="J4" s="405" t="s">
        <v>25</v>
      </c>
    </row>
    <row r="5" spans="2:10" ht="33.6" customHeight="1">
      <c r="B5" s="406" t="s">
        <v>190</v>
      </c>
      <c r="C5" s="407">
        <f>48237*(1.61%+1)*(2.51%+1)</f>
        <v>50243.857454069999</v>
      </c>
      <c r="D5" s="653" t="s">
        <v>265</v>
      </c>
      <c r="E5" s="654"/>
      <c r="F5" s="35"/>
      <c r="G5" s="408" t="str">
        <f t="shared" ref="G5:G7" si="0">B4</f>
        <v>Management Oversight</v>
      </c>
      <c r="H5" s="409">
        <v>3</v>
      </c>
      <c r="I5" s="410">
        <f>C4</f>
        <v>89608.159979189993</v>
      </c>
      <c r="J5" s="411">
        <f>H5*I5</f>
        <v>268824.47993756999</v>
      </c>
    </row>
    <row r="6" spans="2:10" ht="21" customHeight="1">
      <c r="B6" s="412" t="s">
        <v>64</v>
      </c>
      <c r="C6" s="413">
        <f>38896*(1.61%+1)*(2.51%+1)</f>
        <v>40514.233462559991</v>
      </c>
      <c r="D6" s="414" t="s">
        <v>264</v>
      </c>
      <c r="E6" s="415"/>
      <c r="F6" s="35"/>
      <c r="G6" s="408" t="str">
        <f t="shared" si="0"/>
        <v>Service Specialist Blend</v>
      </c>
      <c r="H6" s="409">
        <v>7</v>
      </c>
      <c r="I6" s="416">
        <f>C5</f>
        <v>50243.857454069999</v>
      </c>
      <c r="J6" s="411">
        <f>H6*I6</f>
        <v>351707.00217848999</v>
      </c>
    </row>
    <row r="7" spans="2:10" ht="14.25" customHeight="1">
      <c r="B7" s="649" t="s">
        <v>191</v>
      </c>
      <c r="C7" s="650"/>
      <c r="D7" s="417"/>
      <c r="E7" s="418"/>
      <c r="F7" s="35"/>
      <c r="G7" s="419" t="str">
        <f t="shared" si="0"/>
        <v>Support</v>
      </c>
      <c r="H7" s="420">
        <v>3</v>
      </c>
      <c r="I7" s="421">
        <f>C6</f>
        <v>40514.233462559991</v>
      </c>
      <c r="J7" s="422">
        <f>H7*I7</f>
        <v>121542.70038767997</v>
      </c>
    </row>
    <row r="8" spans="2:10" ht="15">
      <c r="B8" s="399" t="str">
        <f>B4</f>
        <v>Management Oversight</v>
      </c>
      <c r="C8" s="423"/>
      <c r="D8" s="417"/>
      <c r="E8" s="418"/>
      <c r="F8" s="35"/>
      <c r="G8" s="424" t="s">
        <v>51</v>
      </c>
      <c r="H8" s="425">
        <f>SUM(H5:H7)</f>
        <v>13</v>
      </c>
      <c r="I8" s="426"/>
      <c r="J8" s="427">
        <f>SUM(J5:J7)</f>
        <v>742074.18250373995</v>
      </c>
    </row>
    <row r="9" spans="2:10" ht="15">
      <c r="B9" s="399" t="str">
        <f>B5</f>
        <v>Service Specialist Blend</v>
      </c>
      <c r="C9" s="423"/>
      <c r="D9" s="417"/>
      <c r="E9" s="418"/>
      <c r="F9" s="35"/>
      <c r="G9" s="424"/>
      <c r="H9" s="428"/>
      <c r="I9" s="429"/>
      <c r="J9" s="430"/>
    </row>
    <row r="10" spans="2:10" ht="13.5" customHeight="1" thickBot="1">
      <c r="B10" s="412" t="str">
        <f>B6</f>
        <v>Support</v>
      </c>
      <c r="C10" s="431"/>
      <c r="D10" s="432"/>
      <c r="E10" s="433"/>
      <c r="F10" s="35"/>
      <c r="G10" s="434" t="str">
        <f>B14</f>
        <v>Tax &amp; Fringe</v>
      </c>
      <c r="H10" s="435"/>
      <c r="I10" s="436">
        <f>C14</f>
        <v>0.24940000000000001</v>
      </c>
      <c r="J10" s="437">
        <f>J8*I10</f>
        <v>185073.30111643276</v>
      </c>
    </row>
    <row r="11" spans="2:10" ht="16.5" thickTop="1" thickBot="1">
      <c r="B11" s="651" t="s">
        <v>192</v>
      </c>
      <c r="C11" s="652"/>
      <c r="D11" s="417"/>
      <c r="E11" s="418"/>
      <c r="F11" s="35"/>
      <c r="G11" s="438" t="s">
        <v>58</v>
      </c>
      <c r="H11" s="439"/>
      <c r="I11" s="440"/>
      <c r="J11" s="441">
        <f>SUM(J8:J10)</f>
        <v>927147.48362017272</v>
      </c>
    </row>
    <row r="12" spans="2:10" ht="16.5" thickTop="1" thickBot="1">
      <c r="B12" s="399" t="s">
        <v>193</v>
      </c>
      <c r="C12" s="442">
        <v>12.75</v>
      </c>
      <c r="D12" s="417"/>
      <c r="E12" s="418"/>
      <c r="F12" s="35"/>
      <c r="G12" s="443"/>
      <c r="H12" s="444"/>
      <c r="I12" s="445" t="s">
        <v>37</v>
      </c>
      <c r="J12" s="430"/>
    </row>
    <row r="13" spans="2:10" ht="15">
      <c r="B13" s="640" t="s">
        <v>53</v>
      </c>
      <c r="C13" s="641"/>
      <c r="D13" s="446"/>
      <c r="E13" s="447"/>
      <c r="F13" s="35"/>
      <c r="G13" s="448" t="str">
        <f>B15</f>
        <v>Occupancy (Per FTE)</v>
      </c>
      <c r="H13" s="449"/>
      <c r="I13" s="416">
        <f>C15</f>
        <v>3006.0694614599993</v>
      </c>
      <c r="J13" s="430">
        <f>I13*H8</f>
        <v>39078.902998979989</v>
      </c>
    </row>
    <row r="14" spans="2:10" ht="23.45" customHeight="1">
      <c r="B14" s="450" t="s">
        <v>55</v>
      </c>
      <c r="C14" s="451">
        <v>0.24940000000000001</v>
      </c>
      <c r="D14" s="452" t="s">
        <v>231</v>
      </c>
      <c r="E14" s="418"/>
      <c r="F14" s="35"/>
      <c r="G14" s="448" t="str">
        <f>B17</f>
        <v>Staff Training per FTE</v>
      </c>
      <c r="H14" s="449"/>
      <c r="I14" s="416">
        <f>C17</f>
        <v>403.10079056999996</v>
      </c>
      <c r="J14" s="430">
        <f>I14*H8</f>
        <v>5240.3102774099998</v>
      </c>
    </row>
    <row r="15" spans="2:10" ht="15">
      <c r="B15" s="453" t="s">
        <v>54</v>
      </c>
      <c r="C15" s="454">
        <f>2886*(1.61%+1)*(2.51%+1)</f>
        <v>3006.0694614599993</v>
      </c>
      <c r="D15" s="455" t="s">
        <v>263</v>
      </c>
      <c r="E15" s="418"/>
      <c r="F15" s="35"/>
      <c r="G15" s="448" t="str">
        <f>B18</f>
        <v>Other expenses (per client)</v>
      </c>
      <c r="H15" s="449"/>
      <c r="I15" s="416">
        <f>C18</f>
        <v>1154.75</v>
      </c>
      <c r="J15" s="430">
        <f>I15*J3</f>
        <v>176676.75</v>
      </c>
    </row>
    <row r="16" spans="2:10" ht="15">
      <c r="B16" s="453"/>
      <c r="C16" s="454"/>
      <c r="D16" s="452"/>
      <c r="E16" s="418"/>
      <c r="F16" s="35"/>
      <c r="G16" s="456" t="s">
        <v>60</v>
      </c>
      <c r="H16" s="457"/>
      <c r="I16" s="458"/>
      <c r="J16" s="459">
        <f>SUM(J11:J15)</f>
        <v>1148143.4468965628</v>
      </c>
    </row>
    <row r="17" spans="2:13" ht="15">
      <c r="B17" s="453" t="s">
        <v>269</v>
      </c>
      <c r="C17" s="454">
        <f>387*(1.61%+1)*(2.51%+1)</f>
        <v>403.10079056999996</v>
      </c>
      <c r="D17" s="455" t="s">
        <v>263</v>
      </c>
      <c r="E17" s="418"/>
      <c r="F17" s="35"/>
      <c r="G17" s="424"/>
      <c r="H17" s="460"/>
      <c r="I17" s="461"/>
      <c r="J17" s="430"/>
    </row>
    <row r="18" spans="2:13" ht="25.15" customHeight="1">
      <c r="B18" s="453" t="s">
        <v>227</v>
      </c>
      <c r="C18" s="454">
        <f>551+603.75</f>
        <v>1154.75</v>
      </c>
      <c r="D18" s="462" t="s">
        <v>270</v>
      </c>
      <c r="E18" s="463"/>
      <c r="F18" s="35"/>
      <c r="G18" s="448" t="str">
        <f>B19</f>
        <v>Admin. Allocation</v>
      </c>
      <c r="H18" s="449"/>
      <c r="I18" s="378">
        <f>C19</f>
        <v>0.1477</v>
      </c>
      <c r="J18" s="430">
        <f>J16*I18</f>
        <v>169580.78710662233</v>
      </c>
    </row>
    <row r="19" spans="2:13" ht="18.600000000000001" customHeight="1" thickBot="1">
      <c r="B19" s="453" t="s">
        <v>61</v>
      </c>
      <c r="C19" s="451">
        <v>0.1477</v>
      </c>
      <c r="D19" s="462" t="str">
        <f>D14</f>
        <v xml:space="preserve">Benchmarked to 101 CMR 417 </v>
      </c>
      <c r="E19" s="463"/>
      <c r="F19" s="35"/>
      <c r="G19" s="464" t="s">
        <v>251</v>
      </c>
      <c r="H19" s="465"/>
      <c r="I19" s="466"/>
      <c r="J19" s="467">
        <f>SUM(J16:J18)</f>
        <v>1317724.2340031851</v>
      </c>
    </row>
    <row r="20" spans="2:13" ht="15.75" thickTop="1">
      <c r="B20" s="453" t="s">
        <v>230</v>
      </c>
      <c r="C20" s="468">
        <v>6.3E-3</v>
      </c>
      <c r="D20" s="462" t="s">
        <v>250</v>
      </c>
      <c r="E20" s="463"/>
      <c r="F20" s="35"/>
      <c r="G20" s="448" t="s">
        <v>19</v>
      </c>
      <c r="H20" s="449"/>
      <c r="I20" s="378">
        <f>C21</f>
        <v>1.8120393120392975E-2</v>
      </c>
      <c r="J20" s="427">
        <f>J19*I20</f>
        <v>23877.681144406419</v>
      </c>
    </row>
    <row r="21" spans="2:13" ht="15.75" thickBot="1">
      <c r="B21" s="469" t="s">
        <v>228</v>
      </c>
      <c r="C21" s="470">
        <f>CAF!BT24</f>
        <v>1.8120393120392975E-2</v>
      </c>
      <c r="D21" s="471" t="s">
        <v>217</v>
      </c>
      <c r="E21" s="472"/>
      <c r="F21" s="473"/>
      <c r="G21" s="474" t="str">
        <f>B20</f>
        <v>PFLMA Trust Contribution</v>
      </c>
      <c r="H21" s="475"/>
      <c r="I21" s="386">
        <f>C20</f>
        <v>6.3E-3</v>
      </c>
      <c r="J21" s="476">
        <f>J8*(I20+1)*I21</f>
        <v>4759.7814080157723</v>
      </c>
    </row>
    <row r="22" spans="2:13" ht="15.75" thickBot="1">
      <c r="B22" s="477"/>
      <c r="C22" s="478"/>
      <c r="D22" s="417"/>
      <c r="E22" s="417"/>
      <c r="F22" s="35"/>
      <c r="G22" s="464" t="s">
        <v>9</v>
      </c>
      <c r="H22" s="465"/>
      <c r="I22" s="479"/>
      <c r="J22" s="467">
        <f>J19+J20+J21</f>
        <v>1346361.6965556073</v>
      </c>
      <c r="L22" s="339"/>
    </row>
    <row r="23" spans="2:13" ht="16.5" thickTop="1" thickBot="1">
      <c r="B23" s="35"/>
      <c r="C23" s="35"/>
      <c r="D23" s="35"/>
      <c r="E23" s="35"/>
      <c r="F23" s="35"/>
      <c r="G23" s="32" t="s">
        <v>229</v>
      </c>
      <c r="H23" s="480"/>
      <c r="I23" s="480"/>
      <c r="J23" s="481">
        <f>J22/J3/12</f>
        <v>733.31247089085366</v>
      </c>
      <c r="M23" s="219"/>
    </row>
    <row r="24" spans="2:13" ht="18.75">
      <c r="B24" s="342"/>
      <c r="C24" s="342"/>
      <c r="D24" s="343"/>
      <c r="E24" s="342"/>
      <c r="F24" s="342"/>
      <c r="G24" s="344"/>
      <c r="H24" s="344"/>
      <c r="I24" s="342"/>
      <c r="J24" s="342"/>
      <c r="K24" s="201"/>
    </row>
    <row r="25" spans="2:13" ht="18.75">
      <c r="B25" s="342"/>
      <c r="C25" s="342"/>
      <c r="D25" s="342"/>
      <c r="E25" s="342"/>
      <c r="F25" s="342"/>
      <c r="G25" s="345"/>
      <c r="H25" s="345"/>
      <c r="I25" s="342"/>
      <c r="J25" s="342"/>
      <c r="K25" s="219"/>
    </row>
    <row r="26" spans="2:13" s="116" customFormat="1" ht="18.75">
      <c r="B26" s="346"/>
      <c r="C26" s="346"/>
      <c r="D26" s="347"/>
      <c r="E26" s="346"/>
      <c r="F26" s="346"/>
      <c r="G26" s="346"/>
      <c r="H26" s="346"/>
      <c r="I26" s="346"/>
      <c r="J26" s="346"/>
      <c r="L26" s="338"/>
    </row>
    <row r="27" spans="2:13" s="116" customFormat="1" ht="18.75">
      <c r="B27" s="346"/>
      <c r="C27" s="346"/>
      <c r="D27" s="346"/>
      <c r="E27" s="346"/>
      <c r="F27" s="346"/>
      <c r="G27" s="346"/>
      <c r="H27" s="346"/>
      <c r="I27" s="346"/>
      <c r="J27" s="346"/>
    </row>
    <row r="28" spans="2:13" s="116" customFormat="1" ht="18.75">
      <c r="B28" s="346"/>
      <c r="C28" s="346"/>
      <c r="D28" s="346"/>
      <c r="E28" s="346"/>
      <c r="F28" s="346"/>
      <c r="G28" s="348"/>
      <c r="H28" s="349"/>
      <c r="I28" s="363"/>
      <c r="J28" s="342"/>
    </row>
    <row r="29" spans="2:13" s="116" customFormat="1" ht="18.75">
      <c r="B29" s="350"/>
      <c r="C29" s="351"/>
      <c r="D29" s="352"/>
      <c r="E29" s="352"/>
      <c r="F29" s="352"/>
      <c r="G29" s="349"/>
      <c r="H29" s="349"/>
      <c r="I29" s="346"/>
      <c r="J29" s="353"/>
    </row>
    <row r="30" spans="2:13" s="116" customFormat="1" ht="18.75">
      <c r="B30" s="354"/>
      <c r="C30" s="355"/>
      <c r="D30" s="356"/>
      <c r="E30" s="356"/>
      <c r="F30" s="357"/>
      <c r="G30" s="358"/>
      <c r="H30" s="358"/>
      <c r="I30" s="363"/>
      <c r="J30" s="348"/>
    </row>
    <row r="31" spans="2:13" s="116" customFormat="1" ht="18.75">
      <c r="B31" s="359"/>
      <c r="C31" s="360"/>
      <c r="D31" s="356"/>
      <c r="E31" s="356"/>
      <c r="F31" s="361"/>
      <c r="G31" s="362"/>
      <c r="H31" s="362"/>
      <c r="I31" s="346"/>
      <c r="J31" s="346"/>
    </row>
    <row r="32" spans="2:13" s="116" customFormat="1" ht="18.75">
      <c r="B32" s="354"/>
      <c r="C32" s="355"/>
      <c r="D32" s="356"/>
      <c r="E32" s="356"/>
      <c r="F32" s="357"/>
      <c r="G32" s="346"/>
      <c r="H32" s="346"/>
      <c r="I32" s="346"/>
      <c r="J32" s="346"/>
    </row>
    <row r="33" spans="2:14" s="116" customFormat="1" ht="15">
      <c r="B33" s="203"/>
      <c r="C33" s="204"/>
      <c r="D33" s="205"/>
      <c r="E33" s="205"/>
      <c r="F33" s="206"/>
    </row>
    <row r="34" spans="2:14" s="116" customFormat="1" ht="15">
      <c r="B34" s="207"/>
      <c r="C34" s="204"/>
      <c r="D34" s="208"/>
      <c r="E34" s="208"/>
      <c r="F34" s="206"/>
    </row>
    <row r="35" spans="2:14" s="116" customFormat="1" ht="15">
      <c r="B35" s="209"/>
      <c r="C35" s="204"/>
      <c r="D35" s="208"/>
      <c r="E35" s="208"/>
      <c r="F35" s="206"/>
    </row>
    <row r="36" spans="2:14" s="116" customFormat="1" ht="15">
      <c r="B36" s="210"/>
      <c r="C36" s="202"/>
      <c r="D36" s="206"/>
      <c r="E36" s="206"/>
      <c r="F36" s="206"/>
    </row>
    <row r="37" spans="2:14" s="116" customFormat="1" ht="15">
      <c r="B37" s="210"/>
      <c r="C37" s="202"/>
      <c r="D37" s="206"/>
      <c r="E37" s="206"/>
      <c r="F37" s="206"/>
    </row>
    <row r="38" spans="2:14" s="116" customFormat="1" ht="15">
      <c r="B38" s="211"/>
      <c r="C38" s="212"/>
      <c r="D38" s="206"/>
      <c r="E38" s="206"/>
      <c r="F38" s="206"/>
      <c r="G38" s="118"/>
      <c r="H38" s="118"/>
    </row>
    <row r="39" spans="2:14" s="116" customFormat="1" ht="15">
      <c r="B39" s="210"/>
      <c r="C39" s="202"/>
      <c r="D39" s="206"/>
      <c r="E39" s="206"/>
      <c r="F39" s="206"/>
    </row>
    <row r="40" spans="2:14" s="116" customFormat="1"/>
    <row r="41" spans="2:14" s="116" customFormat="1"/>
    <row r="42" spans="2:14" s="116" customFormat="1"/>
    <row r="44" spans="2:14" ht="15">
      <c r="G44" s="117"/>
      <c r="H44" s="117"/>
      <c r="I44" s="117"/>
      <c r="J44" s="117"/>
    </row>
    <row r="45" spans="2:14" ht="15">
      <c r="K45" s="117"/>
      <c r="L45" s="117"/>
      <c r="M45" s="117"/>
      <c r="N45" s="117"/>
    </row>
  </sheetData>
  <mergeCells count="8">
    <mergeCell ref="B13:C13"/>
    <mergeCell ref="B1:J1"/>
    <mergeCell ref="G2:J2"/>
    <mergeCell ref="B3:C3"/>
    <mergeCell ref="B7:C7"/>
    <mergeCell ref="B11:C11"/>
    <mergeCell ref="D5:E5"/>
    <mergeCell ref="B2:E2"/>
  </mergeCells>
  <pageMargins left="0.2" right="0.2" top="0.75" bottom="0.75" header="0.3" footer="0.3"/>
  <pageSetup scale="70" orientation="landscape" cellComments="asDisplayed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5"/>
  <sheetViews>
    <sheetView topLeftCell="BE4" workbookViewId="0">
      <selection activeCell="BU37" sqref="BU37"/>
    </sheetView>
  </sheetViews>
  <sheetFormatPr defaultRowHeight="12.75"/>
  <cols>
    <col min="1" max="59" width="9.140625" style="321"/>
    <col min="60" max="60" width="7.42578125" style="321" bestFit="1" customWidth="1"/>
    <col min="61" max="61" width="9.140625" style="321"/>
    <col min="62" max="62" width="11.42578125" style="321" customWidth="1"/>
    <col min="63" max="315" width="9.140625" style="321"/>
    <col min="316" max="316" width="7.42578125" style="321" bestFit="1" customWidth="1"/>
    <col min="317" max="317" width="9.140625" style="321"/>
    <col min="318" max="318" width="11.42578125" style="321" customWidth="1"/>
    <col min="319" max="571" width="9.140625" style="321"/>
    <col min="572" max="572" width="7.42578125" style="321" bestFit="1" customWidth="1"/>
    <col min="573" max="573" width="9.140625" style="321"/>
    <col min="574" max="574" width="11.42578125" style="321" customWidth="1"/>
    <col min="575" max="827" width="9.140625" style="321"/>
    <col min="828" max="828" width="7.42578125" style="321" bestFit="1" customWidth="1"/>
    <col min="829" max="829" width="9.140625" style="321"/>
    <col min="830" max="830" width="11.42578125" style="321" customWidth="1"/>
    <col min="831" max="1083" width="9.140625" style="321"/>
    <col min="1084" max="1084" width="7.42578125" style="321" bestFit="1" customWidth="1"/>
    <col min="1085" max="1085" width="9.140625" style="321"/>
    <col min="1086" max="1086" width="11.42578125" style="321" customWidth="1"/>
    <col min="1087" max="1339" width="9.140625" style="321"/>
    <col min="1340" max="1340" width="7.42578125" style="321" bestFit="1" customWidth="1"/>
    <col min="1341" max="1341" width="9.140625" style="321"/>
    <col min="1342" max="1342" width="11.42578125" style="321" customWidth="1"/>
    <col min="1343" max="1595" width="9.140625" style="321"/>
    <col min="1596" max="1596" width="7.42578125" style="321" bestFit="1" customWidth="1"/>
    <col min="1597" max="1597" width="9.140625" style="321"/>
    <col min="1598" max="1598" width="11.42578125" style="321" customWidth="1"/>
    <col min="1599" max="1851" width="9.140625" style="321"/>
    <col min="1852" max="1852" width="7.42578125" style="321" bestFit="1" customWidth="1"/>
    <col min="1853" max="1853" width="9.140625" style="321"/>
    <col min="1854" max="1854" width="11.42578125" style="321" customWidth="1"/>
    <col min="1855" max="2107" width="9.140625" style="321"/>
    <col min="2108" max="2108" width="7.42578125" style="321" bestFit="1" customWidth="1"/>
    <col min="2109" max="2109" width="9.140625" style="321"/>
    <col min="2110" max="2110" width="11.42578125" style="321" customWidth="1"/>
    <col min="2111" max="2363" width="9.140625" style="321"/>
    <col min="2364" max="2364" width="7.42578125" style="321" bestFit="1" customWidth="1"/>
    <col min="2365" max="2365" width="9.140625" style="321"/>
    <col min="2366" max="2366" width="11.42578125" style="321" customWidth="1"/>
    <col min="2367" max="2619" width="9.140625" style="321"/>
    <col min="2620" max="2620" width="7.42578125" style="321" bestFit="1" customWidth="1"/>
    <col min="2621" max="2621" width="9.140625" style="321"/>
    <col min="2622" max="2622" width="11.42578125" style="321" customWidth="1"/>
    <col min="2623" max="2875" width="9.140625" style="321"/>
    <col min="2876" max="2876" width="7.42578125" style="321" bestFit="1" customWidth="1"/>
    <col min="2877" max="2877" width="9.140625" style="321"/>
    <col min="2878" max="2878" width="11.42578125" style="321" customWidth="1"/>
    <col min="2879" max="3131" width="9.140625" style="321"/>
    <col min="3132" max="3132" width="7.42578125" style="321" bestFit="1" customWidth="1"/>
    <col min="3133" max="3133" width="9.140625" style="321"/>
    <col min="3134" max="3134" width="11.42578125" style="321" customWidth="1"/>
    <col min="3135" max="3387" width="9.140625" style="321"/>
    <col min="3388" max="3388" width="7.42578125" style="321" bestFit="1" customWidth="1"/>
    <col min="3389" max="3389" width="9.140625" style="321"/>
    <col min="3390" max="3390" width="11.42578125" style="321" customWidth="1"/>
    <col min="3391" max="3643" width="9.140625" style="321"/>
    <col min="3644" max="3644" width="7.42578125" style="321" bestFit="1" customWidth="1"/>
    <col min="3645" max="3645" width="9.140625" style="321"/>
    <col min="3646" max="3646" width="11.42578125" style="321" customWidth="1"/>
    <col min="3647" max="3899" width="9.140625" style="321"/>
    <col min="3900" max="3900" width="7.42578125" style="321" bestFit="1" customWidth="1"/>
    <col min="3901" max="3901" width="9.140625" style="321"/>
    <col min="3902" max="3902" width="11.42578125" style="321" customWidth="1"/>
    <col min="3903" max="4155" width="9.140625" style="321"/>
    <col min="4156" max="4156" width="7.42578125" style="321" bestFit="1" customWidth="1"/>
    <col min="4157" max="4157" width="9.140625" style="321"/>
    <col min="4158" max="4158" width="11.42578125" style="321" customWidth="1"/>
    <col min="4159" max="4411" width="9.140625" style="321"/>
    <col min="4412" max="4412" width="7.42578125" style="321" bestFit="1" customWidth="1"/>
    <col min="4413" max="4413" width="9.140625" style="321"/>
    <col min="4414" max="4414" width="11.42578125" style="321" customWidth="1"/>
    <col min="4415" max="4667" width="9.140625" style="321"/>
    <col min="4668" max="4668" width="7.42578125" style="321" bestFit="1" customWidth="1"/>
    <col min="4669" max="4669" width="9.140625" style="321"/>
    <col min="4670" max="4670" width="11.42578125" style="321" customWidth="1"/>
    <col min="4671" max="4923" width="9.140625" style="321"/>
    <col min="4924" max="4924" width="7.42578125" style="321" bestFit="1" customWidth="1"/>
    <col min="4925" max="4925" width="9.140625" style="321"/>
    <col min="4926" max="4926" width="11.42578125" style="321" customWidth="1"/>
    <col min="4927" max="5179" width="9.140625" style="321"/>
    <col min="5180" max="5180" width="7.42578125" style="321" bestFit="1" customWidth="1"/>
    <col min="5181" max="5181" width="9.140625" style="321"/>
    <col min="5182" max="5182" width="11.42578125" style="321" customWidth="1"/>
    <col min="5183" max="5435" width="9.140625" style="321"/>
    <col min="5436" max="5436" width="7.42578125" style="321" bestFit="1" customWidth="1"/>
    <col min="5437" max="5437" width="9.140625" style="321"/>
    <col min="5438" max="5438" width="11.42578125" style="321" customWidth="1"/>
    <col min="5439" max="5691" width="9.140625" style="321"/>
    <col min="5692" max="5692" width="7.42578125" style="321" bestFit="1" customWidth="1"/>
    <col min="5693" max="5693" width="9.140625" style="321"/>
    <col min="5694" max="5694" width="11.42578125" style="321" customWidth="1"/>
    <col min="5695" max="5947" width="9.140625" style="321"/>
    <col min="5948" max="5948" width="7.42578125" style="321" bestFit="1" customWidth="1"/>
    <col min="5949" max="5949" width="9.140625" style="321"/>
    <col min="5950" max="5950" width="11.42578125" style="321" customWidth="1"/>
    <col min="5951" max="6203" width="9.140625" style="321"/>
    <col min="6204" max="6204" width="7.42578125" style="321" bestFit="1" customWidth="1"/>
    <col min="6205" max="6205" width="9.140625" style="321"/>
    <col min="6206" max="6206" width="11.42578125" style="321" customWidth="1"/>
    <col min="6207" max="6459" width="9.140625" style="321"/>
    <col min="6460" max="6460" width="7.42578125" style="321" bestFit="1" customWidth="1"/>
    <col min="6461" max="6461" width="9.140625" style="321"/>
    <col min="6462" max="6462" width="11.42578125" style="321" customWidth="1"/>
    <col min="6463" max="6715" width="9.140625" style="321"/>
    <col min="6716" max="6716" width="7.42578125" style="321" bestFit="1" customWidth="1"/>
    <col min="6717" max="6717" width="9.140625" style="321"/>
    <col min="6718" max="6718" width="11.42578125" style="321" customWidth="1"/>
    <col min="6719" max="6971" width="9.140625" style="321"/>
    <col min="6972" max="6972" width="7.42578125" style="321" bestFit="1" customWidth="1"/>
    <col min="6973" max="6973" width="9.140625" style="321"/>
    <col min="6974" max="6974" width="11.42578125" style="321" customWidth="1"/>
    <col min="6975" max="7227" width="9.140625" style="321"/>
    <col min="7228" max="7228" width="7.42578125" style="321" bestFit="1" customWidth="1"/>
    <col min="7229" max="7229" width="9.140625" style="321"/>
    <col min="7230" max="7230" width="11.42578125" style="321" customWidth="1"/>
    <col min="7231" max="7483" width="9.140625" style="321"/>
    <col min="7484" max="7484" width="7.42578125" style="321" bestFit="1" customWidth="1"/>
    <col min="7485" max="7485" width="9.140625" style="321"/>
    <col min="7486" max="7486" width="11.42578125" style="321" customWidth="1"/>
    <col min="7487" max="7739" width="9.140625" style="321"/>
    <col min="7740" max="7740" width="7.42578125" style="321" bestFit="1" customWidth="1"/>
    <col min="7741" max="7741" width="9.140625" style="321"/>
    <col min="7742" max="7742" width="11.42578125" style="321" customWidth="1"/>
    <col min="7743" max="7995" width="9.140625" style="321"/>
    <col min="7996" max="7996" width="7.42578125" style="321" bestFit="1" customWidth="1"/>
    <col min="7997" max="7997" width="9.140625" style="321"/>
    <col min="7998" max="7998" width="11.42578125" style="321" customWidth="1"/>
    <col min="7999" max="8251" width="9.140625" style="321"/>
    <col min="8252" max="8252" width="7.42578125" style="321" bestFit="1" customWidth="1"/>
    <col min="8253" max="8253" width="9.140625" style="321"/>
    <col min="8254" max="8254" width="11.42578125" style="321" customWidth="1"/>
    <col min="8255" max="8507" width="9.140625" style="321"/>
    <col min="8508" max="8508" width="7.42578125" style="321" bestFit="1" customWidth="1"/>
    <col min="8509" max="8509" width="9.140625" style="321"/>
    <col min="8510" max="8510" width="11.42578125" style="321" customWidth="1"/>
    <col min="8511" max="8763" width="9.140625" style="321"/>
    <col min="8764" max="8764" width="7.42578125" style="321" bestFit="1" customWidth="1"/>
    <col min="8765" max="8765" width="9.140625" style="321"/>
    <col min="8766" max="8766" width="11.42578125" style="321" customWidth="1"/>
    <col min="8767" max="9019" width="9.140625" style="321"/>
    <col min="9020" max="9020" width="7.42578125" style="321" bestFit="1" customWidth="1"/>
    <col min="9021" max="9021" width="9.140625" style="321"/>
    <col min="9022" max="9022" width="11.42578125" style="321" customWidth="1"/>
    <col min="9023" max="9275" width="9.140625" style="321"/>
    <col min="9276" max="9276" width="7.42578125" style="321" bestFit="1" customWidth="1"/>
    <col min="9277" max="9277" width="9.140625" style="321"/>
    <col min="9278" max="9278" width="11.42578125" style="321" customWidth="1"/>
    <col min="9279" max="9531" width="9.140625" style="321"/>
    <col min="9532" max="9532" width="7.42578125" style="321" bestFit="1" customWidth="1"/>
    <col min="9533" max="9533" width="9.140625" style="321"/>
    <col min="9534" max="9534" width="11.42578125" style="321" customWidth="1"/>
    <col min="9535" max="9787" width="9.140625" style="321"/>
    <col min="9788" max="9788" width="7.42578125" style="321" bestFit="1" customWidth="1"/>
    <col min="9789" max="9789" width="9.140625" style="321"/>
    <col min="9790" max="9790" width="11.42578125" style="321" customWidth="1"/>
    <col min="9791" max="10043" width="9.140625" style="321"/>
    <col min="10044" max="10044" width="7.42578125" style="321" bestFit="1" customWidth="1"/>
    <col min="10045" max="10045" width="9.140625" style="321"/>
    <col min="10046" max="10046" width="11.42578125" style="321" customWidth="1"/>
    <col min="10047" max="10299" width="9.140625" style="321"/>
    <col min="10300" max="10300" width="7.42578125" style="321" bestFit="1" customWidth="1"/>
    <col min="10301" max="10301" width="9.140625" style="321"/>
    <col min="10302" max="10302" width="11.42578125" style="321" customWidth="1"/>
    <col min="10303" max="10555" width="9.140625" style="321"/>
    <col min="10556" max="10556" width="7.42578125" style="321" bestFit="1" customWidth="1"/>
    <col min="10557" max="10557" width="9.140625" style="321"/>
    <col min="10558" max="10558" width="11.42578125" style="321" customWidth="1"/>
    <col min="10559" max="10811" width="9.140625" style="321"/>
    <col min="10812" max="10812" width="7.42578125" style="321" bestFit="1" customWidth="1"/>
    <col min="10813" max="10813" width="9.140625" style="321"/>
    <col min="10814" max="10814" width="11.42578125" style="321" customWidth="1"/>
    <col min="10815" max="11067" width="9.140625" style="321"/>
    <col min="11068" max="11068" width="7.42578125" style="321" bestFit="1" customWidth="1"/>
    <col min="11069" max="11069" width="9.140625" style="321"/>
    <col min="11070" max="11070" width="11.42578125" style="321" customWidth="1"/>
    <col min="11071" max="11323" width="9.140625" style="321"/>
    <col min="11324" max="11324" width="7.42578125" style="321" bestFit="1" customWidth="1"/>
    <col min="11325" max="11325" width="9.140625" style="321"/>
    <col min="11326" max="11326" width="11.42578125" style="321" customWidth="1"/>
    <col min="11327" max="11579" width="9.140625" style="321"/>
    <col min="11580" max="11580" width="7.42578125" style="321" bestFit="1" customWidth="1"/>
    <col min="11581" max="11581" width="9.140625" style="321"/>
    <col min="11582" max="11582" width="11.42578125" style="321" customWidth="1"/>
    <col min="11583" max="11835" width="9.140625" style="321"/>
    <col min="11836" max="11836" width="7.42578125" style="321" bestFit="1" customWidth="1"/>
    <col min="11837" max="11837" width="9.140625" style="321"/>
    <col min="11838" max="11838" width="11.42578125" style="321" customWidth="1"/>
    <col min="11839" max="12091" width="9.140625" style="321"/>
    <col min="12092" max="12092" width="7.42578125" style="321" bestFit="1" customWidth="1"/>
    <col min="12093" max="12093" width="9.140625" style="321"/>
    <col min="12094" max="12094" width="11.42578125" style="321" customWidth="1"/>
    <col min="12095" max="12347" width="9.140625" style="321"/>
    <col min="12348" max="12348" width="7.42578125" style="321" bestFit="1" customWidth="1"/>
    <col min="12349" max="12349" width="9.140625" style="321"/>
    <col min="12350" max="12350" width="11.42578125" style="321" customWidth="1"/>
    <col min="12351" max="12603" width="9.140625" style="321"/>
    <col min="12604" max="12604" width="7.42578125" style="321" bestFit="1" customWidth="1"/>
    <col min="12605" max="12605" width="9.140625" style="321"/>
    <col min="12606" max="12606" width="11.42578125" style="321" customWidth="1"/>
    <col min="12607" max="12859" width="9.140625" style="321"/>
    <col min="12860" max="12860" width="7.42578125" style="321" bestFit="1" customWidth="1"/>
    <col min="12861" max="12861" width="9.140625" style="321"/>
    <col min="12862" max="12862" width="11.42578125" style="321" customWidth="1"/>
    <col min="12863" max="13115" width="9.140625" style="321"/>
    <col min="13116" max="13116" width="7.42578125" style="321" bestFit="1" customWidth="1"/>
    <col min="13117" max="13117" width="9.140625" style="321"/>
    <col min="13118" max="13118" width="11.42578125" style="321" customWidth="1"/>
    <col min="13119" max="13371" width="9.140625" style="321"/>
    <col min="13372" max="13372" width="7.42578125" style="321" bestFit="1" customWidth="1"/>
    <col min="13373" max="13373" width="9.140625" style="321"/>
    <col min="13374" max="13374" width="11.42578125" style="321" customWidth="1"/>
    <col min="13375" max="13627" width="9.140625" style="321"/>
    <col min="13628" max="13628" width="7.42578125" style="321" bestFit="1" customWidth="1"/>
    <col min="13629" max="13629" width="9.140625" style="321"/>
    <col min="13630" max="13630" width="11.42578125" style="321" customWidth="1"/>
    <col min="13631" max="13883" width="9.140625" style="321"/>
    <col min="13884" max="13884" width="7.42578125" style="321" bestFit="1" customWidth="1"/>
    <col min="13885" max="13885" width="9.140625" style="321"/>
    <col min="13886" max="13886" width="11.42578125" style="321" customWidth="1"/>
    <col min="13887" max="14139" width="9.140625" style="321"/>
    <col min="14140" max="14140" width="7.42578125" style="321" bestFit="1" customWidth="1"/>
    <col min="14141" max="14141" width="9.140625" style="321"/>
    <col min="14142" max="14142" width="11.42578125" style="321" customWidth="1"/>
    <col min="14143" max="14395" width="9.140625" style="321"/>
    <col min="14396" max="14396" width="7.42578125" style="321" bestFit="1" customWidth="1"/>
    <col min="14397" max="14397" width="9.140625" style="321"/>
    <col min="14398" max="14398" width="11.42578125" style="321" customWidth="1"/>
    <col min="14399" max="14651" width="9.140625" style="321"/>
    <col min="14652" max="14652" width="7.42578125" style="321" bestFit="1" customWidth="1"/>
    <col min="14653" max="14653" width="9.140625" style="321"/>
    <col min="14654" max="14654" width="11.42578125" style="321" customWidth="1"/>
    <col min="14655" max="14907" width="9.140625" style="321"/>
    <col min="14908" max="14908" width="7.42578125" style="321" bestFit="1" customWidth="1"/>
    <col min="14909" max="14909" width="9.140625" style="321"/>
    <col min="14910" max="14910" width="11.42578125" style="321" customWidth="1"/>
    <col min="14911" max="15163" width="9.140625" style="321"/>
    <col min="15164" max="15164" width="7.42578125" style="321" bestFit="1" customWidth="1"/>
    <col min="15165" max="15165" width="9.140625" style="321"/>
    <col min="15166" max="15166" width="11.42578125" style="321" customWidth="1"/>
    <col min="15167" max="15419" width="9.140625" style="321"/>
    <col min="15420" max="15420" width="7.42578125" style="321" bestFit="1" customWidth="1"/>
    <col min="15421" max="15421" width="9.140625" style="321"/>
    <col min="15422" max="15422" width="11.42578125" style="321" customWidth="1"/>
    <col min="15423" max="15675" width="9.140625" style="321"/>
    <col min="15676" max="15676" width="7.42578125" style="321" bestFit="1" customWidth="1"/>
    <col min="15677" max="15677" width="9.140625" style="321"/>
    <col min="15678" max="15678" width="11.42578125" style="321" customWidth="1"/>
    <col min="15679" max="15931" width="9.140625" style="321"/>
    <col min="15932" max="15932" width="7.42578125" style="321" bestFit="1" customWidth="1"/>
    <col min="15933" max="15933" width="9.140625" style="321"/>
    <col min="15934" max="15934" width="11.42578125" style="321" customWidth="1"/>
    <col min="15935" max="16187" width="9.140625" style="321"/>
    <col min="16188" max="16188" width="7.42578125" style="321" bestFit="1" customWidth="1"/>
    <col min="16189" max="16189" width="9.140625" style="321"/>
    <col min="16190" max="16190" width="11.42578125" style="321" customWidth="1"/>
    <col min="16191" max="16384" width="9.140625" style="321"/>
  </cols>
  <sheetData>
    <row r="1" spans="1:83" ht="18">
      <c r="A1" s="319" t="s">
        <v>257</v>
      </c>
      <c r="B1" s="320"/>
    </row>
    <row r="2" spans="1:83" ht="15.75">
      <c r="A2" s="322" t="s">
        <v>258</v>
      </c>
      <c r="B2" s="323"/>
    </row>
    <row r="3" spans="1:83" ht="15.75" thickBot="1">
      <c r="A3" s="324" t="s">
        <v>259</v>
      </c>
      <c r="B3" s="325"/>
    </row>
    <row r="4" spans="1:83">
      <c r="B4" s="326"/>
    </row>
    <row r="5" spans="1:83">
      <c r="B5" s="326"/>
    </row>
    <row r="6" spans="1:83">
      <c r="B6" s="326"/>
      <c r="BA6" s="327" t="s">
        <v>260</v>
      </c>
      <c r="BB6" s="327" t="s">
        <v>260</v>
      </c>
      <c r="BC6" s="327" t="s">
        <v>260</v>
      </c>
      <c r="BD6" s="327" t="s">
        <v>260</v>
      </c>
      <c r="BE6" s="327" t="s">
        <v>261</v>
      </c>
      <c r="BF6" s="327" t="s">
        <v>261</v>
      </c>
      <c r="BG6" s="327" t="s">
        <v>261</v>
      </c>
      <c r="BH6" s="327" t="s">
        <v>261</v>
      </c>
      <c r="BI6" s="13" t="s">
        <v>88</v>
      </c>
      <c r="BJ6" s="13" t="s">
        <v>88</v>
      </c>
      <c r="BK6" s="13" t="s">
        <v>88</v>
      </c>
      <c r="BL6" s="13" t="s">
        <v>88</v>
      </c>
      <c r="BM6" s="14" t="s">
        <v>89</v>
      </c>
      <c r="BN6" s="14" t="s">
        <v>89</v>
      </c>
      <c r="BO6" s="14" t="s">
        <v>89</v>
      </c>
      <c r="BP6" s="14" t="s">
        <v>89</v>
      </c>
      <c r="BQ6" s="15" t="s">
        <v>90</v>
      </c>
      <c r="BR6" s="15" t="s">
        <v>90</v>
      </c>
      <c r="BS6" s="15" t="s">
        <v>90</v>
      </c>
      <c r="BT6" s="15" t="s">
        <v>90</v>
      </c>
      <c r="BU6" s="328" t="s">
        <v>232</v>
      </c>
      <c r="BV6" s="328" t="s">
        <v>232</v>
      </c>
      <c r="BW6" s="328" t="s">
        <v>232</v>
      </c>
      <c r="BX6" s="328" t="s">
        <v>232</v>
      </c>
      <c r="BY6" s="329" t="s">
        <v>233</v>
      </c>
      <c r="BZ6" s="329" t="s">
        <v>233</v>
      </c>
      <c r="CA6" s="329" t="s">
        <v>233</v>
      </c>
      <c r="CB6" s="329" t="s">
        <v>233</v>
      </c>
    </row>
    <row r="7" spans="1:83" s="326" customFormat="1">
      <c r="B7" s="326" t="s">
        <v>91</v>
      </c>
      <c r="C7" s="330" t="s">
        <v>92</v>
      </c>
      <c r="D7" s="330" t="s">
        <v>93</v>
      </c>
      <c r="E7" s="330" t="s">
        <v>94</v>
      </c>
      <c r="F7" s="330" t="s">
        <v>95</v>
      </c>
      <c r="G7" s="330" t="s">
        <v>96</v>
      </c>
      <c r="H7" s="330" t="s">
        <v>97</v>
      </c>
      <c r="I7" s="330" t="s">
        <v>98</v>
      </c>
      <c r="J7" s="330" t="s">
        <v>99</v>
      </c>
      <c r="K7" s="330" t="s">
        <v>100</v>
      </c>
      <c r="L7" s="330" t="s">
        <v>101</v>
      </c>
      <c r="M7" s="330" t="s">
        <v>102</v>
      </c>
      <c r="N7" s="330" t="s">
        <v>103</v>
      </c>
      <c r="O7" s="330" t="s">
        <v>104</v>
      </c>
      <c r="P7" s="330" t="s">
        <v>105</v>
      </c>
      <c r="Q7" s="330" t="s">
        <v>106</v>
      </c>
      <c r="R7" s="330" t="s">
        <v>107</v>
      </c>
      <c r="S7" s="330" t="s">
        <v>108</v>
      </c>
      <c r="T7" s="330" t="s">
        <v>109</v>
      </c>
      <c r="U7" s="330" t="s">
        <v>110</v>
      </c>
      <c r="V7" s="330" t="s">
        <v>111</v>
      </c>
      <c r="W7" s="330" t="s">
        <v>112</v>
      </c>
      <c r="X7" s="330" t="s">
        <v>113</v>
      </c>
      <c r="Y7" s="330" t="s">
        <v>114</v>
      </c>
      <c r="Z7" s="330" t="s">
        <v>115</v>
      </c>
      <c r="AA7" s="330" t="s">
        <v>116</v>
      </c>
      <c r="AB7" s="330" t="s">
        <v>117</v>
      </c>
      <c r="AC7" s="330" t="s">
        <v>118</v>
      </c>
      <c r="AD7" s="330" t="s">
        <v>119</v>
      </c>
      <c r="AE7" s="330" t="s">
        <v>120</v>
      </c>
      <c r="AF7" s="330" t="s">
        <v>121</v>
      </c>
      <c r="AG7" s="330" t="s">
        <v>122</v>
      </c>
      <c r="AH7" s="330" t="s">
        <v>123</v>
      </c>
      <c r="AI7" s="330" t="s">
        <v>124</v>
      </c>
      <c r="AJ7" s="330" t="s">
        <v>125</v>
      </c>
      <c r="AK7" s="330" t="s">
        <v>126</v>
      </c>
      <c r="AL7" s="330" t="s">
        <v>127</v>
      </c>
      <c r="AM7" s="330" t="s">
        <v>128</v>
      </c>
      <c r="AN7" s="330" t="s">
        <v>129</v>
      </c>
      <c r="AO7" s="330" t="s">
        <v>130</v>
      </c>
      <c r="AP7" s="330" t="s">
        <v>131</v>
      </c>
      <c r="AQ7" s="330" t="s">
        <v>132</v>
      </c>
      <c r="AR7" s="330" t="s">
        <v>133</v>
      </c>
      <c r="AS7" s="330" t="s">
        <v>134</v>
      </c>
      <c r="AT7" s="330" t="s">
        <v>135</v>
      </c>
      <c r="AU7" s="326" t="s">
        <v>136</v>
      </c>
      <c r="AV7" s="326" t="s">
        <v>137</v>
      </c>
      <c r="AW7" s="326" t="s">
        <v>138</v>
      </c>
      <c r="AX7" s="326" t="s">
        <v>139</v>
      </c>
      <c r="AY7" s="326" t="s">
        <v>140</v>
      </c>
      <c r="AZ7" s="326" t="s">
        <v>141</v>
      </c>
      <c r="BA7" s="326" t="s">
        <v>142</v>
      </c>
      <c r="BB7" s="326" t="s">
        <v>143</v>
      </c>
      <c r="BC7" s="326" t="s">
        <v>144</v>
      </c>
      <c r="BD7" s="326" t="s">
        <v>145</v>
      </c>
      <c r="BE7" s="326" t="s">
        <v>146</v>
      </c>
      <c r="BF7" s="326" t="s">
        <v>147</v>
      </c>
      <c r="BG7" s="326" t="s">
        <v>148</v>
      </c>
      <c r="BH7" s="326" t="s">
        <v>149</v>
      </c>
      <c r="BI7" s="326" t="s">
        <v>150</v>
      </c>
      <c r="BJ7" s="326" t="s">
        <v>151</v>
      </c>
      <c r="BK7" s="326" t="s">
        <v>152</v>
      </c>
      <c r="BL7" s="326" t="s">
        <v>153</v>
      </c>
      <c r="BM7" s="326" t="s">
        <v>154</v>
      </c>
      <c r="BN7" s="326" t="s">
        <v>155</v>
      </c>
      <c r="BO7" s="326" t="s">
        <v>156</v>
      </c>
      <c r="BP7" s="326" t="s">
        <v>157</v>
      </c>
      <c r="BQ7" s="326" t="s">
        <v>158</v>
      </c>
      <c r="BR7" s="326" t="s">
        <v>159</v>
      </c>
      <c r="BS7" s="326" t="s">
        <v>160</v>
      </c>
      <c r="BT7" s="326" t="s">
        <v>161</v>
      </c>
      <c r="BU7" s="326" t="s">
        <v>162</v>
      </c>
      <c r="BV7" s="326" t="s">
        <v>163</v>
      </c>
      <c r="BW7" s="326" t="s">
        <v>234</v>
      </c>
      <c r="BX7" s="326" t="s">
        <v>235</v>
      </c>
      <c r="BY7" s="326" t="s">
        <v>236</v>
      </c>
      <c r="BZ7" s="326" t="s">
        <v>237</v>
      </c>
      <c r="CA7" s="326" t="s">
        <v>238</v>
      </c>
      <c r="CB7" s="326" t="s">
        <v>239</v>
      </c>
      <c r="CC7" s="326" t="s">
        <v>240</v>
      </c>
      <c r="CD7" s="326" t="s">
        <v>241</v>
      </c>
      <c r="CE7" s="326" t="s">
        <v>164</v>
      </c>
    </row>
    <row r="8" spans="1:83">
      <c r="A8" s="326" t="s">
        <v>165</v>
      </c>
      <c r="B8" s="326" t="s">
        <v>166</v>
      </c>
      <c r="C8" s="331">
        <v>2.0350000000000001</v>
      </c>
      <c r="D8" s="331">
        <v>2.06</v>
      </c>
      <c r="E8" s="331">
        <v>2.0649999999999999</v>
      </c>
      <c r="F8" s="331">
        <v>2.0870000000000002</v>
      </c>
      <c r="G8" s="331">
        <v>2.1040000000000001</v>
      </c>
      <c r="H8" s="331">
        <v>2.1150000000000002</v>
      </c>
      <c r="I8" s="331">
        <v>2.1509999999999998</v>
      </c>
      <c r="J8" s="331">
        <v>2.17</v>
      </c>
      <c r="K8" s="331">
        <v>2.1869999999999998</v>
      </c>
      <c r="L8" s="331">
        <v>2.2120000000000002</v>
      </c>
      <c r="M8" s="331">
        <v>2.2349999999999999</v>
      </c>
      <c r="N8" s="331">
        <v>2.2210000000000001</v>
      </c>
      <c r="O8" s="331">
        <v>2.2320000000000002</v>
      </c>
      <c r="P8" s="331">
        <v>2.258</v>
      </c>
      <c r="Q8" s="331">
        <v>2.2759999999999998</v>
      </c>
      <c r="R8" s="331">
        <v>2.302</v>
      </c>
      <c r="S8" s="331">
        <v>2.3199999999999998</v>
      </c>
      <c r="T8" s="331">
        <v>2.3639999999999999</v>
      </c>
      <c r="U8" s="331">
        <v>2.4049999999999998</v>
      </c>
      <c r="V8" s="331">
        <v>2.351</v>
      </c>
      <c r="W8" s="331">
        <v>2.34</v>
      </c>
      <c r="X8" s="331">
        <v>2.347</v>
      </c>
      <c r="Y8" s="331">
        <v>2.367</v>
      </c>
      <c r="Z8" s="331">
        <v>2.3809999999999998</v>
      </c>
      <c r="AA8" s="331">
        <v>2.379</v>
      </c>
      <c r="AB8" s="331">
        <v>2.383</v>
      </c>
      <c r="AC8" s="331">
        <v>2.3980000000000001</v>
      </c>
      <c r="AD8" s="331">
        <v>2.4220000000000002</v>
      </c>
      <c r="AE8" s="331">
        <v>2.4319999999999999</v>
      </c>
      <c r="AF8" s="331">
        <v>2.4769999999999999</v>
      </c>
      <c r="AG8" s="331">
        <v>2.4889999999999999</v>
      </c>
      <c r="AH8" s="331">
        <v>2.4969999999999999</v>
      </c>
      <c r="AI8" s="331">
        <v>2.5129999999999999</v>
      </c>
      <c r="AJ8" s="331">
        <v>2.5190000000000001</v>
      </c>
      <c r="AK8" s="331">
        <v>2.5299999999999998</v>
      </c>
      <c r="AL8" s="331">
        <v>2.5499999999999998</v>
      </c>
      <c r="AM8" s="331">
        <v>2.5569999999999999</v>
      </c>
      <c r="AN8" s="331">
        <v>2.5550000000000002</v>
      </c>
      <c r="AO8" s="331">
        <v>2.5739999999999998</v>
      </c>
      <c r="AP8" s="331">
        <v>2.589</v>
      </c>
      <c r="AQ8" s="331">
        <v>2.597</v>
      </c>
      <c r="AR8" s="331">
        <v>2.6080000000000001</v>
      </c>
      <c r="AS8" s="331">
        <v>2.6139999999999999</v>
      </c>
      <c r="AT8" s="331">
        <v>2.617</v>
      </c>
      <c r="AU8" s="321">
        <v>2.6120000000000001</v>
      </c>
      <c r="AV8" s="321">
        <v>2.6230000000000002</v>
      </c>
      <c r="AW8" s="321">
        <v>2.6190000000000002</v>
      </c>
      <c r="AX8" s="321">
        <v>2.6269999999999998</v>
      </c>
      <c r="AY8" s="321">
        <v>2.621</v>
      </c>
      <c r="AZ8" s="321">
        <v>2.6419999999999999</v>
      </c>
      <c r="BA8" s="321">
        <v>2.6629999999999998</v>
      </c>
      <c r="BB8" s="321">
        <v>2.6779999999999999</v>
      </c>
      <c r="BC8" s="321">
        <v>2.694</v>
      </c>
      <c r="BD8" s="321">
        <v>2.6960000000000002</v>
      </c>
      <c r="BE8" s="321">
        <v>2.7080000000000002</v>
      </c>
      <c r="BF8" s="321">
        <v>2.72</v>
      </c>
      <c r="BG8" s="321">
        <v>2.7589999999999999</v>
      </c>
      <c r="BH8" s="321">
        <v>2.7719999999999998</v>
      </c>
      <c r="BI8" s="321">
        <v>2.7810000000000001</v>
      </c>
      <c r="BJ8" s="321">
        <v>2.7879999999999998</v>
      </c>
      <c r="BK8" s="321">
        <v>2.794</v>
      </c>
      <c r="BL8" s="321">
        <v>2.8210000000000002</v>
      </c>
      <c r="BM8" s="321">
        <v>2.843</v>
      </c>
      <c r="BN8" s="321">
        <v>2.8580000000000001</v>
      </c>
      <c r="BO8" s="321">
        <v>2.87</v>
      </c>
      <c r="BP8" s="321">
        <v>2.879</v>
      </c>
      <c r="BQ8" s="321">
        <v>2.8940000000000001</v>
      </c>
      <c r="BR8" s="321">
        <v>2.9039999999999999</v>
      </c>
      <c r="BS8" s="321">
        <v>2.927</v>
      </c>
      <c r="BT8" s="321">
        <v>2.9470000000000001</v>
      </c>
      <c r="BU8" s="321">
        <v>2.9670000000000001</v>
      </c>
      <c r="BV8" s="321">
        <v>2.9849999999999999</v>
      </c>
      <c r="BW8" s="321">
        <v>3.004</v>
      </c>
      <c r="BX8" s="321">
        <v>3.0209999999999999</v>
      </c>
      <c r="BY8" s="321">
        <v>3.0390000000000001</v>
      </c>
      <c r="BZ8" s="321">
        <v>3.0590000000000002</v>
      </c>
      <c r="CA8" s="321">
        <v>3.0779999999999998</v>
      </c>
      <c r="CB8" s="321">
        <v>3.0939999999999999</v>
      </c>
      <c r="CC8" s="321">
        <v>3.1139999999999999</v>
      </c>
      <c r="CD8" s="321">
        <v>3.1339999999999999</v>
      </c>
    </row>
    <row r="9" spans="1:83">
      <c r="A9" s="326" t="s">
        <v>167</v>
      </c>
      <c r="B9" s="326" t="s">
        <v>168</v>
      </c>
      <c r="C9" s="331">
        <v>2.0350000000000001</v>
      </c>
      <c r="D9" s="331">
        <v>2.06</v>
      </c>
      <c r="E9" s="331">
        <v>2.0649999999999999</v>
      </c>
      <c r="F9" s="331">
        <v>2.0870000000000002</v>
      </c>
      <c r="G9" s="331">
        <v>2.1040000000000001</v>
      </c>
      <c r="H9" s="331">
        <v>2.1150000000000002</v>
      </c>
      <c r="I9" s="331">
        <v>2.1509999999999998</v>
      </c>
      <c r="J9" s="331">
        <v>2.17</v>
      </c>
      <c r="K9" s="331">
        <v>2.1869999999999998</v>
      </c>
      <c r="L9" s="331">
        <v>2.2120000000000002</v>
      </c>
      <c r="M9" s="331">
        <v>2.2349999999999999</v>
      </c>
      <c r="N9" s="331">
        <v>2.2210000000000001</v>
      </c>
      <c r="O9" s="331">
        <v>2.2320000000000002</v>
      </c>
      <c r="P9" s="331">
        <v>2.258</v>
      </c>
      <c r="Q9" s="331">
        <v>2.2759999999999998</v>
      </c>
      <c r="R9" s="331">
        <v>2.302</v>
      </c>
      <c r="S9" s="331">
        <v>2.3199999999999998</v>
      </c>
      <c r="T9" s="331">
        <v>2.3639999999999999</v>
      </c>
      <c r="U9" s="331">
        <v>2.4049999999999998</v>
      </c>
      <c r="V9" s="331">
        <v>2.351</v>
      </c>
      <c r="W9" s="331">
        <v>2.34</v>
      </c>
      <c r="X9" s="331">
        <v>2.347</v>
      </c>
      <c r="Y9" s="331">
        <v>2.367</v>
      </c>
      <c r="Z9" s="331">
        <v>2.3809999999999998</v>
      </c>
      <c r="AA9" s="331">
        <v>2.379</v>
      </c>
      <c r="AB9" s="331">
        <v>2.383</v>
      </c>
      <c r="AC9" s="331">
        <v>2.3980000000000001</v>
      </c>
      <c r="AD9" s="331">
        <v>2.4220000000000002</v>
      </c>
      <c r="AE9" s="331">
        <v>2.4319999999999999</v>
      </c>
      <c r="AF9" s="331">
        <v>2.4769999999999999</v>
      </c>
      <c r="AG9" s="331">
        <v>2.4889999999999999</v>
      </c>
      <c r="AH9" s="331">
        <v>2.4969999999999999</v>
      </c>
      <c r="AI9" s="331">
        <v>2.5129999999999999</v>
      </c>
      <c r="AJ9" s="331">
        <v>2.5190000000000001</v>
      </c>
      <c r="AK9" s="331">
        <v>2.5299999999999998</v>
      </c>
      <c r="AL9" s="331">
        <v>2.5499999999999998</v>
      </c>
      <c r="AM9" s="331">
        <v>2.5569999999999999</v>
      </c>
      <c r="AN9" s="331">
        <v>2.5550000000000002</v>
      </c>
      <c r="AO9" s="331">
        <v>2.5739999999999998</v>
      </c>
      <c r="AP9" s="331">
        <v>2.589</v>
      </c>
      <c r="AQ9" s="331">
        <v>2.597</v>
      </c>
      <c r="AR9" s="331">
        <v>2.6080000000000001</v>
      </c>
      <c r="AS9" s="331">
        <v>2.6139999999999999</v>
      </c>
      <c r="AT9" s="331">
        <v>2.617</v>
      </c>
      <c r="AU9" s="321">
        <v>2.6120000000000001</v>
      </c>
      <c r="AV9" s="321">
        <v>2.6230000000000002</v>
      </c>
      <c r="AW9" s="321">
        <v>2.6190000000000002</v>
      </c>
      <c r="AX9" s="321">
        <v>2.6269999999999998</v>
      </c>
      <c r="AY9" s="321">
        <v>2.621</v>
      </c>
      <c r="AZ9" s="321">
        <v>2.6419999999999999</v>
      </c>
      <c r="BA9" s="321">
        <v>2.6629999999999998</v>
      </c>
      <c r="BB9" s="321">
        <v>2.6779999999999999</v>
      </c>
      <c r="BC9" s="321">
        <v>2.694</v>
      </c>
      <c r="BD9" s="321">
        <v>2.6960000000000002</v>
      </c>
      <c r="BE9" s="321">
        <v>2.7080000000000002</v>
      </c>
      <c r="BF9" s="321">
        <v>2.72</v>
      </c>
      <c r="BG9" s="321">
        <v>2.7589999999999999</v>
      </c>
      <c r="BH9" s="321">
        <v>2.7719999999999998</v>
      </c>
      <c r="BI9" s="321">
        <v>2.7810000000000001</v>
      </c>
      <c r="BJ9" s="321">
        <v>2.7879999999999998</v>
      </c>
      <c r="BK9" s="321">
        <v>2.794</v>
      </c>
      <c r="BL9" s="321">
        <v>2.8180000000000001</v>
      </c>
      <c r="BM9" s="321">
        <v>2.8359999999999999</v>
      </c>
      <c r="BN9" s="321">
        <v>2.8490000000000002</v>
      </c>
      <c r="BO9" s="321">
        <v>2.86</v>
      </c>
      <c r="BP9" s="321">
        <v>2.8660000000000001</v>
      </c>
      <c r="BQ9" s="321">
        <v>2.8780000000000001</v>
      </c>
      <c r="BR9" s="321">
        <v>2.8860000000000001</v>
      </c>
      <c r="BS9" s="321">
        <v>2.9049999999999998</v>
      </c>
      <c r="BT9" s="321">
        <v>2.9220000000000002</v>
      </c>
      <c r="BU9" s="321">
        <v>2.9369999999999998</v>
      </c>
      <c r="BV9" s="321">
        <v>2.9510000000000001</v>
      </c>
      <c r="BW9" s="321">
        <v>2.964</v>
      </c>
      <c r="BX9" s="321">
        <v>2.976</v>
      </c>
      <c r="BY9" s="321">
        <v>2.99</v>
      </c>
      <c r="BZ9" s="321">
        <v>3.0030000000000001</v>
      </c>
      <c r="CA9" s="321">
        <v>3.0179999999999998</v>
      </c>
      <c r="CB9" s="321">
        <v>3.0289999999999999</v>
      </c>
      <c r="CC9" s="321">
        <v>3.0449999999999999</v>
      </c>
      <c r="CD9" s="321">
        <v>3.0609999999999999</v>
      </c>
    </row>
    <row r="10" spans="1:83">
      <c r="A10" s="326" t="s">
        <v>169</v>
      </c>
      <c r="B10" s="326" t="s">
        <v>170</v>
      </c>
      <c r="C10" s="331">
        <v>2.0350000000000001</v>
      </c>
      <c r="D10" s="331">
        <v>2.06</v>
      </c>
      <c r="E10" s="331">
        <v>2.0649999999999999</v>
      </c>
      <c r="F10" s="331">
        <v>2.0870000000000002</v>
      </c>
      <c r="G10" s="331">
        <v>2.1040000000000001</v>
      </c>
      <c r="H10" s="331">
        <v>2.1150000000000002</v>
      </c>
      <c r="I10" s="331">
        <v>2.1509999999999998</v>
      </c>
      <c r="J10" s="331">
        <v>2.17</v>
      </c>
      <c r="K10" s="331">
        <v>2.1869999999999998</v>
      </c>
      <c r="L10" s="331">
        <v>2.2120000000000002</v>
      </c>
      <c r="M10" s="331">
        <v>2.2349999999999999</v>
      </c>
      <c r="N10" s="331">
        <v>2.2210000000000001</v>
      </c>
      <c r="O10" s="331">
        <v>2.2320000000000002</v>
      </c>
      <c r="P10" s="331">
        <v>2.258</v>
      </c>
      <c r="Q10" s="331">
        <v>2.2759999999999998</v>
      </c>
      <c r="R10" s="331">
        <v>2.302</v>
      </c>
      <c r="S10" s="331">
        <v>2.3199999999999998</v>
      </c>
      <c r="T10" s="331">
        <v>2.3639999999999999</v>
      </c>
      <c r="U10" s="331">
        <v>2.4049999999999998</v>
      </c>
      <c r="V10" s="331">
        <v>2.351</v>
      </c>
      <c r="W10" s="331">
        <v>2.34</v>
      </c>
      <c r="X10" s="331">
        <v>2.347</v>
      </c>
      <c r="Y10" s="331">
        <v>2.367</v>
      </c>
      <c r="Z10" s="331">
        <v>2.3809999999999998</v>
      </c>
      <c r="AA10" s="331">
        <v>2.379</v>
      </c>
      <c r="AB10" s="331">
        <v>2.383</v>
      </c>
      <c r="AC10" s="331">
        <v>2.3980000000000001</v>
      </c>
      <c r="AD10" s="331">
        <v>2.4220000000000002</v>
      </c>
      <c r="AE10" s="331">
        <v>2.4319999999999999</v>
      </c>
      <c r="AF10" s="331">
        <v>2.4769999999999999</v>
      </c>
      <c r="AG10" s="331">
        <v>2.4889999999999999</v>
      </c>
      <c r="AH10" s="331">
        <v>2.4969999999999999</v>
      </c>
      <c r="AI10" s="331">
        <v>2.5129999999999999</v>
      </c>
      <c r="AJ10" s="331">
        <v>2.5190000000000001</v>
      </c>
      <c r="AK10" s="331">
        <v>2.5299999999999998</v>
      </c>
      <c r="AL10" s="331">
        <v>2.5499999999999998</v>
      </c>
      <c r="AM10" s="331">
        <v>2.5569999999999999</v>
      </c>
      <c r="AN10" s="331">
        <v>2.5550000000000002</v>
      </c>
      <c r="AO10" s="331">
        <v>2.5739999999999998</v>
      </c>
      <c r="AP10" s="331">
        <v>2.589</v>
      </c>
      <c r="AQ10" s="331">
        <v>2.597</v>
      </c>
      <c r="AR10" s="331">
        <v>2.6080000000000001</v>
      </c>
      <c r="AS10" s="331">
        <v>2.6139999999999999</v>
      </c>
      <c r="AT10" s="331">
        <v>2.617</v>
      </c>
      <c r="AU10" s="321">
        <v>2.6120000000000001</v>
      </c>
      <c r="AV10" s="321">
        <v>2.6230000000000002</v>
      </c>
      <c r="AW10" s="321">
        <v>2.6190000000000002</v>
      </c>
      <c r="AX10" s="321">
        <v>2.6269999999999998</v>
      </c>
      <c r="AY10" s="321">
        <v>2.621</v>
      </c>
      <c r="AZ10" s="321">
        <v>2.6419999999999999</v>
      </c>
      <c r="BA10" s="321">
        <v>2.6629999999999998</v>
      </c>
      <c r="BB10" s="321">
        <v>2.6779999999999999</v>
      </c>
      <c r="BC10" s="321">
        <v>2.694</v>
      </c>
      <c r="BD10" s="321">
        <v>2.6960000000000002</v>
      </c>
      <c r="BE10" s="321">
        <v>2.7080000000000002</v>
      </c>
      <c r="BF10" s="321">
        <v>2.72</v>
      </c>
      <c r="BG10" s="321">
        <v>2.7589999999999999</v>
      </c>
      <c r="BH10" s="321">
        <v>2.7719999999999998</v>
      </c>
      <c r="BI10" s="321">
        <v>2.7810000000000001</v>
      </c>
      <c r="BJ10" s="321">
        <v>2.7879999999999998</v>
      </c>
      <c r="BK10" s="321">
        <v>2.794</v>
      </c>
      <c r="BL10" s="321">
        <v>2.8239999999999998</v>
      </c>
      <c r="BM10" s="321">
        <v>2.8479999999999999</v>
      </c>
      <c r="BN10" s="321">
        <v>2.867</v>
      </c>
      <c r="BO10" s="321">
        <v>2.8839999999999999</v>
      </c>
      <c r="BP10" s="321">
        <v>2.8959999999999999</v>
      </c>
      <c r="BQ10" s="321">
        <v>2.9169999999999998</v>
      </c>
      <c r="BR10" s="321">
        <v>2.9319999999999999</v>
      </c>
      <c r="BS10" s="321">
        <v>2.96</v>
      </c>
      <c r="BT10" s="321">
        <v>2.9870000000000001</v>
      </c>
      <c r="BU10" s="321">
        <v>3.0129999999999999</v>
      </c>
      <c r="BV10" s="321">
        <v>3.0369999999999999</v>
      </c>
      <c r="BW10" s="321">
        <v>3.0619999999999998</v>
      </c>
      <c r="BX10" s="321">
        <v>3.0859999999999999</v>
      </c>
      <c r="BY10" s="321">
        <v>3.1120000000000001</v>
      </c>
      <c r="BZ10" s="321">
        <v>3.1389999999999998</v>
      </c>
      <c r="CA10" s="321">
        <v>3.1669999999999998</v>
      </c>
      <c r="CB10" s="321">
        <v>3.19</v>
      </c>
      <c r="CC10" s="321">
        <v>3.218</v>
      </c>
      <c r="CD10" s="321">
        <v>3.246</v>
      </c>
    </row>
    <row r="11" spans="1:83">
      <c r="A11" s="326"/>
      <c r="B11" s="326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</row>
    <row r="12" spans="1:83">
      <c r="A12" s="326"/>
      <c r="B12" s="326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</row>
    <row r="13" spans="1:83">
      <c r="A13" s="326"/>
      <c r="B13" s="326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</row>
    <row r="14" spans="1:83">
      <c r="BI14" s="16" t="s">
        <v>171</v>
      </c>
      <c r="BJ14" s="17"/>
      <c r="BK14" s="17"/>
      <c r="BL14" s="18" t="s">
        <v>243</v>
      </c>
      <c r="BM14" s="19"/>
      <c r="BN14" s="19"/>
      <c r="BO14" s="19"/>
      <c r="BP14" s="19"/>
      <c r="BQ14" s="19"/>
      <c r="BR14" s="17"/>
      <c r="BS14" s="17"/>
      <c r="BT14" s="17"/>
    </row>
    <row r="15" spans="1:83">
      <c r="BI15" s="20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2"/>
    </row>
    <row r="16" spans="1:83">
      <c r="BI16" s="23"/>
      <c r="BJ16" s="24" t="s">
        <v>172</v>
      </c>
      <c r="BK16" s="25" t="s">
        <v>242</v>
      </c>
      <c r="BL16" s="25"/>
      <c r="BM16" s="25"/>
      <c r="BN16" s="25"/>
      <c r="BO16" s="25"/>
      <c r="BP16" s="25"/>
      <c r="BQ16" s="25"/>
      <c r="BR16" s="25"/>
      <c r="BS16" s="25"/>
      <c r="BT16" s="26"/>
    </row>
    <row r="17" spans="61:75">
      <c r="BI17" s="23"/>
      <c r="BJ17" s="25"/>
      <c r="BK17" s="330" t="s">
        <v>155</v>
      </c>
      <c r="BL17" s="330"/>
      <c r="BM17" s="330"/>
      <c r="BN17" s="330"/>
      <c r="BO17" s="25"/>
      <c r="BP17" s="25"/>
      <c r="BQ17" s="25"/>
      <c r="BR17" s="25"/>
      <c r="BS17" s="25"/>
      <c r="BT17" s="27" t="s">
        <v>173</v>
      </c>
    </row>
    <row r="18" spans="61:75">
      <c r="BI18" s="23"/>
      <c r="BJ18" s="25"/>
      <c r="BK18" s="321">
        <v>2.8490000000000002</v>
      </c>
      <c r="BL18" s="173"/>
      <c r="BM18" s="173"/>
      <c r="BN18" s="173"/>
      <c r="BO18" s="25"/>
      <c r="BP18" s="25"/>
      <c r="BQ18" s="25"/>
      <c r="BR18" s="25"/>
      <c r="BS18" s="25"/>
      <c r="BT18" s="28">
        <f>AVERAGE(BK18:BN18)</f>
        <v>2.8490000000000002</v>
      </c>
    </row>
    <row r="19" spans="61:75">
      <c r="BI19" s="23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9"/>
    </row>
    <row r="20" spans="61:75">
      <c r="BI20" s="23"/>
      <c r="BJ20" s="24" t="s">
        <v>174</v>
      </c>
      <c r="BK20" s="25" t="s">
        <v>244</v>
      </c>
      <c r="BL20" s="25"/>
      <c r="BM20" s="25"/>
      <c r="BN20" s="25"/>
      <c r="BO20" s="25"/>
      <c r="BP20" s="25"/>
      <c r="BQ20" s="25"/>
      <c r="BR20" s="25"/>
      <c r="BS20" s="25"/>
      <c r="BT20" s="29"/>
    </row>
    <row r="21" spans="61:75">
      <c r="BI21" s="23"/>
      <c r="BJ21" s="25"/>
      <c r="BK21" s="326" t="s">
        <v>156</v>
      </c>
      <c r="BL21" s="326" t="s">
        <v>157</v>
      </c>
      <c r="BM21" s="326" t="s">
        <v>158</v>
      </c>
      <c r="BN21" s="326" t="s">
        <v>159</v>
      </c>
      <c r="BO21" s="326" t="s">
        <v>160</v>
      </c>
      <c r="BP21" s="326" t="s">
        <v>161</v>
      </c>
      <c r="BQ21" s="326" t="s">
        <v>162</v>
      </c>
      <c r="BR21" s="326" t="s">
        <v>163</v>
      </c>
      <c r="BS21" s="25"/>
      <c r="BT21" s="29"/>
    </row>
    <row r="22" spans="61:75" ht="15">
      <c r="BI22" s="23"/>
      <c r="BJ22" s="25"/>
      <c r="BK22" s="321">
        <v>2.86</v>
      </c>
      <c r="BL22" s="321">
        <v>2.8660000000000001</v>
      </c>
      <c r="BM22" s="321">
        <v>2.8780000000000001</v>
      </c>
      <c r="BN22" s="321">
        <v>2.8860000000000001</v>
      </c>
      <c r="BO22" s="321">
        <v>2.9049999999999998</v>
      </c>
      <c r="BP22" s="321">
        <v>2.9220000000000002</v>
      </c>
      <c r="BQ22" s="321">
        <v>2.9369999999999998</v>
      </c>
      <c r="BR22" s="321">
        <v>2.9510000000000001</v>
      </c>
      <c r="BS22" s="25"/>
      <c r="BT22" s="28">
        <f>AVERAGE(BK22:BR22)</f>
        <v>2.9006249999999998</v>
      </c>
      <c r="BW22" s="332"/>
    </row>
    <row r="23" spans="61:75" ht="15">
      <c r="BI23" s="23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9"/>
      <c r="BW23" s="332"/>
    </row>
    <row r="24" spans="61:75">
      <c r="BI24" s="23"/>
      <c r="BJ24" s="25"/>
      <c r="BK24" s="25"/>
      <c r="BL24" s="25"/>
      <c r="BM24" s="25"/>
      <c r="BN24" s="25"/>
      <c r="BO24" s="25"/>
      <c r="BP24" s="25"/>
      <c r="BQ24" s="25"/>
      <c r="BR24" s="25"/>
      <c r="BS24" s="30" t="s">
        <v>62</v>
      </c>
      <c r="BT24" s="31">
        <f>(BT22-BT18)/BT18</f>
        <v>1.8120393120392975E-2</v>
      </c>
    </row>
    <row r="25" spans="61:75">
      <c r="BI25" s="333"/>
      <c r="BJ25" s="334"/>
      <c r="BK25" s="334"/>
      <c r="BL25" s="334"/>
      <c r="BM25" s="334"/>
      <c r="BN25" s="334"/>
      <c r="BO25" s="334"/>
      <c r="BP25" s="334"/>
      <c r="BQ25" s="334"/>
      <c r="BR25" s="334"/>
      <c r="BS25" s="334"/>
      <c r="BT25" s="3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8014 Basic HC Case </vt:lpstr>
      <vt:lpstr>8060 ECOP CM </vt:lpstr>
      <vt:lpstr>8015 Supportive Senior House</vt:lpstr>
      <vt:lpstr>8042 Protective Svs</vt:lpstr>
      <vt:lpstr>8017  Congregate HSC</vt:lpstr>
      <vt:lpstr>8005  Money Mgmt</vt:lpstr>
      <vt:lpstr>8010  Guardianship</vt:lpstr>
      <vt:lpstr>CAF</vt:lpstr>
      <vt:lpstr>'8005  Money Mgmt'!Print_Area</vt:lpstr>
      <vt:lpstr>'8010  Guardianship'!Print_Area</vt:lpstr>
      <vt:lpstr>'8014 Basic HC Case '!Print_Area</vt:lpstr>
      <vt:lpstr>'8015 Supportive Senior House'!Print_Area</vt:lpstr>
      <vt:lpstr>'8017  Congregate HSC'!Print_Area</vt:lpstr>
      <vt:lpstr>'8042 Protective Svs'!Print_Area</vt:lpstr>
      <vt:lpstr>'8060 ECOP CM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2019-08-06T11:36:35Z</dcterms:created>
  <dcterms:modified xsi:type="dcterms:W3CDTF">2019-09-05T14:03:37Z</dcterms:modified>
</cp:coreProperties>
</file>