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23250" windowHeight="11775" tabRatio="884" firstSheet="5" activeTab="5"/>
  </bookViews>
  <sheets>
    <sheet name="ATIL FY16" sheetId="16" state="hidden" r:id="rId1"/>
    <sheet name="ATIL FY15 FI" sheetId="15" state="hidden" r:id="rId2"/>
    <sheet name="Fall 2018" sheetId="19" state="hidden" r:id="rId3"/>
    <sheet name="Fiscal Impact - wip" sheetId="18" state="hidden" r:id="rId4"/>
    <sheet name="CMR 422 Master Lookup" sheetId="24" r:id="rId5"/>
    <sheet name="1. O&amp;M Model Budget" sheetId="5" r:id="rId6"/>
    <sheet name="1a. VR Assistant" sheetId="10" r:id="rId7"/>
    <sheet name="2. HCA-Post PH" sheetId="6" r:id="rId8"/>
    <sheet name="3. ATILSingleSiteModel" sheetId="7" r:id="rId9"/>
    <sheet name="4. Mobile Eye Model Budget" sheetId="4" r:id="rId10"/>
    <sheet name="5. DBCAN Model Budget" sheetId="1" r:id="rId11"/>
    <sheet name="Spring 2019 CAF" sheetId="25" r:id="rId12"/>
    <sheet name="FY18 Spend" sheetId="22" state="hidden" r:id="rId13"/>
    <sheet name="Spring2017 CAF" sheetId="12" state="hidden" r:id="rId14"/>
    <sheet name="Salary Compare" sheetId="20" state="hidden" r:id="rId15"/>
    <sheet name="Activity Codes" sheetId="23" state="hidden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12" hidden="1">'FY18 Spend'!$A$1:$L$89</definedName>
    <definedName name="autsupp2">#REF!</definedName>
    <definedName name="Cap" localSheetId="5">[1]RawDataCalcs!$L$13:$DB$13</definedName>
    <definedName name="Cap" localSheetId="6">[1]RawDataCalcs!$L$13:$DB$13</definedName>
    <definedName name="Cap" localSheetId="9">[1]RawDataCalcs!$L$13:$DB$13</definedName>
    <definedName name="Cap" localSheetId="11">[2]RawDataCalcs!$L$17:$DB$17</definedName>
    <definedName name="Cap">[3]RawDataCalcs!$L$13:$DB$13</definedName>
    <definedName name="Floor" localSheetId="5">[1]RawDataCalcs!$L$12:$DB$12</definedName>
    <definedName name="Floor" localSheetId="6">[1]RawDataCalcs!$L$12:$DB$12</definedName>
    <definedName name="Floor" localSheetId="9">[1]RawDataCalcs!$L$12:$DB$12</definedName>
    <definedName name="Floor" localSheetId="11">[2]RawDataCalcs!$L$16:$DB$16</definedName>
    <definedName name="Floor">[3]RawDataCalcs!$L$12:$DB$12</definedName>
    <definedName name="gk" localSheetId="5">#REF!</definedName>
    <definedName name="gk" localSheetId="6">#REF!</definedName>
    <definedName name="gk" localSheetId="8">#REF!</definedName>
    <definedName name="gk" localSheetId="9">#REF!</definedName>
    <definedName name="gk" localSheetId="10">#REF!</definedName>
    <definedName name="gk" localSheetId="1">#REF!</definedName>
    <definedName name="gk" localSheetId="11">#REF!</definedName>
    <definedName name="gk">#REF!</definedName>
    <definedName name="ListProviders">'[4]List of Programs'!$A$24:$A$29</definedName>
    <definedName name="MT" localSheetId="11">#REF!</definedName>
    <definedName name="MT">#REF!</definedName>
    <definedName name="_xlnm.Print_Area" localSheetId="5">'1. O&amp;M Model Budget'!$J$2:$X$38</definedName>
    <definedName name="_xlnm.Print_Area" localSheetId="6">'1a. VR Assistant'!$B$2:$L$23</definedName>
    <definedName name="_xlnm.Print_Area" localSheetId="7">'2. HCA-Post PH'!$A$1:$H$17</definedName>
    <definedName name="_xlnm.Print_Area" localSheetId="8">'3. ATILSingleSiteModel'!$I$2:$T$33</definedName>
    <definedName name="_xlnm.Print_Area" localSheetId="9">'4. Mobile Eye Model Budget'!$B$2:$L$34</definedName>
    <definedName name="_xlnm.Print_Area" localSheetId="10">'5. DBCAN Model Budget'!$B$2:$N$31</definedName>
    <definedName name="_xlnm.Print_Area" localSheetId="1">'ATIL FY15 FI'!$A$8:$K$23</definedName>
    <definedName name="_xlnm.Print_Area" localSheetId="4">'CMR 422 Master Lookup'!$B$2:$H$43</definedName>
    <definedName name="_xlnm.Print_Area" localSheetId="11">'Spring 2019 CAF'!$BI$6:$BX$26</definedName>
    <definedName name="_xlnm.Print_Titles" localSheetId="2">'Fall 2018'!$A:$A</definedName>
    <definedName name="_xlnm.Print_Titles" localSheetId="11">'Spring 2019 CAF'!$A:$A</definedName>
    <definedName name="_xlnm.Print_Titles" localSheetId="13">'Spring2017 CAF'!$A:$A</definedName>
    <definedName name="Programs">'[4]List of Programs'!$B$3:$B$19</definedName>
    <definedName name="Source" localSheetId="11">#REF!</definedName>
    <definedName name="Source">#REF!</definedName>
    <definedName name="Source_2" localSheetId="11">#REF!</definedName>
    <definedName name="Source_2">#REF!</definedName>
    <definedName name="Total_UFR" localSheetId="5">#REF!</definedName>
    <definedName name="Total_UFR" localSheetId="6">#REF!</definedName>
    <definedName name="Total_UFR" localSheetId="8">#REF!</definedName>
    <definedName name="Total_UFR" localSheetId="9">#REF!</definedName>
    <definedName name="Total_UFR" localSheetId="10">#REF!</definedName>
    <definedName name="Total_UFR" localSheetId="1">#REF!</definedName>
    <definedName name="Total_UFR" localSheetId="11">#REF!</definedName>
    <definedName name="Total_UFR">#REF!</definedName>
    <definedName name="UFR" localSheetId="11">'[5]Complete UFR List'!#REF!</definedName>
    <definedName name="UFR">'[5]Complete UFR List'!#REF!</definedName>
    <definedName name="UFRS">'[5]Complete UFR List'!#REF!</definedName>
  </definedNames>
  <calcPr calcId="145621"/>
</workbook>
</file>

<file path=xl/calcChain.xml><?xml version="1.0" encoding="utf-8"?>
<calcChain xmlns="http://schemas.openxmlformats.org/spreadsheetml/2006/main">
  <c r="Q24" i="7" l="1"/>
  <c r="C6" i="5"/>
  <c r="C7" i="5"/>
  <c r="C9" i="5"/>
  <c r="B12" i="5"/>
  <c r="B13" i="5"/>
  <c r="B14" i="5"/>
  <c r="B15" i="5"/>
  <c r="B16" i="5"/>
  <c r="B17" i="5"/>
  <c r="C25" i="5"/>
  <c r="Q26" i="7" l="1"/>
  <c r="K29" i="1" l="1"/>
  <c r="H6" i="10"/>
  <c r="I8" i="1" l="1"/>
  <c r="I7" i="1"/>
  <c r="O13" i="7"/>
  <c r="O12" i="7"/>
  <c r="O11" i="7"/>
  <c r="O7" i="7"/>
  <c r="O6" i="7"/>
  <c r="I10" i="1" l="1"/>
  <c r="G12" i="4" l="1"/>
  <c r="G11" i="4"/>
  <c r="G9" i="4"/>
  <c r="G8" i="4"/>
  <c r="G6" i="4"/>
  <c r="L7" i="5"/>
  <c r="L11" i="5"/>
  <c r="L10" i="5"/>
  <c r="L8" i="5"/>
  <c r="C24" i="4" l="1"/>
  <c r="C23" i="4"/>
  <c r="C22" i="4"/>
  <c r="C5" i="4"/>
  <c r="I25" i="1" l="1"/>
  <c r="I24" i="1"/>
  <c r="K22" i="1"/>
  <c r="K21" i="1"/>
  <c r="K20" i="1"/>
  <c r="K19" i="1"/>
  <c r="K18" i="1"/>
  <c r="K17" i="1"/>
  <c r="K16" i="1"/>
  <c r="I13" i="1"/>
  <c r="G24" i="4"/>
  <c r="G23" i="4"/>
  <c r="H20" i="4"/>
  <c r="I19" i="4"/>
  <c r="I18" i="4"/>
  <c r="G15" i="4"/>
  <c r="Q21" i="7"/>
  <c r="Q20" i="7"/>
  <c r="Q19" i="7"/>
  <c r="O24" i="7"/>
  <c r="O23" i="7"/>
  <c r="O16" i="7"/>
  <c r="J13" i="10"/>
  <c r="J11" i="10"/>
  <c r="H17" i="10"/>
  <c r="H16" i="10"/>
  <c r="H9" i="10"/>
  <c r="L24" i="5"/>
  <c r="L23" i="5"/>
  <c r="L15" i="5"/>
  <c r="G6" i="24"/>
  <c r="H21" i="10" s="1"/>
  <c r="BS23" i="25"/>
  <c r="BR23" i="25"/>
  <c r="BQ23" i="25"/>
  <c r="BP23" i="25"/>
  <c r="BO23" i="25"/>
  <c r="BN23" i="25"/>
  <c r="BM23" i="25"/>
  <c r="BL23" i="25"/>
  <c r="BU23" i="25" s="1"/>
  <c r="BS22" i="25"/>
  <c r="BR22" i="25"/>
  <c r="BQ22" i="25"/>
  <c r="BP22" i="25"/>
  <c r="BO22" i="25"/>
  <c r="BN22" i="25"/>
  <c r="BM22" i="25"/>
  <c r="BL19" i="25"/>
  <c r="BU19" i="25" s="1"/>
  <c r="I27" i="1" l="1"/>
  <c r="E6" i="6"/>
  <c r="O28" i="7"/>
  <c r="G28" i="4"/>
  <c r="L28" i="5"/>
  <c r="BU25" i="25"/>
  <c r="BH20" i="19"/>
  <c r="F10" i="6" l="1"/>
  <c r="F11" i="6"/>
  <c r="F7" i="6"/>
  <c r="F9" i="6"/>
  <c r="L96" i="22"/>
  <c r="L90" i="22" l="1"/>
  <c r="L87" i="22"/>
  <c r="L84" i="22"/>
  <c r="L28" i="22"/>
  <c r="L23" i="22"/>
  <c r="L19" i="22"/>
  <c r="BI24" i="19" l="1"/>
  <c r="BJ24" i="19"/>
  <c r="BK24" i="19"/>
  <c r="BL24" i="19"/>
  <c r="BM24" i="19"/>
  <c r="BN24" i="19"/>
  <c r="BO24" i="19"/>
  <c r="BH24" i="19"/>
  <c r="BI23" i="19"/>
  <c r="BJ23" i="19"/>
  <c r="BK23" i="19"/>
  <c r="BL23" i="19"/>
  <c r="BM23" i="19"/>
  <c r="BN23" i="19"/>
  <c r="BO23" i="19"/>
  <c r="BH23" i="19"/>
  <c r="C25" i="1" l="1"/>
  <c r="C24" i="1"/>
  <c r="C20" i="1"/>
  <c r="C19" i="1"/>
  <c r="C7" i="1"/>
  <c r="C8" i="1" l="1"/>
  <c r="C22" i="7"/>
  <c r="B22" i="7"/>
  <c r="A22" i="7"/>
  <c r="N24" i="7" s="1"/>
  <c r="B9" i="7"/>
  <c r="B8" i="7"/>
  <c r="B7" i="7"/>
  <c r="B6" i="7"/>
  <c r="B5" i="7"/>
  <c r="D27" i="1"/>
  <c r="C27" i="1"/>
  <c r="B27" i="1"/>
  <c r="H25" i="1" s="1"/>
  <c r="D26" i="4"/>
  <c r="C26" i="4"/>
  <c r="B26" i="4"/>
  <c r="F24" i="4" s="1"/>
  <c r="C11" i="4"/>
  <c r="C10" i="4"/>
  <c r="C8" i="4"/>
  <c r="C7" i="4"/>
  <c r="G17" i="10"/>
  <c r="BQ24" i="19"/>
  <c r="BQ20" i="19"/>
  <c r="BQ26" i="19" l="1"/>
  <c r="C27" i="4" s="1"/>
  <c r="J23" i="5"/>
  <c r="C28" i="1" l="1"/>
  <c r="F8" i="6"/>
  <c r="B23" i="7"/>
  <c r="C12" i="10"/>
  <c r="B32" i="18"/>
  <c r="B34" i="18"/>
  <c r="B33" i="18" l="1"/>
  <c r="B35" i="18" s="1"/>
  <c r="C3" i="18"/>
  <c r="D3" i="18" s="1"/>
  <c r="E3" i="18" s="1"/>
  <c r="C1" i="18"/>
  <c r="C21" i="18" s="1"/>
  <c r="C28" i="18" l="1"/>
  <c r="D28" i="18" s="1"/>
  <c r="E28" i="18" s="1"/>
  <c r="C4" i="18"/>
  <c r="D4" i="18" s="1"/>
  <c r="E4" i="18" s="1"/>
  <c r="E5" i="18" s="1"/>
  <c r="C10" i="18"/>
  <c r="D21" i="18"/>
  <c r="E21" i="18" s="1"/>
  <c r="D5" i="18"/>
  <c r="B12" i="18"/>
  <c r="B5" i="18"/>
  <c r="C5" i="18" l="1"/>
  <c r="C12" i="18"/>
  <c r="C32" i="18"/>
  <c r="D10" i="18"/>
  <c r="L6" i="16"/>
  <c r="M6" i="16"/>
  <c r="L22" i="16"/>
  <c r="M22" i="16"/>
  <c r="L28" i="16"/>
  <c r="M28" i="16"/>
  <c r="D31" i="16"/>
  <c r="M31" i="16"/>
  <c r="C32" i="16"/>
  <c r="D32" i="16"/>
  <c r="E32" i="16"/>
  <c r="M32" i="16"/>
  <c r="C33" i="16"/>
  <c r="D33" i="16"/>
  <c r="E33" i="16"/>
  <c r="M33" i="16"/>
  <c r="C34" i="16"/>
  <c r="D34" i="16"/>
  <c r="E34" i="16"/>
  <c r="C35" i="16"/>
  <c r="D35" i="16"/>
  <c r="E35" i="16"/>
  <c r="B18" i="15"/>
  <c r="C18" i="15"/>
  <c r="C22" i="15"/>
  <c r="D17" i="15"/>
  <c r="P7" i="15"/>
  <c r="D13" i="15"/>
  <c r="I10" i="15"/>
  <c r="G22" i="15"/>
  <c r="F22" i="15"/>
  <c r="E22" i="15"/>
  <c r="F18" i="15"/>
  <c r="E18" i="15"/>
  <c r="H17" i="15"/>
  <c r="I17" i="15" s="1"/>
  <c r="H16" i="15"/>
  <c r="I16" i="15" s="1"/>
  <c r="H15" i="15"/>
  <c r="H18" i="15" s="1"/>
  <c r="D15" i="15"/>
  <c r="H13" i="15"/>
  <c r="I13" i="15" s="1"/>
  <c r="H12" i="15"/>
  <c r="H22" i="15" s="1"/>
  <c r="D12" i="15"/>
  <c r="S9" i="15"/>
  <c r="S8" i="15"/>
  <c r="P8" i="15"/>
  <c r="S7" i="15"/>
  <c r="S5" i="15"/>
  <c r="S4" i="15"/>
  <c r="P4" i="15"/>
  <c r="D32" i="18" l="1"/>
  <c r="E32" i="18" s="1"/>
  <c r="E10" i="18"/>
  <c r="E12" i="18" s="1"/>
  <c r="D12" i="18"/>
  <c r="I22" i="15"/>
  <c r="P9" i="15"/>
  <c r="D16" i="15"/>
  <c r="K16" i="15" s="1"/>
  <c r="P5" i="15"/>
  <c r="B22" i="15"/>
  <c r="D22" i="15" s="1"/>
  <c r="K22" i="15" s="1"/>
  <c r="K13" i="15"/>
  <c r="J13" i="15"/>
  <c r="J16" i="15"/>
  <c r="J17" i="15"/>
  <c r="K17" i="15"/>
  <c r="I12" i="15"/>
  <c r="I15" i="15"/>
  <c r="D18" i="15" l="1"/>
  <c r="J22" i="15"/>
  <c r="J12" i="15"/>
  <c r="K12" i="15"/>
  <c r="I18" i="15"/>
  <c r="J18" i="15" s="1"/>
  <c r="J15" i="15"/>
  <c r="K15" i="15"/>
  <c r="K18" i="15" s="1"/>
  <c r="H12" i="4" l="1"/>
  <c r="H11" i="4"/>
  <c r="H9" i="4"/>
  <c r="H8" i="4"/>
  <c r="H6" i="4"/>
  <c r="BB21" i="12" l="1"/>
  <c r="BC25" i="12"/>
  <c r="BD25" i="12"/>
  <c r="BE25" i="12"/>
  <c r="BF25" i="12"/>
  <c r="BG25" i="12"/>
  <c r="BH25" i="12"/>
  <c r="BI25" i="12"/>
  <c r="BB25" i="12"/>
  <c r="BI39" i="12"/>
  <c r="BH39" i="12"/>
  <c r="BG39" i="12"/>
  <c r="BF39" i="12"/>
  <c r="BE39" i="12"/>
  <c r="BD39" i="12"/>
  <c r="BC39" i="12"/>
  <c r="BB39" i="12"/>
  <c r="BK39" i="12" s="1"/>
  <c r="BK41" i="12" s="1"/>
  <c r="BE35" i="12"/>
  <c r="BD35" i="12"/>
  <c r="BC35" i="12"/>
  <c r="BB35" i="12"/>
  <c r="BK35" i="12" s="1"/>
  <c r="BK25" i="12"/>
  <c r="BK21" i="12"/>
  <c r="BK27" i="12" l="1"/>
  <c r="J6" i="10" l="1"/>
  <c r="J17" i="10" s="1"/>
  <c r="J7" i="10" l="1"/>
  <c r="J9" i="10" s="1"/>
  <c r="J10" i="10" s="1"/>
  <c r="J15" i="10" s="1"/>
  <c r="J16" i="10" l="1"/>
  <c r="J19" i="10" s="1"/>
  <c r="J21" i="10" l="1"/>
  <c r="N13" i="7" l="1"/>
  <c r="N12" i="7"/>
  <c r="N11" i="7"/>
  <c r="N7" i="7"/>
  <c r="N6" i="7"/>
  <c r="P6" i="7" l="1"/>
  <c r="P11" i="7"/>
  <c r="P7" i="7"/>
  <c r="P12" i="7"/>
  <c r="P13" i="7"/>
  <c r="Q6" i="7" l="1"/>
  <c r="Q11" i="7"/>
  <c r="P14" i="7"/>
  <c r="Q12" i="7"/>
  <c r="Q13" i="7"/>
  <c r="Q7" i="7"/>
  <c r="Q4" i="7"/>
  <c r="Q14" i="7" l="1"/>
  <c r="Q16" i="7" l="1"/>
  <c r="Q17" i="7" s="1"/>
  <c r="Q22" i="7" s="1"/>
  <c r="Q23" i="7" s="1"/>
  <c r="T33" i="5"/>
  <c r="T25" i="5"/>
  <c r="J20" i="5"/>
  <c r="J19" i="5"/>
  <c r="J18" i="5"/>
  <c r="M11" i="5"/>
  <c r="J10" i="5"/>
  <c r="J11" i="5"/>
  <c r="M10" i="5"/>
  <c r="S11" i="5"/>
  <c r="S12" i="5" s="1"/>
  <c r="J9" i="5"/>
  <c r="T10" i="5"/>
  <c r="M8" i="5"/>
  <c r="J8" i="5"/>
  <c r="T9" i="5"/>
  <c r="M7" i="5"/>
  <c r="J7" i="5"/>
  <c r="J6" i="5"/>
  <c r="F19" i="4"/>
  <c r="B19" i="4"/>
  <c r="F18" i="4"/>
  <c r="B18" i="4"/>
  <c r="B17" i="4"/>
  <c r="B16" i="4"/>
  <c r="B15" i="4"/>
  <c r="B14" i="4"/>
  <c r="B13" i="4"/>
  <c r="F12" i="4"/>
  <c r="F11" i="4"/>
  <c r="F10" i="4"/>
  <c r="F9" i="4"/>
  <c r="F8" i="4"/>
  <c r="F7" i="4"/>
  <c r="F6" i="4"/>
  <c r="F5" i="4"/>
  <c r="I3" i="4"/>
  <c r="Q28" i="7" l="1"/>
  <c r="Q30" i="7" s="1"/>
  <c r="S14" i="5"/>
  <c r="J4" i="10"/>
  <c r="J22" i="10" s="1"/>
  <c r="H13" i="4"/>
  <c r="N8" i="5"/>
  <c r="N18" i="5"/>
  <c r="N20" i="5"/>
  <c r="M12" i="5"/>
  <c r="N19" i="5"/>
  <c r="N4" i="5"/>
  <c r="N7" i="5"/>
  <c r="N10" i="5"/>
  <c r="N11" i="5"/>
  <c r="I6" i="4"/>
  <c r="I8" i="4"/>
  <c r="I9" i="4"/>
  <c r="I11" i="4"/>
  <c r="I12" i="4"/>
  <c r="I20" i="4"/>
  <c r="C17" i="18" l="1"/>
  <c r="D17" i="18" s="1"/>
  <c r="E17" i="18" s="1"/>
  <c r="N12" i="5"/>
  <c r="N23" i="5" s="1"/>
  <c r="I13" i="4"/>
  <c r="I24" i="4" s="1"/>
  <c r="N15" i="5" l="1"/>
  <c r="N16" i="5" s="1"/>
  <c r="N22" i="5" s="1"/>
  <c r="I15" i="4"/>
  <c r="I16" i="4" s="1"/>
  <c r="I22" i="4" s="1"/>
  <c r="N24" i="5" l="1"/>
  <c r="N26" i="5" s="1"/>
  <c r="I23" i="4"/>
  <c r="I26" i="4" l="1"/>
  <c r="I28" i="4" s="1"/>
  <c r="I30" i="4" s="1"/>
  <c r="N28" i="5"/>
  <c r="N30" i="5" l="1"/>
  <c r="T18" i="5" s="1"/>
  <c r="V18" i="5" l="1"/>
  <c r="T35" i="5"/>
  <c r="T27" i="5"/>
  <c r="T19" i="5" l="1"/>
  <c r="V19" i="5" s="1"/>
  <c r="T28" i="5"/>
  <c r="T20" i="5"/>
  <c r="V20" i="5" s="1"/>
  <c r="T36" i="5"/>
  <c r="C29" i="18"/>
  <c r="C34" i="18" s="1"/>
  <c r="H22" i="1"/>
  <c r="H21" i="1"/>
  <c r="H16" i="1"/>
  <c r="B16" i="1"/>
  <c r="B15" i="1"/>
  <c r="B14" i="1"/>
  <c r="B13" i="1"/>
  <c r="B12" i="1"/>
  <c r="J10" i="1"/>
  <c r="H10" i="1"/>
  <c r="H9" i="1"/>
  <c r="J8" i="1"/>
  <c r="H8" i="1"/>
  <c r="J7" i="1"/>
  <c r="H7" i="1"/>
  <c r="H6" i="1"/>
  <c r="K4" i="1"/>
  <c r="D29" i="18" l="1"/>
  <c r="D34" i="18" s="1"/>
  <c r="J11" i="1"/>
  <c r="K7" i="1"/>
  <c r="K8" i="1"/>
  <c r="K10" i="1"/>
  <c r="E29" i="18" l="1"/>
  <c r="E34" i="18" s="1"/>
  <c r="K11" i="1"/>
  <c r="K25" i="1" s="1"/>
  <c r="K13" i="1" l="1"/>
  <c r="K14" i="1" l="1"/>
  <c r="K23" i="1" s="1"/>
  <c r="K24" i="1" l="1"/>
  <c r="K26" i="1" s="1"/>
  <c r="K27" i="1" s="1"/>
  <c r="C25" i="18" l="1"/>
  <c r="C33" i="18" l="1"/>
  <c r="D25" i="18"/>
  <c r="E25" i="18" s="1"/>
  <c r="C35" i="18" l="1"/>
  <c r="G35" i="18" s="1"/>
  <c r="D33" i="18"/>
  <c r="E33" i="18" l="1"/>
  <c r="E35" i="18" s="1"/>
  <c r="D35" i="18"/>
</calcChain>
</file>

<file path=xl/comments1.xml><?xml version="1.0" encoding="utf-8"?>
<comments xmlns="http://schemas.openxmlformats.org/spreadsheetml/2006/main">
  <authors>
    <author>kara</author>
  </authors>
  <commentList>
    <comment ref="B3" authorId="0">
      <text>
        <r>
          <rPr>
            <b/>
            <sz val="9"/>
            <color indexed="81"/>
            <rFont val="Tahoma"/>
            <family val="2"/>
          </rPr>
          <t>kara:</t>
        </r>
        <r>
          <rPr>
            <sz val="9"/>
            <color indexed="81"/>
            <rFont val="Tahoma"/>
            <family val="2"/>
          </rPr>
          <t xml:space="preserve">
5.8.17 - from Betty FY17 projection is $3,121,645 less $26,097 for Evals </t>
        </r>
      </text>
    </comment>
    <comment ref="B9" authorId="0">
      <text>
        <r>
          <rPr>
            <b/>
            <sz val="9"/>
            <color indexed="81"/>
            <rFont val="Tahoma"/>
            <family val="2"/>
          </rPr>
          <t>kara:</t>
        </r>
        <r>
          <rPr>
            <sz val="9"/>
            <color indexed="81"/>
            <rFont val="Tahoma"/>
            <family val="2"/>
          </rPr>
          <t xml:space="preserve">
Does this spend include or exclude the Flex funding for devices?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kara:</t>
        </r>
        <r>
          <rPr>
            <sz val="9"/>
            <color indexed="81"/>
            <rFont val="Tahoma"/>
            <family val="2"/>
          </rPr>
          <t xml:space="preserve">
22 days for FY18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kara:</t>
        </r>
        <r>
          <rPr>
            <sz val="9"/>
            <color indexed="81"/>
            <rFont val="Tahoma"/>
            <family val="2"/>
          </rPr>
          <t xml:space="preserve">
This is the figure in which we are going by regardless whether Deaf Inc Billed out for FY17</t>
        </r>
      </text>
    </comment>
    <comment ref="B31" authorId="0">
      <text>
        <r>
          <rPr>
            <b/>
            <sz val="9"/>
            <color indexed="81"/>
            <rFont val="Tahoma"/>
            <family val="2"/>
          </rPr>
          <t>kara:</t>
        </r>
        <r>
          <rPr>
            <sz val="9"/>
            <color indexed="81"/>
            <rFont val="Tahoma"/>
            <family val="2"/>
          </rPr>
          <t xml:space="preserve">
Can you tell me how many days you intend to purchase for FY18 please</t>
        </r>
      </text>
    </comment>
  </commentList>
</comments>
</file>

<file path=xl/sharedStrings.xml><?xml version="1.0" encoding="utf-8"?>
<sst xmlns="http://schemas.openxmlformats.org/spreadsheetml/2006/main" count="2025" uniqueCount="669">
  <si>
    <t>Master Data Look-up Table</t>
  </si>
  <si>
    <t>Benchmark Salaries</t>
  </si>
  <si>
    <t>Source</t>
  </si>
  <si>
    <t>Particpants:</t>
  </si>
  <si>
    <t>Total Hours:</t>
  </si>
  <si>
    <t>Salary</t>
  </si>
  <si>
    <t>FTE</t>
  </si>
  <si>
    <t>Expense</t>
  </si>
  <si>
    <t>Management</t>
  </si>
  <si>
    <t xml:space="preserve">  Program Director</t>
  </si>
  <si>
    <t>FY14 Contract Data</t>
  </si>
  <si>
    <t xml:space="preserve">  Assistant Program Director</t>
  </si>
  <si>
    <t>Direct Care</t>
  </si>
  <si>
    <t xml:space="preserve">  Program Assistant</t>
  </si>
  <si>
    <t>Benchmark FTEs</t>
  </si>
  <si>
    <t>Total Program Staff</t>
  </si>
  <si>
    <t>Tax and Fringe</t>
  </si>
  <si>
    <t>Total Compensation</t>
  </si>
  <si>
    <t>Benchmark Expenses</t>
  </si>
  <si>
    <t>DC Consultant</t>
  </si>
  <si>
    <t>Taxes &amp; Fringe</t>
  </si>
  <si>
    <t>Interpreter Services</t>
  </si>
  <si>
    <t>Occupancy</t>
  </si>
  <si>
    <t>DC Consultant Training</t>
  </si>
  <si>
    <t>DC Consultant (per hour)</t>
  </si>
  <si>
    <t>Purchaser Recommendation</t>
  </si>
  <si>
    <t>Transportation</t>
  </si>
  <si>
    <t>Interpreter Services (per hour)</t>
  </si>
  <si>
    <t>Purchaser Recommendation - 4 Hours/week, 50 Weeks/year</t>
  </si>
  <si>
    <t>DC Consultant Training (per Consultant)</t>
  </si>
  <si>
    <t>Purchaser Recommendation - 48 Consultants</t>
  </si>
  <si>
    <t>Transportation (per client)</t>
  </si>
  <si>
    <t>Purchaser Recommendation @ .45/mile</t>
  </si>
  <si>
    <t>Total Reimb excl M&amp;G</t>
  </si>
  <si>
    <t>Program Supplies &amp; Materials</t>
  </si>
  <si>
    <t>IT Consultant</t>
  </si>
  <si>
    <t>Admin. Allocation</t>
  </si>
  <si>
    <t>CAF Rate</t>
  </si>
  <si>
    <t>TOTAL</t>
  </si>
  <si>
    <t>CAF:</t>
  </si>
  <si>
    <t>RATE:</t>
  </si>
  <si>
    <t>Business Days:</t>
  </si>
  <si>
    <t>Medical</t>
  </si>
  <si>
    <t xml:space="preserve">  Support/Maintenance</t>
  </si>
  <si>
    <t>101 CMR 420.00: Rates for Adult Long Term Residential Services</t>
  </si>
  <si>
    <t>Program Supplies and Materials</t>
  </si>
  <si>
    <t>Capacity</t>
  </si>
  <si>
    <t xml:space="preserve">  Physician</t>
  </si>
  <si>
    <t xml:space="preserve">  Optician </t>
  </si>
  <si>
    <t xml:space="preserve">  Driver</t>
  </si>
  <si>
    <t>Unit Cost</t>
  </si>
  <si>
    <t>Low Vision Devices Flex Fund</t>
  </si>
  <si>
    <t xml:space="preserve">Low Vision Devices Flex Fund </t>
  </si>
  <si>
    <t>MCB O&amp;M (2122) Model Budget - 101 CMR 422</t>
  </si>
  <si>
    <t>Productivity Standard - Average per COMS</t>
  </si>
  <si>
    <t>Total Yearly Available COMS Hours</t>
  </si>
  <si>
    <t>Number</t>
  </si>
  <si>
    <t>Unit</t>
  </si>
  <si>
    <t>Total Hours</t>
  </si>
  <si>
    <t>40 hours</t>
  </si>
  <si>
    <t>52 Weeks</t>
  </si>
  <si>
    <t>Vacation</t>
  </si>
  <si>
    <t>Day</t>
  </si>
  <si>
    <t>Sick &amp; Personal</t>
  </si>
  <si>
    <t>Training</t>
  </si>
  <si>
    <t>Holidays</t>
  </si>
  <si>
    <t xml:space="preserve">  Certified O&amp;M Specialist</t>
  </si>
  <si>
    <t>Travel</t>
  </si>
  <si>
    <t>Hrs/Wk</t>
  </si>
  <si>
    <t xml:space="preserve">  Secretarial / Clerical</t>
  </si>
  <si>
    <t>Indirect Client Service</t>
  </si>
  <si>
    <t>Subtotal Unproductive Hours</t>
  </si>
  <si>
    <t>Total Yearly Available Hours Per COMS</t>
  </si>
  <si>
    <t>FY15 Contract Data</t>
  </si>
  <si>
    <t>Certified O&amp;M Specialists (COMS)</t>
  </si>
  <si>
    <t xml:space="preserve">Total Available Client Hours </t>
  </si>
  <si>
    <t>Expenses</t>
  </si>
  <si>
    <t>(Less Offsets)</t>
  </si>
  <si>
    <t>Program Support</t>
  </si>
  <si>
    <t>1-30 miles</t>
  </si>
  <si>
    <t>per 15 minutes</t>
  </si>
  <si>
    <t>31-60 miles</t>
  </si>
  <si>
    <t>61+ miles</t>
  </si>
  <si>
    <t>Level II      (31 - 60 miles)</t>
  </si>
  <si>
    <t>15 mile (50%of the difference in 29 miles)</t>
  </si>
  <si>
    <t>* .45 per mile</t>
  </si>
  <si>
    <t>*2 to find the rate for the hour</t>
  </si>
  <si>
    <t>Per hour</t>
  </si>
  <si>
    <t>25% to find 15 minute rate</t>
  </si>
  <si>
    <t>Per 15 min</t>
  </si>
  <si>
    <t>Level I rate  + 15 min rate for Level II (3.38)=</t>
  </si>
  <si>
    <t>per 15 min</t>
  </si>
  <si>
    <t>$25.60 * 4 units (15 minute unit)</t>
  </si>
  <si>
    <t>per hour</t>
  </si>
  <si>
    <t>Level III    (61 + miles)</t>
  </si>
  <si>
    <t>30 mile (50%of the difference in miles)</t>
  </si>
  <si>
    <t>Level I rate  + 15 min rate for Level II (6.75)=</t>
  </si>
  <si>
    <t>$28.97 * 4 units (15 minute unit)</t>
  </si>
  <si>
    <t>Region</t>
  </si>
  <si>
    <t>Variance</t>
  </si>
  <si>
    <t>RATES</t>
  </si>
  <si>
    <t>West</t>
  </si>
  <si>
    <t>Central</t>
  </si>
  <si>
    <t>Metro</t>
  </si>
  <si>
    <t>North</t>
  </si>
  <si>
    <t>South</t>
  </si>
  <si>
    <t>Homecare Assistance</t>
  </si>
  <si>
    <t>MRC</t>
  </si>
  <si>
    <t>MCB</t>
  </si>
  <si>
    <t>Total</t>
  </si>
  <si>
    <t>Support</t>
  </si>
  <si>
    <t>Productivity Standard - Average per DC FTE</t>
  </si>
  <si>
    <t>Client Hours Per Site</t>
  </si>
  <si>
    <t>Director</t>
  </si>
  <si>
    <t>Postion</t>
  </si>
  <si>
    <t xml:space="preserve"> FTEs</t>
  </si>
  <si>
    <t>Direct Client Interaction</t>
  </si>
  <si>
    <t>Straight average from Contract Data</t>
  </si>
  <si>
    <t>Assistive Technology Specialist</t>
  </si>
  <si>
    <t>Equipment Tech/Specialist/Designer</t>
  </si>
  <si>
    <t xml:space="preserve">          Medical Titles from UFR:  Speech Pathologist, </t>
  </si>
  <si>
    <t xml:space="preserve">          DC Consultant, AAC Specialist, Audiologist, </t>
  </si>
  <si>
    <t xml:space="preserve">          Client Services Coordinator </t>
  </si>
  <si>
    <t>Total Yearly Available Hours Per DC FTE</t>
  </si>
  <si>
    <t>Clinical/Medical</t>
  </si>
  <si>
    <t>Average DC FTEs Per Office</t>
  </si>
  <si>
    <t>Total Available Client Hours Per Site</t>
  </si>
  <si>
    <t>Equipment Tech/Equipment Specialist</t>
  </si>
  <si>
    <t>TOTAL PROGRAM STAFF</t>
  </si>
  <si>
    <t>TOTAL COMPENSATION</t>
  </si>
  <si>
    <t>Staff Training</t>
  </si>
  <si>
    <t>Staff Mileage</t>
  </si>
  <si>
    <t>TOTAL REIMB EXP EXCL M&amp;G</t>
  </si>
  <si>
    <t>NOTES:</t>
  </si>
  <si>
    <t xml:space="preserve">          Technology Specialist, and Equipment Tech/Specialist/Designer</t>
  </si>
  <si>
    <t>Unit Rate Per Available Client Hour</t>
  </si>
  <si>
    <t>FY18</t>
  </si>
  <si>
    <t>Massachusetts Economic Indicators</t>
  </si>
  <si>
    <t>Prepared by Michael Lynch, 781-301-9129</t>
  </si>
  <si>
    <t>FY15</t>
  </si>
  <si>
    <t>FY16</t>
  </si>
  <si>
    <t>FY17</t>
  </si>
  <si>
    <t>FY19</t>
  </si>
  <si>
    <t>FY20</t>
  </si>
  <si>
    <t>FY21</t>
  </si>
  <si>
    <t>NAME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</si>
  <si>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</si>
  <si>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</si>
  <si>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</si>
  <si>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</si>
  <si>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</si>
  <si>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</si>
  <si>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</si>
  <si>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</si>
  <si>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</si>
  <si>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</si>
  <si>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</si>
  <si>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</si>
  <si>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</si>
  <si>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</si>
  <si>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</si>
  <si>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</si>
  <si>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</si>
  <si>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</si>
  <si>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</si>
  <si>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</si>
  <si>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</si>
  <si>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</si>
  <si>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</si>
  <si>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</si>
  <si>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</si>
  <si>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</si>
  <si>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</si>
  <si>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</si>
  <si>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</si>
  <si>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</si>
  <si>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</si>
  <si>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</si>
  <si>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</si>
  <si>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</si>
  <si>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</si>
  <si>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</si>
  <si>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</si>
  <si>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</si>
  <si>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</si>
  <si>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</si>
  <si>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</si>
  <si>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</si>
  <si>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</si>
  <si>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</si>
  <si>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</si>
  <si>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</si>
  <si>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</si>
  <si>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</si>
  <si>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</si>
  <si>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</si>
  <si>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</si>
  <si>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</si>
  <si>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</si>
  <si>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</si>
  <si>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</si>
  <si>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</si>
  <si>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</si>
  <si>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</si>
  <si>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</si>
  <si>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</si>
  <si>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</si>
  <si>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</si>
  <si>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</si>
  <si>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</si>
  <si>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</si>
  <si>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</si>
  <si>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</si>
  <si>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</si>
  <si>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</si>
  <si>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</si>
  <si>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</si>
  <si>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</si>
  <si>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LABEL</t>
  </si>
  <si>
    <t>CPI--BASELINE SCENARIO (1982-84=1)</t>
  </si>
  <si>
    <t>CPIBASEMA</t>
  </si>
  <si>
    <t>CPI--OPTIMISTIC SCENARIO (1982-84=1)</t>
  </si>
  <si>
    <t>CPIOPTMA</t>
  </si>
  <si>
    <t>CPI--PESSIMISTIC SCENARIO (1982-84=1)</t>
  </si>
  <si>
    <t>CPIPESSMA</t>
  </si>
  <si>
    <t>Rate-to-rate CAF</t>
  </si>
  <si>
    <t>Assumption for Rate Reviews that are to be promulgated January 1, 2018</t>
  </si>
  <si>
    <t xml:space="preserve">Base period: </t>
  </si>
  <si>
    <t>FY18Q2</t>
  </si>
  <si>
    <t>Average</t>
  </si>
  <si>
    <t xml:space="preserve">Prospective rate period: </t>
  </si>
  <si>
    <t>1/1/18 - 12/31/19</t>
  </si>
  <si>
    <t>CAF using base year of data</t>
  </si>
  <si>
    <t>TEMPLATE ONLY -- CHANGE ME WITH YOUR RATE-SPECIFIC DATA!</t>
  </si>
  <si>
    <t>07/01/2017 - 06/30/2019</t>
  </si>
  <si>
    <t>FY18 CAF</t>
  </si>
  <si>
    <t>Level I - Rebased</t>
  </si>
  <si>
    <t>Level II - Rebased</t>
  </si>
  <si>
    <t>Level III - Rebased</t>
  </si>
  <si>
    <t>Hourly</t>
  </si>
  <si>
    <t>[1]</t>
  </si>
  <si>
    <t xml:space="preserve">Proposed </t>
  </si>
  <si>
    <t>PROPOSED</t>
  </si>
  <si>
    <t>Total FY16 Spend</t>
  </si>
  <si>
    <t>Projected Spend</t>
  </si>
  <si>
    <t>Total FTE Hours</t>
  </si>
  <si>
    <t>Master Look-Up Table</t>
  </si>
  <si>
    <t>Travel / Misc Expenses</t>
  </si>
  <si>
    <t>Admin. Alloc. (M &amp; G)</t>
  </si>
  <si>
    <t>CAF</t>
  </si>
  <si>
    <t>Hourly RATE:</t>
  </si>
  <si>
    <t xml:space="preserve">VR Assistant </t>
  </si>
  <si>
    <t xml:space="preserve">VR Assistant Model Budget </t>
  </si>
  <si>
    <t>VR Assistant</t>
  </si>
  <si>
    <t>ATIL</t>
  </si>
  <si>
    <t>Total FY17 Anticipated Spend</t>
  </si>
  <si>
    <t>Spend</t>
  </si>
  <si>
    <t>DDS</t>
  </si>
  <si>
    <t>Mobile Eye</t>
  </si>
  <si>
    <t>DBCAN</t>
  </si>
  <si>
    <t>O&amp;M</t>
  </si>
  <si>
    <t>IHS Economics Spring 2017 Forecast</t>
  </si>
  <si>
    <t>TRANSPORTATION RATES</t>
  </si>
  <si>
    <t>Original salary rebased with original CAF</t>
  </si>
  <si>
    <t>Original expense rebased with original CAF</t>
  </si>
  <si>
    <t>101 CMR 414.00: Rates for Family Stabilization Services</t>
  </si>
  <si>
    <t>Benchmark to O&amp;M (per FTE)</t>
  </si>
  <si>
    <t>Benchmarked to O&amp;M (per FTE)</t>
  </si>
  <si>
    <t>Benchmarks</t>
  </si>
  <si>
    <t xml:space="preserve">MCB DBCAN (2405) Model Budget - 101 CMR 422 </t>
  </si>
  <si>
    <t>2405</t>
  </si>
  <si>
    <t>2220</t>
  </si>
  <si>
    <t>2406</t>
  </si>
  <si>
    <t>2121</t>
  </si>
  <si>
    <t>MOBILITY - NONMEDICAID</t>
  </si>
  <si>
    <t>2119</t>
  </si>
  <si>
    <t>HOMEMAKER</t>
  </si>
  <si>
    <t>2218</t>
  </si>
  <si>
    <t>Assistive Technology Independent Living</t>
  </si>
  <si>
    <t xml:space="preserve">MRC Assistive Technology Independent Living (2218) -  101 CMR 422 </t>
  </si>
  <si>
    <t xml:space="preserve">Mobile Eye Clinic (2406) -  101 CMR 422 </t>
  </si>
  <si>
    <t>HCA</t>
  </si>
  <si>
    <t>Devices</t>
  </si>
  <si>
    <t>Total ATIL</t>
  </si>
  <si>
    <t>budget_fiscal_year</t>
  </si>
  <si>
    <t>department</t>
  </si>
  <si>
    <t>appropriation</t>
  </si>
  <si>
    <t>unit</t>
  </si>
  <si>
    <t>doc_code</t>
  </si>
  <si>
    <t>doc_unit</t>
  </si>
  <si>
    <t>doc_identifier</t>
  </si>
  <si>
    <t>doc_comm_line_no</t>
  </si>
  <si>
    <t>doc_actg_line_no</t>
  </si>
  <si>
    <t>object_class</t>
  </si>
  <si>
    <t>object</t>
  </si>
  <si>
    <t>actg_line_amount</t>
  </si>
  <si>
    <t>ref_line_amount</t>
  </si>
  <si>
    <t>encumb_open_amount</t>
  </si>
  <si>
    <t>legal_name</t>
  </si>
  <si>
    <t>service_from_date</t>
  </si>
  <si>
    <t>service_to_date</t>
  </si>
  <si>
    <t>activity</t>
  </si>
  <si>
    <t>41204000</t>
  </si>
  <si>
    <t>8209</t>
  </si>
  <si>
    <t>CT</t>
  </si>
  <si>
    <t>SCMRC20071101ATIL002</t>
  </si>
  <si>
    <t>MM</t>
  </si>
  <si>
    <t>M03</t>
  </si>
  <si>
    <t>UNITED CEREBRAL  PALSY</t>
  </si>
  <si>
    <t>SCMRC20071101ATIL01A</t>
  </si>
  <si>
    <t>EASTER SEALS MASSACHUSETTS</t>
  </si>
  <si>
    <t>2223</t>
  </si>
  <si>
    <t>2007</t>
  </si>
  <si>
    <t>SCMRC20071101ATIL03A</t>
  </si>
  <si>
    <t>UNIVERSITY OF MASS</t>
  </si>
  <si>
    <t>Rate</t>
  </si>
  <si>
    <t>Direct Client hours</t>
  </si>
  <si>
    <t>FY14 Spending</t>
  </si>
  <si>
    <t>FY14 Budget Spending</t>
  </si>
  <si>
    <t>FY14 Budget- provision of goods</t>
  </si>
  <si>
    <t>Provision of goods and Materials (FY14)</t>
  </si>
  <si>
    <t>UCP</t>
  </si>
  <si>
    <t>UMD</t>
  </si>
  <si>
    <t>ES</t>
  </si>
  <si>
    <t>NE</t>
  </si>
  <si>
    <t>Assistive Technology Independent Living (ATIL) 
Fiscal Impact 10/19/15</t>
  </si>
  <si>
    <t>Boston</t>
  </si>
  <si>
    <t>FY15 Spending</t>
  </si>
  <si>
    <r>
      <rPr>
        <i/>
        <sz val="10"/>
        <color theme="1"/>
        <rFont val="Calibri"/>
        <family val="2"/>
        <scheme val="minor"/>
      </rPr>
      <t>Provision of Goods</t>
    </r>
    <r>
      <rPr>
        <sz val="11"/>
        <color theme="1"/>
        <rFont val="Calibri"/>
        <family val="2"/>
      </rPr>
      <t xml:space="preserve">
FY15 Devices</t>
    </r>
  </si>
  <si>
    <t>FY15 Spending
(Devices backed out)</t>
  </si>
  <si>
    <t># of Individuals that received devices (FY15)</t>
  </si>
  <si>
    <t>Direct Client Units 
(FY15)</t>
  </si>
  <si>
    <t xml:space="preserve">Proposed Rate </t>
  </si>
  <si>
    <t>Flex Admin Fee (spending)</t>
  </si>
  <si>
    <t>Proposed spending</t>
  </si>
  <si>
    <t>% of change</t>
  </si>
  <si>
    <t>Easter Seals</t>
  </si>
  <si>
    <t>FY15 Devices</t>
  </si>
  <si>
    <t>FY14 Spending
(Devices backed out)</t>
  </si>
  <si>
    <t>Fam Stab FY18 Rate</t>
  </si>
  <si>
    <t>X Fees?</t>
  </si>
  <si>
    <t>Devices?</t>
  </si>
  <si>
    <t>Annual Variance</t>
  </si>
  <si>
    <t>1/2 Year variance</t>
  </si>
  <si>
    <t xml:space="preserve">MRC </t>
  </si>
  <si>
    <t>DEPT</t>
  </si>
  <si>
    <t>Total FY17 anticipated spend</t>
  </si>
  <si>
    <t>PFMLA Trust Contribution</t>
  </si>
  <si>
    <t>Effective 7/1/19</t>
  </si>
  <si>
    <t>IHS Markit, Fall 2018 Forecast</t>
  </si>
  <si>
    <t>FY22</t>
  </si>
  <si>
    <t>FY23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</si>
  <si>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</si>
  <si>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</si>
  <si>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</si>
  <si>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</si>
  <si>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</si>
  <si>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</si>
  <si>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</si>
  <si>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</si>
  <si>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PRIOR</t>
  </si>
  <si>
    <t>CURRENT</t>
  </si>
  <si>
    <t>Prior CAF</t>
  </si>
  <si>
    <t>Base 2020Q1 -Prospective FY20 &amp; FY21</t>
  </si>
  <si>
    <t>1/1/2020-12/31/2022</t>
  </si>
  <si>
    <t>Rebased to meet min. wage @ $15/hr w CAF</t>
  </si>
  <si>
    <t>1S</t>
  </si>
  <si>
    <t>Program Director (UFR Title 102)</t>
  </si>
  <si>
    <t>2S</t>
  </si>
  <si>
    <t>Program Function Manager (UFR Title 101)</t>
  </si>
  <si>
    <t>3S</t>
  </si>
  <si>
    <t>Asst. Program Director (UFR Title 103)</t>
  </si>
  <si>
    <t>4S</t>
  </si>
  <si>
    <t xml:space="preserve">Supervising Professional (UFR Title 104) </t>
  </si>
  <si>
    <t>8S</t>
  </si>
  <si>
    <t>R.N. - Non Masters (UFR Title 108)</t>
  </si>
  <si>
    <t>9S</t>
  </si>
  <si>
    <t>L.P.N. (UFR Title 109)</t>
  </si>
  <si>
    <t>13S</t>
  </si>
  <si>
    <t>Speech / Lang. Path., Audiologist (UFR Title 113)</t>
  </si>
  <si>
    <t>Clinical</t>
  </si>
  <si>
    <t>22S</t>
  </si>
  <si>
    <t>Clinician-(formerly Psych.Masters)(UFR Title 123)</t>
  </si>
  <si>
    <t>Non-specialized Direct Care</t>
  </si>
  <si>
    <t>30S</t>
  </si>
  <si>
    <t>Case Worker / Manager (UFR Title 132)</t>
  </si>
  <si>
    <t>31S</t>
  </si>
  <si>
    <t>Direct Care / Prog. Staff Superv. (UFR Title 133)</t>
  </si>
  <si>
    <t>32S</t>
  </si>
  <si>
    <t>Direct Care / Prog. Staff III (UFR Title 134)</t>
  </si>
  <si>
    <t>33S</t>
  </si>
  <si>
    <t>Direct Care / Prog. Staff II (UFR Title 135)</t>
  </si>
  <si>
    <t>34S</t>
  </si>
  <si>
    <t>Direct Care / Prog. Staff I (UFR Title 136)</t>
  </si>
  <si>
    <t>35S</t>
  </si>
  <si>
    <t>Prog. Secretarial / Clerical Staff (UFR Title 137)</t>
  </si>
  <si>
    <t>36S</t>
  </si>
  <si>
    <t>Maintainence, House/Groundskeeping, Cook 138</t>
  </si>
  <si>
    <t>37S</t>
  </si>
  <si>
    <t>Direct Care / Driver Staff (UFR Title 138)</t>
  </si>
  <si>
    <t xml:space="preserve"> Certified O&amp;M Specialist</t>
  </si>
  <si>
    <t xml:space="preserve"> Physician</t>
  </si>
  <si>
    <t xml:space="preserve"> Optician </t>
  </si>
  <si>
    <t>UFR</t>
  </si>
  <si>
    <t>Models</t>
  </si>
  <si>
    <t>Support/Maintenance</t>
  </si>
  <si>
    <t>Driver</t>
  </si>
  <si>
    <t>Program Assistant</t>
  </si>
  <si>
    <t>Secretarial / Clerical</t>
  </si>
  <si>
    <t>cabinet</t>
  </si>
  <si>
    <t>cabinet_name</t>
  </si>
  <si>
    <t>department_name</t>
  </si>
  <si>
    <t>activity_name</t>
  </si>
  <si>
    <t>vendor_customer_code</t>
  </si>
  <si>
    <t>tin</t>
  </si>
  <si>
    <t>SumOfposting_line_amount</t>
  </si>
  <si>
    <t>45</t>
  </si>
  <si>
    <t>EXECUTIVE OFFICE OF HEALTH &amp; HUMAN SERVICES</t>
  </si>
  <si>
    <t>MASS REHABILITATION COMMISSION</t>
  </si>
  <si>
    <t>HOME CARE ASSISTANCE</t>
  </si>
  <si>
    <t>VC6000233562</t>
  </si>
  <si>
    <t>MEDICAL RESOURCES HOME HEALTH CORP</t>
  </si>
  <si>
    <t>270019426</t>
  </si>
  <si>
    <t>VC6000163426</t>
  </si>
  <si>
    <t>CENTER FOR LIVING &amp; WORKING INC</t>
  </si>
  <si>
    <t>042564426</t>
  </si>
  <si>
    <t>VC6000181754</t>
  </si>
  <si>
    <t>MULTICULTURAL HOME CARE INC</t>
  </si>
  <si>
    <t>043280270</t>
  </si>
  <si>
    <t>VC0000839488</t>
  </si>
  <si>
    <t>CAMPROMO PARTNERS LLC</t>
  </si>
  <si>
    <t>812608032</t>
  </si>
  <si>
    <t>VC6000167940</t>
  </si>
  <si>
    <t>SUPPORTIVE CARE INC</t>
  </si>
  <si>
    <t>042753953</t>
  </si>
  <si>
    <t>M3M</t>
  </si>
  <si>
    <t>VC6000182416</t>
  </si>
  <si>
    <t>CROSS CULTURAL COMM SYSTEM INC</t>
  </si>
  <si>
    <t>043298469</t>
  </si>
  <si>
    <t>VC6000179455</t>
  </si>
  <si>
    <t>CAPUANO PRIVATE HOME CARE INC</t>
  </si>
  <si>
    <t>043210713</t>
  </si>
  <si>
    <t>VC0000117934</t>
  </si>
  <si>
    <t>ATTENTIVE HOME CARE INC</t>
  </si>
  <si>
    <t>300234868</t>
  </si>
  <si>
    <t>VC0000406848</t>
  </si>
  <si>
    <t>INDEPENDENCE HEALTHCARE CORP</t>
  </si>
  <si>
    <t>743074366</t>
  </si>
  <si>
    <t>VC6000159732</t>
  </si>
  <si>
    <t>JOHN F KENNEDY FAMILY SERV CENTER INC</t>
  </si>
  <si>
    <t>042373976</t>
  </si>
  <si>
    <t>VC0000270645</t>
  </si>
  <si>
    <t>21ST CENTURY HOME CARE INC</t>
  </si>
  <si>
    <t>200699627</t>
  </si>
  <si>
    <t>VC6000170360</t>
  </si>
  <si>
    <t>HOMECARE INC</t>
  </si>
  <si>
    <t>042854358</t>
  </si>
  <si>
    <t>VC0000201288</t>
  </si>
  <si>
    <t>HOPE RESTORED HUMAN SERVICES</t>
  </si>
  <si>
    <t>870743502</t>
  </si>
  <si>
    <t>VC6000230060</t>
  </si>
  <si>
    <t>NORTH END COMM HLTH COMM INC</t>
  </si>
  <si>
    <t>237089746</t>
  </si>
  <si>
    <t>VC0000731272</t>
  </si>
  <si>
    <t>ROBINSON STAFFING LLC</t>
  </si>
  <si>
    <t>271372363</t>
  </si>
  <si>
    <t>VC6000227558</t>
  </si>
  <si>
    <t>HOME HEALTH &amp; CHILD</t>
  </si>
  <si>
    <t>222974956</t>
  </si>
  <si>
    <t>VC6000187797</t>
  </si>
  <si>
    <t>COLLECTIVE HOME CARE INC</t>
  </si>
  <si>
    <t>043479702</t>
  </si>
  <si>
    <t>VC0000538974</t>
  </si>
  <si>
    <t>INTERPRETERS UNLIMITED</t>
  </si>
  <si>
    <t>205905641</t>
  </si>
  <si>
    <t>VC0000251614</t>
  </si>
  <si>
    <t>BAYSTATE INTERPRETERS INC</t>
  </si>
  <si>
    <t>753204399</t>
  </si>
  <si>
    <t>VC6000188098</t>
  </si>
  <si>
    <t>CNS NURSING HOMECARE, INC</t>
  </si>
  <si>
    <t>371836433</t>
  </si>
  <si>
    <t>VC6000170613</t>
  </si>
  <si>
    <t>ACTIVE HOME CARE</t>
  </si>
  <si>
    <t>042867494</t>
  </si>
  <si>
    <t>VC0000346246</t>
  </si>
  <si>
    <t>ACE MEDICAL SERVICES INC</t>
  </si>
  <si>
    <t>383747237</t>
  </si>
  <si>
    <t>VC0000551632</t>
  </si>
  <si>
    <t>PATIENT CENTERED MEDICAL CARE INC</t>
  </si>
  <si>
    <t>271516809</t>
  </si>
  <si>
    <t>VC6000157048</t>
  </si>
  <si>
    <t>CATHOLIC CHARITIES OF THE</t>
  </si>
  <si>
    <t>042103979</t>
  </si>
  <si>
    <t>VC6000159987</t>
  </si>
  <si>
    <t>ACTION INC</t>
  </si>
  <si>
    <t>042389332</t>
  </si>
  <si>
    <t>VC6000189633</t>
  </si>
  <si>
    <t>BEST HOME CARE NMORE INC</t>
  </si>
  <si>
    <t>043548553</t>
  </si>
  <si>
    <t>VC6000177859</t>
  </si>
  <si>
    <t>PREMIER HOME HLTHCARE OF MA</t>
  </si>
  <si>
    <t>043158696</t>
  </si>
  <si>
    <t>VC0000682814</t>
  </si>
  <si>
    <t>ANJOS LLC</t>
  </si>
  <si>
    <t>462496121</t>
  </si>
  <si>
    <t>VC0000838436</t>
  </si>
  <si>
    <t>TELELANGUAGE, INC</t>
  </si>
  <si>
    <t>931089733</t>
  </si>
  <si>
    <t>VC0000155406</t>
  </si>
  <si>
    <t>ABBEY RD HOME CARE SERVICES INC</t>
  </si>
  <si>
    <t>202232156</t>
  </si>
  <si>
    <t>VC6000159739</t>
  </si>
  <si>
    <t>THE SUBURBAN HOMEMAKING &amp; MATE</t>
  </si>
  <si>
    <t>042374220</t>
  </si>
  <si>
    <t>VC6000169242</t>
  </si>
  <si>
    <t>ALL CARE RESOURCES INC</t>
  </si>
  <si>
    <t>042805564</t>
  </si>
  <si>
    <t>VC6000178135</t>
  </si>
  <si>
    <t>043167352</t>
  </si>
  <si>
    <t>VC6000162125</t>
  </si>
  <si>
    <t>CENTER FOR HUMAN</t>
  </si>
  <si>
    <t>042503926</t>
  </si>
  <si>
    <t>VC0000446090</t>
  </si>
  <si>
    <t>ANDVENTURE, INC</t>
  </si>
  <si>
    <t>232830131</t>
  </si>
  <si>
    <t>VC6000229292</t>
  </si>
  <si>
    <t>BAYADA HOME HEALTH CARE INC</t>
  </si>
  <si>
    <t>231943113</t>
  </si>
  <si>
    <t>VC6000167246</t>
  </si>
  <si>
    <t>MIDTOWN HOME HEALTH SERVICE</t>
  </si>
  <si>
    <t>042730589</t>
  </si>
  <si>
    <t>VC6000167938</t>
  </si>
  <si>
    <t>PRIMARY HOME CARE INC</t>
  </si>
  <si>
    <t>042753867</t>
  </si>
  <si>
    <t>VC6000187060</t>
  </si>
  <si>
    <t>APEX HEALTHCARE SERVICES INC</t>
  </si>
  <si>
    <t>043451611</t>
  </si>
  <si>
    <t>VC6000160864</t>
  </si>
  <si>
    <t>PERNET FAMILY HEALTH SERVICE</t>
  </si>
  <si>
    <t>042453851</t>
  </si>
  <si>
    <t>VC6000157896</t>
  </si>
  <si>
    <t>042173060</t>
  </si>
  <si>
    <t>VC0000676639</t>
  </si>
  <si>
    <t>SECOND SOLUTIONS, INC</t>
  </si>
  <si>
    <t>010518386</t>
  </si>
  <si>
    <t>VC6000162622</t>
  </si>
  <si>
    <t>SERVICENET INC</t>
  </si>
  <si>
    <t>042526194</t>
  </si>
  <si>
    <t>VC0000360734</t>
  </si>
  <si>
    <t>TRANSFLUENCI LLC</t>
  </si>
  <si>
    <t>412242947</t>
  </si>
  <si>
    <t>VC6000157081</t>
  </si>
  <si>
    <t>VISITG NR ASN/CAPE COD INC</t>
  </si>
  <si>
    <t>042104159</t>
  </si>
  <si>
    <t>VC6000157011</t>
  </si>
  <si>
    <t>042103867</t>
  </si>
  <si>
    <t>VC0000408596</t>
  </si>
  <si>
    <t>ALLIED HOME HEALTH CARE INC</t>
  </si>
  <si>
    <t>262439927</t>
  </si>
  <si>
    <t>VC6000161971</t>
  </si>
  <si>
    <t>ANODYNE MEDICAL SERVICES CORP</t>
  </si>
  <si>
    <t>042497415</t>
  </si>
  <si>
    <t>VC0000403141</t>
  </si>
  <si>
    <t>VALZAR LLC</t>
  </si>
  <si>
    <t>030494556</t>
  </si>
  <si>
    <t>VC6000172326</t>
  </si>
  <si>
    <t>HELP SERVICES FOR THE</t>
  </si>
  <si>
    <t>042947572</t>
  </si>
  <si>
    <t>VC6000156974</t>
  </si>
  <si>
    <t>FAMILY SERVICE ORGANIZATION</t>
  </si>
  <si>
    <t>042103767</t>
  </si>
  <si>
    <t>VC6000167252</t>
  </si>
  <si>
    <t>JEWISH FAMILY SERVICE OF</t>
  </si>
  <si>
    <t>042730898</t>
  </si>
  <si>
    <t>VC0000856832</t>
  </si>
  <si>
    <t>JG HOME HEALTH CARE SERVICES</t>
  </si>
  <si>
    <t>472358404</t>
  </si>
  <si>
    <t>VC6000163488</t>
  </si>
  <si>
    <t>CARIBBEAN FOUND OF BOSTON INC</t>
  </si>
  <si>
    <t>042566212</t>
  </si>
  <si>
    <t>VC6000182461</t>
  </si>
  <si>
    <t>SERAPHIC SPRINGS HEALTH CARE</t>
  </si>
  <si>
    <t>043299752</t>
  </si>
  <si>
    <t>VC6000173967</t>
  </si>
  <si>
    <t>GERIATRIC ASSISTANCE INC</t>
  </si>
  <si>
    <t>043021635</t>
  </si>
  <si>
    <t>MASS COMMISSION FOR THE BLIND</t>
  </si>
  <si>
    <t>Deaf Biind Community Access Network</t>
  </si>
  <si>
    <t>VC6000164734</t>
  </si>
  <si>
    <t>DEVELOPMENTAL EVALUATION</t>
  </si>
  <si>
    <t>042628350</t>
  </si>
  <si>
    <t>VC6000200604</t>
  </si>
  <si>
    <t>COMMUNITY SYSTEMS INC</t>
  </si>
  <si>
    <t>061236054</t>
  </si>
  <si>
    <t>VC6000158389</t>
  </si>
  <si>
    <t>NORTHEAST ARC, INC.</t>
  </si>
  <si>
    <t>042232416</t>
  </si>
  <si>
    <t>VC6000161459</t>
  </si>
  <si>
    <t>PROJECT COPE INC</t>
  </si>
  <si>
    <t>042477820</t>
  </si>
  <si>
    <t>VC6000171541</t>
  </si>
  <si>
    <t>ANODYNE CORPORATION</t>
  </si>
  <si>
    <t>042915869</t>
  </si>
  <si>
    <t>VC6000182211</t>
  </si>
  <si>
    <t>SEVEN HILLS FAMILY SRV INC</t>
  </si>
  <si>
    <t>043293665</t>
  </si>
  <si>
    <t>VC6000170393</t>
  </si>
  <si>
    <t>COMPETENT CARE AT HOME INC</t>
  </si>
  <si>
    <t>042856035</t>
  </si>
  <si>
    <t>VC6000157424</t>
  </si>
  <si>
    <t>MAB COMMUNITY SERVICES INC</t>
  </si>
  <si>
    <t>042109859</t>
  </si>
  <si>
    <t>fiscal_year</t>
  </si>
  <si>
    <t>VC6000157329</t>
  </si>
  <si>
    <t>CARROLL CENTER FOR THE</t>
  </si>
  <si>
    <t>042106173</t>
  </si>
  <si>
    <t>MM3</t>
  </si>
  <si>
    <t>Mobile Eye Clinic Services</t>
  </si>
  <si>
    <t>VC6000190225</t>
  </si>
  <si>
    <t>NEW ENGLAND EYE INSTITUTE</t>
  </si>
  <si>
    <t>043575676</t>
  </si>
  <si>
    <t>MRC / MCB General Programs
101 CMR 422</t>
  </si>
  <si>
    <t>Diagnostic &amp; Evaluation</t>
  </si>
  <si>
    <t>Personal Vocational Adjustments</t>
  </si>
  <si>
    <t>Homemaker</t>
  </si>
  <si>
    <t>Mobility Services</t>
  </si>
  <si>
    <t>Deaf Blind Community Access Network</t>
  </si>
  <si>
    <t>Home Care Assistant</t>
  </si>
  <si>
    <t>HOMECARE ASST.</t>
  </si>
  <si>
    <t>FY20 Rate Review CAF:</t>
  </si>
  <si>
    <t>DMR</t>
  </si>
  <si>
    <t>DEPARTMENT OF DEVELOPMENTAL SERVICES</t>
  </si>
  <si>
    <t>3253</t>
  </si>
  <si>
    <t>VISUALLY IMPAIRED SERVICE</t>
  </si>
  <si>
    <t>FY20 Rate Review</t>
  </si>
  <si>
    <t>Rate Reviews that are to be promulgated January 1, 2020</t>
  </si>
  <si>
    <t>FY20Q2</t>
  </si>
  <si>
    <t>Program Director</t>
  </si>
  <si>
    <t>Assistant Program Director</t>
  </si>
  <si>
    <t>Certified O&amp;M Specialist</t>
  </si>
  <si>
    <t>Physician</t>
  </si>
  <si>
    <t xml:space="preserve">Optician </t>
  </si>
  <si>
    <t>Salaries</t>
  </si>
  <si>
    <t>Below the Line</t>
  </si>
  <si>
    <t>Administrative</t>
  </si>
  <si>
    <t>IHS Markit, Spring 2019 Forecast</t>
  </si>
  <si>
    <t>FSTAB Rate Reviews that are to be promulgated 1/1/2020</t>
  </si>
  <si>
    <t>Prospective rate period: 1/1/20 - 12/31/2021</t>
  </si>
  <si>
    <t>Base 2020 Q1 -Prospective FY20 &amp; FY21</t>
  </si>
  <si>
    <t>Total Staff</t>
  </si>
  <si>
    <t>Original expense rebased with original CAF (O &amp; M)</t>
  </si>
  <si>
    <t>Original expense rebased with original CAF (ATIL)</t>
  </si>
  <si>
    <t>Original expense rebased with original CAF (Mobile Eye)</t>
  </si>
  <si>
    <t>Original expense rebased with original CAF (DBCAN)</t>
  </si>
  <si>
    <t>Purchaser Recommendation - 4 Hours/week, 50 Weeks/year (DBCAN)</t>
  </si>
  <si>
    <t>Purchaser Recommendation - 48 Consultants (DBCAN)</t>
  </si>
  <si>
    <t>Purchaser Recommendation @ .45/mile (DBCAN)</t>
  </si>
  <si>
    <r>
      <t xml:space="preserve"> - </t>
    </r>
    <r>
      <rPr>
        <b/>
        <i/>
        <sz val="10"/>
        <color theme="1"/>
        <rFont val="Calibri"/>
        <family val="2"/>
        <scheme val="minor"/>
      </rPr>
      <t xml:space="preserve">Direct Client Interaction </t>
    </r>
    <r>
      <rPr>
        <sz val="10"/>
        <color theme="1"/>
        <rFont val="Calibri"/>
        <family val="2"/>
      </rPr>
      <t>incorporates all Direct Care staff positions</t>
    </r>
  </si>
  <si>
    <r>
      <t xml:space="preserve"> - </t>
    </r>
    <r>
      <rPr>
        <b/>
        <i/>
        <sz val="10"/>
        <color theme="1"/>
        <rFont val="Calibri"/>
        <family val="2"/>
        <scheme val="minor"/>
      </rPr>
      <t xml:space="preserve">Productivity Standard </t>
    </r>
    <r>
      <rPr>
        <sz val="10"/>
        <color theme="1"/>
        <rFont val="Calibri"/>
        <family val="2"/>
      </rPr>
      <t>calculation based on combination of Direct Client Interaction, Assistive</t>
    </r>
  </si>
  <si>
    <t>Original salary rebased with original CAF (O &amp; M)</t>
  </si>
  <si>
    <t>Rebased to meet min. wage @ $15/hr w CAF (O &amp; M)</t>
  </si>
  <si>
    <t>Purchaser Reccommendation (VR Asst.)</t>
  </si>
  <si>
    <t>Original salary rebased with original CAF (ATIL)</t>
  </si>
  <si>
    <t>Original salary rebased with original CAF (Mobile Eye)</t>
  </si>
  <si>
    <t>Original salary rebased with original CAF (DBCAN)</t>
  </si>
  <si>
    <t>Rebased to meet min. wage @ $15/hr w CAF (DBCAN)</t>
  </si>
  <si>
    <t>DC I</t>
  </si>
  <si>
    <t>Rebased to meet min. wage @ $13.50/hr w CAF (1/1/21 Rate)</t>
  </si>
  <si>
    <t>Rebased with Prior CAFs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</si>
</sst>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"/>
    <numFmt numFmtId="165" formatCode="_(&quot;$&quot;* #,##0_);_(&quot;$&quot;* \(#,##0\);_(&quot;$&quot;* &quot;-&quot;??_);_(@_)"/>
    <numFmt numFmtId="166" formatCode="0.0"/>
    <numFmt numFmtId="167" formatCode="\$#,##0.00"/>
    <numFmt numFmtId="168" formatCode="&quot;$&quot;#,##0"/>
    <numFmt numFmtId="169" formatCode="&quot;$&quot;#,##0.00"/>
    <numFmt numFmtId="170" formatCode="0.000"/>
    <numFmt numFmtId="171" formatCode="&quot;$&quot;#,##0;\(&quot;$&quot;#,##0\)"/>
    <numFmt numFmtId="172" formatCode="0.0%"/>
    <numFmt numFmtId="173" formatCode="&quot;$&quot;#,##0.0000_);[Red]\(&quot;$&quot;#,##0.0000\)"/>
    <numFmt numFmtId="174" formatCode="_(&quot;$&quot;* #,##0.000_);_(&quot;$&quot;* \(#,##0.000\);_(&quot;$&quot;* &quot;-&quot;??_);_(@_)"/>
    <numFmt numFmtId="175" formatCode="_(&quot;$&quot;* #,##0.0000_);_(&quot;$&quot;* \(#,##0.0000\);_(&quot;$&quot;* &quot;-&quot;??_);_(@_)"/>
    <numFmt numFmtId="176" formatCode="0.0000"/>
    <numFmt numFmtId="177" formatCode="&quot;$&quot;#,##0.0000"/>
  </numFmts>
  <fonts count="98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name val="Calibri"/>
      <family val="2"/>
    </font>
    <font>
      <sz val="12"/>
      <color indexed="17"/>
      <name val="Calibri"/>
      <family val="2"/>
    </font>
    <font>
      <sz val="12"/>
      <color indexed="30"/>
      <name val="Calibri"/>
      <family val="2"/>
    </font>
    <font>
      <sz val="12"/>
      <color indexed="62"/>
      <name val="Calibri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2"/>
      <color theme="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Calibri"/>
      <family val="2"/>
      <scheme val="minor"/>
    </font>
    <font>
      <sz val="12"/>
      <color rgb="FFFF0000"/>
      <name val="Calibri"/>
      <family val="2"/>
    </font>
    <font>
      <sz val="12"/>
      <color theme="1"/>
      <name val="Arial"/>
      <family val="2"/>
    </font>
    <font>
      <sz val="12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16"/>
      <color theme="1"/>
      <name val="Calibri"/>
      <family val="2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sz val="10"/>
      <color theme="1"/>
      <name val="Calibri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theme="1"/>
      <name val="Tahoma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1"/>
      <color theme="1"/>
      <name val="Calibri"/>
      <family val="2"/>
      <charset val="129"/>
      <scheme val="minor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theme="1"/>
      <name val="Calibri"/>
      <family val="2"/>
    </font>
    <font>
      <sz val="11"/>
      <color rgb="FF000000"/>
      <name val="Calibri"/>
      <family val="2"/>
    </font>
    <font>
      <sz val="10"/>
      <color rgb="FFFF0000"/>
      <name val="Calibri"/>
      <family val="2"/>
    </font>
    <font>
      <b/>
      <sz val="10"/>
      <color indexed="8"/>
      <name val="Calibri"/>
      <family val="2"/>
    </font>
    <font>
      <sz val="10"/>
      <color indexed="17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indexed="30"/>
      <name val="Calibri"/>
      <family val="2"/>
    </font>
    <font>
      <sz val="10"/>
      <color indexed="62"/>
      <name val="Calibri"/>
      <family val="2"/>
    </font>
    <font>
      <b/>
      <u/>
      <sz val="10"/>
      <name val="Calibri"/>
      <family val="2"/>
    </font>
    <font>
      <b/>
      <u/>
      <sz val="10"/>
      <color indexed="8"/>
      <name val="Calibri"/>
      <family val="2"/>
    </font>
    <font>
      <b/>
      <sz val="10"/>
      <color indexed="12"/>
      <name val="Calibri"/>
      <family val="2"/>
    </font>
    <font>
      <i/>
      <sz val="10"/>
      <color indexed="8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color theme="3" tint="0.3999755851924192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color theme="0"/>
      <name val="Calibri"/>
      <family val="2"/>
    </font>
  </fonts>
  <fills count="5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EE8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EFFC4A"/>
        <bgColor indexed="64"/>
      </patternFill>
    </fill>
  </fills>
  <borders count="10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/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rgb="FFD0D7E5"/>
      </left>
      <right style="thin">
        <color rgb="FFD0D7E5"/>
      </right>
      <top/>
      <bottom style="thin">
        <color indexed="64"/>
      </bottom>
      <diagonal/>
    </border>
    <border>
      <left/>
      <right style="thin">
        <color rgb="FFD0D7E5"/>
      </right>
      <top style="thin">
        <color rgb="FFD0D7E5"/>
      </top>
      <bottom style="double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indexed="64"/>
      </top>
      <bottom style="double">
        <color indexed="64"/>
      </bottom>
      <diagonal/>
    </border>
    <border>
      <left/>
      <right style="thin">
        <color rgb="FFD0D7E5"/>
      </right>
      <top/>
      <bottom style="thin">
        <color rgb="FFD0D7E5"/>
      </bottom>
      <diagonal/>
    </border>
    <border>
      <left style="thin">
        <color rgb="FFD0D7E5"/>
      </left>
      <right/>
      <top style="thin">
        <color rgb="FFD0D7E5"/>
      </top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30">
    <xf numFmtId="0" fontId="0" fillId="0" borderId="0"/>
    <xf numFmtId="44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0" fillId="0" borderId="0"/>
    <xf numFmtId="0" fontId="5" fillId="0" borderId="0"/>
    <xf numFmtId="0" fontId="5" fillId="0" borderId="0"/>
    <xf numFmtId="0" fontId="5" fillId="0" borderId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8" fontId="22" fillId="6" borderId="36" applyFont="0" applyFill="0" applyAlignment="0">
      <alignment horizontal="left" vertical="center" wrapText="1"/>
    </xf>
    <xf numFmtId="8" fontId="22" fillId="6" borderId="36" applyFont="0" applyFill="0" applyAlignment="0">
      <alignment horizontal="left" vertical="center" wrapText="1"/>
    </xf>
    <xf numFmtId="44" fontId="18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34" fillId="0" borderId="0"/>
    <xf numFmtId="0" fontId="2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20" fillId="0" borderId="0"/>
    <xf numFmtId="0" fontId="20" fillId="0" borderId="0"/>
    <xf numFmtId="0" fontId="20" fillId="0" borderId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30" borderId="0" applyNumberFormat="0" applyBorder="0" applyAlignment="0" applyProtection="0"/>
    <xf numFmtId="0" fontId="18" fillId="33" borderId="0" applyNumberFormat="0" applyBorder="0" applyAlignment="0" applyProtection="0"/>
    <xf numFmtId="0" fontId="18" fillId="36" borderId="0" applyNumberFormat="0" applyBorder="0" applyAlignment="0" applyProtection="0"/>
    <xf numFmtId="0" fontId="54" fillId="37" borderId="0" applyNumberFormat="0" applyBorder="0" applyAlignment="0" applyProtection="0"/>
    <xf numFmtId="0" fontId="54" fillId="34" borderId="0" applyNumberFormat="0" applyBorder="0" applyAlignment="0" applyProtection="0"/>
    <xf numFmtId="0" fontId="54" fillId="35" borderId="0" applyNumberFormat="0" applyBorder="0" applyAlignment="0" applyProtection="0"/>
    <xf numFmtId="0" fontId="54" fillId="38" borderId="0" applyNumberFormat="0" applyBorder="0" applyAlignment="0" applyProtection="0"/>
    <xf numFmtId="0" fontId="54" fillId="39" borderId="0" applyNumberFormat="0" applyBorder="0" applyAlignment="0" applyProtection="0"/>
    <xf numFmtId="0" fontId="54" fillId="40" borderId="0" applyNumberFormat="0" applyBorder="0" applyAlignment="0" applyProtection="0"/>
    <xf numFmtId="0" fontId="54" fillId="41" borderId="0" applyNumberFormat="0" applyBorder="0" applyAlignment="0" applyProtection="0"/>
    <xf numFmtId="0" fontId="54" fillId="42" borderId="0" applyNumberFormat="0" applyBorder="0" applyAlignment="0" applyProtection="0"/>
    <xf numFmtId="0" fontId="54" fillId="43" borderId="0" applyNumberFormat="0" applyBorder="0" applyAlignment="0" applyProtection="0"/>
    <xf numFmtId="0" fontId="54" fillId="38" borderId="0" applyNumberFormat="0" applyBorder="0" applyAlignment="0" applyProtection="0"/>
    <xf numFmtId="0" fontId="54" fillId="39" borderId="0" applyNumberFormat="0" applyBorder="0" applyAlignment="0" applyProtection="0"/>
    <xf numFmtId="0" fontId="54" fillId="44" borderId="0" applyNumberFormat="0" applyBorder="0" applyAlignment="0" applyProtection="0"/>
    <xf numFmtId="0" fontId="55" fillId="28" borderId="0" applyNumberFormat="0" applyBorder="0" applyAlignment="0" applyProtection="0"/>
    <xf numFmtId="0" fontId="56" fillId="45" borderId="89" applyNumberFormat="0" applyAlignment="0" applyProtection="0"/>
    <xf numFmtId="0" fontId="57" fillId="46" borderId="90" applyNumberFormat="0" applyAlignment="0" applyProtection="0"/>
    <xf numFmtId="43" fontId="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29" borderId="0" applyNumberFormat="0" applyBorder="0" applyAlignment="0" applyProtection="0"/>
    <xf numFmtId="0" fontId="60" fillId="0" borderId="91" applyNumberFormat="0" applyFill="0" applyAlignment="0" applyProtection="0"/>
    <xf numFmtId="0" fontId="61" fillId="0" borderId="92" applyNumberFormat="0" applyFill="0" applyAlignment="0" applyProtection="0"/>
    <xf numFmtId="0" fontId="62" fillId="0" borderId="93" applyNumberFormat="0" applyFill="0" applyAlignment="0" applyProtection="0"/>
    <xf numFmtId="0" fontId="62" fillId="0" borderId="0" applyNumberFormat="0" applyFill="0" applyBorder="0" applyAlignment="0" applyProtection="0"/>
    <xf numFmtId="0" fontId="63" fillId="32" borderId="89" applyNumberFormat="0" applyAlignment="0" applyProtection="0"/>
    <xf numFmtId="0" fontId="64" fillId="0" borderId="94" applyNumberFormat="0" applyFill="0" applyAlignment="0" applyProtection="0"/>
    <xf numFmtId="0" fontId="65" fillId="47" borderId="0" applyNumberFormat="0" applyBorder="0" applyAlignment="0" applyProtection="0"/>
    <xf numFmtId="0" fontId="4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0" fillId="0" borderId="0"/>
    <xf numFmtId="0" fontId="66" fillId="0" borderId="0"/>
    <xf numFmtId="0" fontId="67" fillId="0" borderId="0"/>
    <xf numFmtId="0" fontId="20" fillId="48" borderId="78" applyNumberFormat="0" applyFont="0" applyAlignment="0" applyProtection="0"/>
    <xf numFmtId="0" fontId="68" fillId="45" borderId="95" applyNumberFormat="0" applyAlignment="0" applyProtection="0"/>
    <xf numFmtId="9" fontId="4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96" applyNumberFormat="0" applyFill="0" applyAlignment="0" applyProtection="0"/>
    <xf numFmtId="0" fontId="72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2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973">
    <xf numFmtId="0" fontId="0" fillId="0" borderId="0" xfId="0"/>
    <xf numFmtId="0" fontId="9" fillId="0" borderId="0" xfId="0" applyFont="1"/>
    <xf numFmtId="0" fontId="11" fillId="0" borderId="0" xfId="0" applyFont="1"/>
    <xf numFmtId="0" fontId="12" fillId="0" borderId="8" xfId="0" applyFont="1" applyBorder="1"/>
    <xf numFmtId="0" fontId="12" fillId="0" borderId="0" xfId="0" applyFont="1" applyBorder="1" applyAlignment="1">
      <alignment horizontal="center"/>
    </xf>
    <xf numFmtId="0" fontId="12" fillId="0" borderId="12" xfId="0" applyFont="1" applyBorder="1"/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164" fontId="13" fillId="0" borderId="8" xfId="0" applyNumberFormat="1" applyFont="1" applyBorder="1" applyAlignment="1"/>
    <xf numFmtId="0" fontId="12" fillId="0" borderId="9" xfId="0" applyFont="1" applyBorder="1" applyAlignment="1">
      <alignment horizontal="center"/>
    </xf>
    <xf numFmtId="164" fontId="10" fillId="0" borderId="8" xfId="0" applyNumberFormat="1" applyFont="1" applyBorder="1" applyAlignment="1"/>
    <xf numFmtId="42" fontId="14" fillId="0" borderId="0" xfId="0" applyNumberFormat="1" applyFont="1" applyBorder="1"/>
    <xf numFmtId="42" fontId="11" fillId="0" borderId="9" xfId="0" applyNumberFormat="1" applyFont="1" applyBorder="1"/>
    <xf numFmtId="0" fontId="12" fillId="0" borderId="19" xfId="0" applyFont="1" applyBorder="1"/>
    <xf numFmtId="0" fontId="12" fillId="0" borderId="20" xfId="0" applyFont="1" applyBorder="1"/>
    <xf numFmtId="42" fontId="12" fillId="0" borderId="21" xfId="0" applyNumberFormat="1" applyFont="1" applyBorder="1"/>
    <xf numFmtId="0" fontId="11" fillId="0" borderId="0" xfId="0" applyFont="1" applyBorder="1"/>
    <xf numFmtId="0" fontId="11" fillId="0" borderId="9" xfId="0" applyFont="1" applyBorder="1"/>
    <xf numFmtId="0" fontId="11" fillId="0" borderId="8" xfId="0" applyFont="1" applyBorder="1"/>
    <xf numFmtId="10" fontId="14" fillId="0" borderId="0" xfId="0" applyNumberFormat="1" applyFont="1" applyBorder="1"/>
    <xf numFmtId="42" fontId="12" fillId="0" borderId="21" xfId="0" applyNumberFormat="1" applyFont="1" applyFill="1" applyBorder="1"/>
    <xf numFmtId="165" fontId="11" fillId="0" borderId="9" xfId="0" applyNumberFormat="1" applyFont="1" applyBorder="1"/>
    <xf numFmtId="0" fontId="12" fillId="0" borderId="25" xfId="0" applyFont="1" applyBorder="1"/>
    <xf numFmtId="0" fontId="11" fillId="0" borderId="26" xfId="0" applyFont="1" applyBorder="1"/>
    <xf numFmtId="42" fontId="12" fillId="0" borderId="27" xfId="0" applyNumberFormat="1" applyFont="1" applyBorder="1"/>
    <xf numFmtId="10" fontId="15" fillId="0" borderId="0" xfId="0" applyNumberFormat="1" applyFont="1" applyBorder="1"/>
    <xf numFmtId="0" fontId="11" fillId="0" borderId="0" xfId="0" applyFont="1" applyFill="1" applyBorder="1"/>
    <xf numFmtId="0" fontId="9" fillId="0" borderId="0" xfId="0" applyFont="1" applyBorder="1"/>
    <xf numFmtId="0" fontId="9" fillId="0" borderId="0" xfId="0" applyFont="1" applyFill="1" applyBorder="1"/>
    <xf numFmtId="0" fontId="11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4" fontId="15" fillId="0" borderId="0" xfId="0" applyNumberFormat="1" applyFont="1" applyBorder="1" applyAlignment="1">
      <alignment horizontal="center"/>
    </xf>
    <xf numFmtId="4" fontId="12" fillId="0" borderId="20" xfId="0" applyNumberFormat="1" applyFont="1" applyBorder="1" applyAlignment="1">
      <alignment horizontal="center"/>
    </xf>
    <xf numFmtId="44" fontId="12" fillId="0" borderId="20" xfId="0" applyNumberFormat="1" applyFont="1" applyBorder="1" applyAlignment="1">
      <alignment horizontal="center"/>
    </xf>
    <xf numFmtId="44" fontId="11" fillId="0" borderId="0" xfId="0" applyNumberFormat="1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11" fillId="0" borderId="0" xfId="0" applyFont="1" applyFill="1"/>
    <xf numFmtId="0" fontId="11" fillId="0" borderId="0" xfId="0" applyFont="1" applyFill="1" applyAlignment="1">
      <alignment horizontal="center"/>
    </xf>
    <xf numFmtId="44" fontId="9" fillId="0" borderId="0" xfId="0" applyNumberFormat="1" applyFont="1" applyFill="1"/>
    <xf numFmtId="169" fontId="9" fillId="0" borderId="0" xfId="0" applyNumberFormat="1" applyFont="1" applyFill="1" applyBorder="1"/>
    <xf numFmtId="169" fontId="19" fillId="0" borderId="0" xfId="0" applyNumberFormat="1" applyFont="1" applyFill="1" applyBorder="1"/>
    <xf numFmtId="168" fontId="9" fillId="0" borderId="0" xfId="0" applyNumberFormat="1" applyFont="1" applyFill="1" applyBorder="1"/>
    <xf numFmtId="0" fontId="24" fillId="0" borderId="0" xfId="0" applyFont="1" applyFill="1" applyAlignment="1">
      <alignment horizontal="center"/>
    </xf>
    <xf numFmtId="44" fontId="24" fillId="0" borderId="0" xfId="0" applyNumberFormat="1" applyFont="1" applyFill="1" applyAlignment="1">
      <alignment horizontal="center"/>
    </xf>
    <xf numFmtId="0" fontId="13" fillId="8" borderId="48" xfId="0" applyFont="1" applyFill="1" applyBorder="1" applyAlignment="1">
      <alignment horizontal="center" vertical="center" wrapText="1"/>
    </xf>
    <xf numFmtId="0" fontId="13" fillId="8" borderId="48" xfId="0" applyFont="1" applyFill="1" applyBorder="1" applyAlignment="1">
      <alignment horizontal="center" vertical="center"/>
    </xf>
    <xf numFmtId="3" fontId="19" fillId="0" borderId="1" xfId="0" applyNumberFormat="1" applyFont="1" applyBorder="1" applyAlignment="1">
      <alignment wrapText="1"/>
    </xf>
    <xf numFmtId="0" fontId="9" fillId="0" borderId="49" xfId="0" applyFont="1" applyBorder="1" applyAlignment="1">
      <alignment horizontal="center"/>
    </xf>
    <xf numFmtId="0" fontId="9" fillId="0" borderId="50" xfId="0" applyFont="1" applyBorder="1" applyAlignment="1">
      <alignment horizontal="center"/>
    </xf>
    <xf numFmtId="3" fontId="12" fillId="0" borderId="9" xfId="0" applyNumberFormat="1" applyFont="1" applyFill="1" applyBorder="1" applyAlignment="1">
      <alignment horizontal="center" vertical="center"/>
    </xf>
    <xf numFmtId="0" fontId="9" fillId="0" borderId="12" xfId="0" applyFont="1" applyBorder="1" applyAlignment="1">
      <alignment wrapText="1"/>
    </xf>
    <xf numFmtId="0" fontId="25" fillId="0" borderId="5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/>
    </xf>
    <xf numFmtId="0" fontId="9" fillId="0" borderId="19" xfId="0" applyFont="1" applyBorder="1" applyAlignment="1">
      <alignment vertical="center" wrapText="1"/>
    </xf>
    <xf numFmtId="0" fontId="25" fillId="0" borderId="52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19" xfId="0" applyFont="1" applyBorder="1" applyAlignment="1">
      <alignment wrapText="1"/>
    </xf>
    <xf numFmtId="0" fontId="9" fillId="0" borderId="36" xfId="0" applyFont="1" applyBorder="1" applyAlignment="1">
      <alignment horizontal="center"/>
    </xf>
    <xf numFmtId="0" fontId="9" fillId="3" borderId="19" xfId="3" applyFont="1" applyFill="1" applyBorder="1"/>
    <xf numFmtId="4" fontId="9" fillId="3" borderId="52" xfId="0" applyNumberFormat="1" applyFont="1" applyFill="1" applyBorder="1" applyAlignment="1">
      <alignment horizontal="center"/>
    </xf>
    <xf numFmtId="0" fontId="11" fillId="0" borderId="13" xfId="0" applyFont="1" applyBorder="1"/>
    <xf numFmtId="0" fontId="25" fillId="3" borderId="37" xfId="3" applyFont="1" applyFill="1" applyBorder="1" applyAlignment="1">
      <alignment vertical="center" wrapText="1"/>
    </xf>
    <xf numFmtId="4" fontId="9" fillId="3" borderId="53" xfId="0" applyNumberFormat="1" applyFont="1" applyFill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19" fillId="0" borderId="1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9" fillId="0" borderId="8" xfId="0" applyFont="1" applyFill="1" applyBorder="1" applyAlignment="1">
      <alignment wrapText="1"/>
    </xf>
    <xf numFmtId="0" fontId="11" fillId="0" borderId="0" xfId="0" applyFont="1" applyBorder="1" applyAlignment="1">
      <alignment horizontal="right"/>
    </xf>
    <xf numFmtId="9" fontId="11" fillId="0" borderId="0" xfId="0" applyNumberFormat="1" applyFont="1" applyBorder="1" applyAlignment="1">
      <alignment horizontal="center"/>
    </xf>
    <xf numFmtId="165" fontId="11" fillId="0" borderId="9" xfId="5" applyNumberFormat="1" applyFont="1" applyBorder="1"/>
    <xf numFmtId="0" fontId="11" fillId="0" borderId="12" xfId="0" applyFont="1" applyBorder="1"/>
    <xf numFmtId="9" fontId="11" fillId="0" borderId="13" xfId="0" applyNumberFormat="1" applyFont="1" applyBorder="1"/>
    <xf numFmtId="44" fontId="11" fillId="0" borderId="13" xfId="5" applyFont="1" applyBorder="1" applyAlignment="1">
      <alignment horizontal="center"/>
    </xf>
    <xf numFmtId="0" fontId="12" fillId="0" borderId="55" xfId="0" applyFont="1" applyBorder="1"/>
    <xf numFmtId="168" fontId="12" fillId="0" borderId="55" xfId="0" applyNumberFormat="1" applyFont="1" applyBorder="1"/>
    <xf numFmtId="169" fontId="12" fillId="0" borderId="55" xfId="0" applyNumberFormat="1" applyFont="1" applyBorder="1" applyAlignment="1">
      <alignment horizontal="center"/>
    </xf>
    <xf numFmtId="169" fontId="9" fillId="0" borderId="0" xfId="0" applyNumberFormat="1" applyFont="1"/>
    <xf numFmtId="168" fontId="11" fillId="0" borderId="0" xfId="0" applyNumberFormat="1" applyFont="1"/>
    <xf numFmtId="0" fontId="12" fillId="0" borderId="0" xfId="0" applyFont="1"/>
    <xf numFmtId="169" fontId="11" fillId="0" borderId="0" xfId="0" applyNumberFormat="1" applyFont="1"/>
    <xf numFmtId="0" fontId="11" fillId="0" borderId="4" xfId="0" applyFont="1" applyBorder="1" applyAlignment="1"/>
    <xf numFmtId="0" fontId="11" fillId="0" borderId="6" xfId="0" applyFont="1" applyBorder="1" applyAlignment="1"/>
    <xf numFmtId="0" fontId="11" fillId="0" borderId="40" xfId="0" applyFont="1" applyBorder="1" applyAlignment="1"/>
    <xf numFmtId="168" fontId="11" fillId="0" borderId="19" xfId="0" applyNumberFormat="1" applyFont="1" applyFill="1" applyBorder="1" applyAlignment="1"/>
    <xf numFmtId="168" fontId="11" fillId="0" borderId="20" xfId="0" applyNumberFormat="1" applyFont="1" applyFill="1" applyBorder="1" applyAlignment="1"/>
    <xf numFmtId="168" fontId="11" fillId="0" borderId="20" xfId="0" applyNumberFormat="1" applyFont="1" applyFill="1" applyBorder="1" applyAlignment="1">
      <alignment horizontal="center"/>
    </xf>
    <xf numFmtId="168" fontId="11" fillId="0" borderId="21" xfId="0" applyNumberFormat="1" applyFont="1" applyFill="1" applyBorder="1" applyAlignment="1"/>
    <xf numFmtId="0" fontId="9" fillId="0" borderId="36" xfId="0" applyFont="1" applyBorder="1"/>
    <xf numFmtId="168" fontId="11" fillId="0" borderId="22" xfId="0" applyNumberFormat="1" applyFont="1" applyFill="1" applyBorder="1" applyAlignment="1"/>
    <xf numFmtId="168" fontId="11" fillId="0" borderId="33" xfId="0" applyNumberFormat="1" applyFont="1" applyFill="1" applyBorder="1" applyAlignment="1"/>
    <xf numFmtId="0" fontId="9" fillId="0" borderId="35" xfId="0" applyFont="1" applyBorder="1"/>
    <xf numFmtId="0" fontId="26" fillId="0" borderId="0" xfId="14" applyFont="1"/>
    <xf numFmtId="165" fontId="26" fillId="0" borderId="0" xfId="39" applyNumberFormat="1" applyFont="1"/>
    <xf numFmtId="0" fontId="27" fillId="0" borderId="0" xfId="14" applyFont="1" applyFill="1" applyBorder="1"/>
    <xf numFmtId="0" fontId="26" fillId="0" borderId="0" xfId="14" applyFont="1" applyAlignment="1">
      <alignment horizontal="center"/>
    </xf>
    <xf numFmtId="0" fontId="26" fillId="0" borderId="0" xfId="14" applyFont="1" applyFill="1" applyAlignment="1">
      <alignment horizontal="center"/>
    </xf>
    <xf numFmtId="0" fontId="26" fillId="0" borderId="0" xfId="14" applyFont="1" applyFill="1" applyBorder="1" applyAlignment="1">
      <alignment horizontal="center"/>
    </xf>
    <xf numFmtId="0" fontId="27" fillId="3" borderId="60" xfId="14" applyFont="1" applyFill="1" applyBorder="1" applyAlignment="1">
      <alignment horizontal="center"/>
    </xf>
    <xf numFmtId="0" fontId="26" fillId="0" borderId="0" xfId="14" applyFont="1" applyFill="1"/>
    <xf numFmtId="10" fontId="26" fillId="0" borderId="0" xfId="2" applyNumberFormat="1" applyFont="1" applyFill="1" applyBorder="1"/>
    <xf numFmtId="0" fontId="27" fillId="3" borderId="31" xfId="14" applyFont="1" applyFill="1" applyBorder="1" applyAlignment="1">
      <alignment horizontal="center"/>
    </xf>
    <xf numFmtId="0" fontId="26" fillId="0" borderId="0" xfId="14" applyFont="1" applyBorder="1" applyAlignment="1">
      <alignment horizontal="center"/>
    </xf>
    <xf numFmtId="0" fontId="26" fillId="0" borderId="0" xfId="14" applyFont="1" applyFill="1" applyBorder="1" applyAlignment="1">
      <alignment horizontal="right"/>
    </xf>
    <xf numFmtId="10" fontId="26" fillId="0" borderId="0" xfId="14" applyNumberFormat="1" applyFont="1" applyFill="1" applyBorder="1"/>
    <xf numFmtId="169" fontId="26" fillId="0" borderId="0" xfId="14" applyNumberFormat="1" applyFont="1" applyFill="1" applyBorder="1" applyAlignment="1">
      <alignment horizontal="center"/>
    </xf>
    <xf numFmtId="0" fontId="26" fillId="0" borderId="0" xfId="14" applyFont="1" applyFill="1" applyBorder="1"/>
    <xf numFmtId="0" fontId="26" fillId="0" borderId="0" xfId="14" applyFont="1" applyBorder="1"/>
    <xf numFmtId="0" fontId="5" fillId="0" borderId="0" xfId="14" applyFont="1"/>
    <xf numFmtId="0" fontId="5" fillId="0" borderId="0" xfId="14" applyFont="1" applyFill="1" applyBorder="1"/>
    <xf numFmtId="0" fontId="5" fillId="0" borderId="0" xfId="14" applyFont="1" applyFill="1"/>
    <xf numFmtId="0" fontId="7" fillId="0" borderId="0" xfId="14" applyFont="1"/>
    <xf numFmtId="0" fontId="5" fillId="0" borderId="0" xfId="14" applyFont="1" applyBorder="1"/>
    <xf numFmtId="10" fontId="0" fillId="0" borderId="0" xfId="2" applyNumberFormat="1" applyFont="1" applyBorder="1"/>
    <xf numFmtId="0" fontId="5" fillId="0" borderId="0" xfId="14" applyFont="1" applyAlignment="1">
      <alignment vertical="center"/>
    </xf>
    <xf numFmtId="10" fontId="33" fillId="0" borderId="0" xfId="2" applyNumberFormat="1" applyFont="1" applyFill="1" applyBorder="1" applyAlignment="1">
      <alignment horizontal="center"/>
    </xf>
    <xf numFmtId="0" fontId="34" fillId="0" borderId="0" xfId="42"/>
    <xf numFmtId="0" fontId="21" fillId="0" borderId="0" xfId="42" applyFont="1"/>
    <xf numFmtId="0" fontId="20" fillId="12" borderId="0" xfId="43" applyFont="1" applyFill="1"/>
    <xf numFmtId="0" fontId="38" fillId="12" borderId="0" xfId="43" applyFont="1" applyFill="1"/>
    <xf numFmtId="0" fontId="38" fillId="13" borderId="0" xfId="43" applyFont="1" applyFill="1"/>
    <xf numFmtId="0" fontId="38" fillId="14" borderId="0" xfId="43" applyFont="1" applyFill="1"/>
    <xf numFmtId="0" fontId="38" fillId="15" borderId="0" xfId="43" applyFont="1" applyFill="1"/>
    <xf numFmtId="0" fontId="38" fillId="16" borderId="0" xfId="43" applyFont="1" applyFill="1"/>
    <xf numFmtId="0" fontId="38" fillId="17" borderId="0" xfId="43" applyFont="1" applyFill="1"/>
    <xf numFmtId="14" fontId="21" fillId="0" borderId="0" xfId="42" applyNumberFormat="1" applyFont="1"/>
    <xf numFmtId="170" fontId="34" fillId="0" borderId="0" xfId="42" applyNumberFormat="1"/>
    <xf numFmtId="2" fontId="34" fillId="0" borderId="0" xfId="42" applyNumberFormat="1"/>
    <xf numFmtId="0" fontId="21" fillId="0" borderId="0" xfId="32" applyFont="1"/>
    <xf numFmtId="0" fontId="20" fillId="0" borderId="0" xfId="32"/>
    <xf numFmtId="0" fontId="39" fillId="0" borderId="0" xfId="32" applyFont="1"/>
    <xf numFmtId="0" fontId="40" fillId="0" borderId="0" xfId="32" applyFont="1"/>
    <xf numFmtId="0" fontId="20" fillId="0" borderId="46" xfId="32" applyBorder="1"/>
    <xf numFmtId="0" fontId="20" fillId="0" borderId="38" xfId="32" applyBorder="1"/>
    <xf numFmtId="0" fontId="20" fillId="0" borderId="18" xfId="32" applyBorder="1"/>
    <xf numFmtId="166" fontId="34" fillId="0" borderId="0" xfId="42" applyNumberFormat="1"/>
    <xf numFmtId="0" fontId="20" fillId="0" borderId="41" xfId="32" applyBorder="1"/>
    <xf numFmtId="0" fontId="20" fillId="0" borderId="0" xfId="32" applyBorder="1" applyAlignment="1">
      <alignment horizontal="right"/>
    </xf>
    <xf numFmtId="0" fontId="20" fillId="0" borderId="0" xfId="32" applyBorder="1"/>
    <xf numFmtId="0" fontId="20" fillId="0" borderId="10" xfId="32" applyBorder="1"/>
    <xf numFmtId="0" fontId="41" fillId="0" borderId="10" xfId="32" applyFont="1" applyBorder="1" applyAlignment="1">
      <alignment horizontal="center"/>
    </xf>
    <xf numFmtId="170" fontId="20" fillId="0" borderId="10" xfId="32" applyNumberFormat="1" applyBorder="1" applyAlignment="1">
      <alignment horizontal="center"/>
    </xf>
    <xf numFmtId="0" fontId="20" fillId="0" borderId="10" xfId="32" applyBorder="1" applyAlignment="1">
      <alignment horizontal="center"/>
    </xf>
    <xf numFmtId="0" fontId="21" fillId="9" borderId="0" xfId="32" applyFont="1" applyFill="1" applyBorder="1" applyAlignment="1">
      <alignment horizontal="right"/>
    </xf>
    <xf numFmtId="10" fontId="21" fillId="9" borderId="10" xfId="17" applyNumberFormat="1" applyFont="1" applyFill="1" applyBorder="1" applyAlignment="1">
      <alignment horizontal="center"/>
    </xf>
    <xf numFmtId="0" fontId="20" fillId="0" borderId="42" xfId="32" applyBorder="1"/>
    <xf numFmtId="0" fontId="20" fillId="0" borderId="13" xfId="32" applyBorder="1"/>
    <xf numFmtId="0" fontId="20" fillId="0" borderId="16" xfId="32" applyBorder="1"/>
    <xf numFmtId="14" fontId="21" fillId="0" borderId="0" xfId="13" applyNumberFormat="1" applyFont="1"/>
    <xf numFmtId="0" fontId="21" fillId="0" borderId="0" xfId="13" applyFont="1"/>
    <xf numFmtId="170" fontId="20" fillId="0" borderId="0" xfId="32" applyNumberFormat="1" applyBorder="1"/>
    <xf numFmtId="0" fontId="27" fillId="3" borderId="66" xfId="14" applyFont="1" applyFill="1" applyBorder="1" applyAlignment="1">
      <alignment horizontal="center"/>
    </xf>
    <xf numFmtId="0" fontId="27" fillId="3" borderId="54" xfId="14" applyFont="1" applyFill="1" applyBorder="1" applyAlignment="1">
      <alignment horizontal="center"/>
    </xf>
    <xf numFmtId="0" fontId="27" fillId="3" borderId="30" xfId="14" applyFont="1" applyFill="1" applyBorder="1" applyAlignment="1">
      <alignment horizontal="center"/>
    </xf>
    <xf numFmtId="0" fontId="19" fillId="0" borderId="0" xfId="0" applyFont="1" applyBorder="1" applyAlignment="1">
      <alignment horizontal="center"/>
    </xf>
    <xf numFmtId="6" fontId="19" fillId="0" borderId="0" xfId="0" applyNumberFormat="1" applyFont="1" applyBorder="1" applyAlignment="1">
      <alignment horizontal="center"/>
    </xf>
    <xf numFmtId="3" fontId="19" fillId="0" borderId="0" xfId="0" applyNumberFormat="1" applyFont="1" applyBorder="1" applyAlignment="1">
      <alignment horizontal="center"/>
    </xf>
    <xf numFmtId="165" fontId="19" fillId="0" borderId="0" xfId="0" applyNumberFormat="1" applyFont="1" applyBorder="1" applyAlignment="1">
      <alignment horizontal="center"/>
    </xf>
    <xf numFmtId="4" fontId="19" fillId="0" borderId="0" xfId="2" applyNumberFormat="1" applyFont="1" applyBorder="1" applyAlignment="1">
      <alignment horizontal="center"/>
    </xf>
    <xf numFmtId="0" fontId="19" fillId="0" borderId="0" xfId="0" applyFont="1" applyAlignment="1">
      <alignment horizontal="left"/>
    </xf>
    <xf numFmtId="0" fontId="1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19" fillId="0" borderId="48" xfId="0" applyFont="1" applyFill="1" applyBorder="1" applyAlignment="1">
      <alignment horizontal="center"/>
    </xf>
    <xf numFmtId="44" fontId="12" fillId="9" borderId="14" xfId="5" applyFont="1" applyFill="1" applyBorder="1"/>
    <xf numFmtId="0" fontId="0" fillId="0" borderId="9" xfId="0" applyBorder="1"/>
    <xf numFmtId="0" fontId="0" fillId="0" borderId="24" xfId="0" applyBorder="1"/>
    <xf numFmtId="0" fontId="42" fillId="0" borderId="0" xfId="0" applyFont="1"/>
    <xf numFmtId="0" fontId="12" fillId="0" borderId="0" xfId="0" applyFont="1" applyBorder="1"/>
    <xf numFmtId="0" fontId="12" fillId="0" borderId="13" xfId="0" applyFont="1" applyBorder="1"/>
    <xf numFmtId="164" fontId="13" fillId="0" borderId="0" xfId="0" applyNumberFormat="1" applyFont="1" applyBorder="1" applyAlignment="1"/>
    <xf numFmtId="164" fontId="10" fillId="0" borderId="0" xfId="0" applyNumberFormat="1" applyFont="1" applyBorder="1" applyAlignment="1"/>
    <xf numFmtId="0" fontId="12" fillId="0" borderId="26" xfId="0" applyFont="1" applyBorder="1"/>
    <xf numFmtId="0" fontId="5" fillId="0" borderId="0" xfId="14" applyFont="1" applyFill="1" applyBorder="1" applyAlignment="1">
      <alignment horizontal="center"/>
    </xf>
    <xf numFmtId="0" fontId="5" fillId="0" borderId="0" xfId="14" applyFont="1" applyFill="1" applyAlignment="1">
      <alignment horizontal="center"/>
    </xf>
    <xf numFmtId="0" fontId="33" fillId="0" borderId="0" xfId="14" applyFont="1" applyFill="1" applyAlignment="1">
      <alignment horizontal="right"/>
    </xf>
    <xf numFmtId="0" fontId="12" fillId="0" borderId="67" xfId="0" applyFont="1" applyBorder="1" applyAlignment="1"/>
    <xf numFmtId="0" fontId="12" fillId="0" borderId="68" xfId="0" applyFont="1" applyBorder="1" applyAlignment="1"/>
    <xf numFmtId="0" fontId="13" fillId="8" borderId="3" xfId="0" applyFont="1" applyFill="1" applyBorder="1" applyAlignment="1">
      <alignment horizontal="center" wrapText="1"/>
    </xf>
    <xf numFmtId="0" fontId="9" fillId="0" borderId="0" xfId="0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9" fillId="0" borderId="20" xfId="0" applyFont="1" applyBorder="1" applyAlignment="1">
      <alignment vertical="center" wrapText="1"/>
    </xf>
    <xf numFmtId="0" fontId="9" fillId="0" borderId="20" xfId="0" applyFont="1" applyBorder="1" applyAlignment="1">
      <alignment wrapText="1"/>
    </xf>
    <xf numFmtId="0" fontId="9" fillId="3" borderId="20" xfId="3" applyFont="1" applyFill="1" applyBorder="1"/>
    <xf numFmtId="0" fontId="25" fillId="3" borderId="33" xfId="3" applyFont="1" applyFill="1" applyBorder="1" applyAlignment="1">
      <alignment vertical="center" wrapText="1"/>
    </xf>
    <xf numFmtId="0" fontId="19" fillId="0" borderId="29" xfId="0" applyFont="1" applyBorder="1" applyAlignment="1">
      <alignment wrapText="1"/>
    </xf>
    <xf numFmtId="0" fontId="9" fillId="0" borderId="33" xfId="0" applyFont="1" applyFill="1" applyBorder="1" applyAlignment="1">
      <alignment wrapText="1"/>
    </xf>
    <xf numFmtId="3" fontId="19" fillId="0" borderId="29" xfId="0" applyNumberFormat="1" applyFont="1" applyBorder="1" applyAlignment="1">
      <alignment wrapText="1"/>
    </xf>
    <xf numFmtId="0" fontId="43" fillId="0" borderId="0" xfId="14" applyFont="1" applyAlignment="1">
      <alignment horizontal="center"/>
    </xf>
    <xf numFmtId="0" fontId="0" fillId="0" borderId="8" xfId="0" applyBorder="1"/>
    <xf numFmtId="0" fontId="0" fillId="0" borderId="28" xfId="0" applyBorder="1"/>
    <xf numFmtId="0" fontId="9" fillId="0" borderId="0" xfId="0" applyFont="1" applyBorder="1" applyAlignment="1">
      <alignment horizontal="center"/>
    </xf>
    <xf numFmtId="0" fontId="19" fillId="0" borderId="0" xfId="0" applyFont="1" applyBorder="1" applyAlignment="1">
      <alignment horizontal="right"/>
    </xf>
    <xf numFmtId="6" fontId="19" fillId="0" borderId="0" xfId="0" applyNumberFormat="1" applyFont="1" applyFill="1" applyBorder="1" applyAlignment="1">
      <alignment horizontal="center"/>
    </xf>
    <xf numFmtId="10" fontId="19" fillId="0" borderId="0" xfId="2" applyNumberFormat="1" applyFont="1" applyBorder="1" applyAlignment="1">
      <alignment horizontal="center"/>
    </xf>
    <xf numFmtId="38" fontId="19" fillId="0" borderId="0" xfId="0" applyNumberFormat="1" applyFont="1" applyBorder="1" applyAlignment="1">
      <alignment horizontal="center"/>
    </xf>
    <xf numFmtId="10" fontId="0" fillId="0" borderId="0" xfId="0" applyNumberFormat="1"/>
    <xf numFmtId="0" fontId="29" fillId="4" borderId="58" xfId="14" applyFont="1" applyFill="1" applyBorder="1" applyAlignment="1">
      <alignment horizontal="center" vertical="center" wrapText="1"/>
    </xf>
    <xf numFmtId="0" fontId="27" fillId="0" borderId="68" xfId="14" applyFont="1" applyBorder="1" applyAlignment="1">
      <alignment horizontal="center" vertical="center" wrapText="1"/>
    </xf>
    <xf numFmtId="0" fontId="30" fillId="18" borderId="52" xfId="14" applyFont="1" applyFill="1" applyBorder="1" applyAlignment="1">
      <alignment horizontal="center"/>
    </xf>
    <xf numFmtId="3" fontId="19" fillId="0" borderId="50" xfId="0" applyNumberFormat="1" applyFont="1" applyBorder="1" applyAlignment="1">
      <alignment horizontal="center"/>
    </xf>
    <xf numFmtId="3" fontId="9" fillId="3" borderId="32" xfId="0" applyNumberFormat="1" applyFont="1" applyFill="1" applyBorder="1" applyAlignment="1">
      <alignment horizontal="center"/>
    </xf>
    <xf numFmtId="3" fontId="9" fillId="3" borderId="36" xfId="0" applyNumberFormat="1" applyFont="1" applyFill="1" applyBorder="1" applyAlignment="1">
      <alignment horizontal="center" vertical="center"/>
    </xf>
    <xf numFmtId="3" fontId="9" fillId="3" borderId="36" xfId="0" applyNumberFormat="1" applyFont="1" applyFill="1" applyBorder="1" applyAlignment="1">
      <alignment horizontal="center"/>
    </xf>
    <xf numFmtId="3" fontId="9" fillId="3" borderId="72" xfId="0" applyNumberFormat="1" applyFont="1" applyFill="1" applyBorder="1" applyAlignment="1">
      <alignment horizontal="center"/>
    </xf>
    <xf numFmtId="3" fontId="19" fillId="0" borderId="32" xfId="0" applyNumberFormat="1" applyFont="1" applyBorder="1" applyAlignment="1">
      <alignment horizontal="center"/>
    </xf>
    <xf numFmtId="4" fontId="9" fillId="0" borderId="31" xfId="0" applyNumberFormat="1" applyFont="1" applyBorder="1" applyAlignment="1">
      <alignment horizontal="center"/>
    </xf>
    <xf numFmtId="169" fontId="27" fillId="9" borderId="66" xfId="14" applyNumberFormat="1" applyFont="1" applyFill="1" applyBorder="1" applyAlignment="1">
      <alignment horizontal="center"/>
    </xf>
    <xf numFmtId="169" fontId="27" fillId="9" borderId="54" xfId="14" applyNumberFormat="1" applyFont="1" applyFill="1" applyBorder="1" applyAlignment="1">
      <alignment horizontal="center"/>
    </xf>
    <xf numFmtId="169" fontId="27" fillId="9" borderId="30" xfId="14" applyNumberFormat="1" applyFont="1" applyFill="1" applyBorder="1" applyAlignment="1">
      <alignment horizontal="center"/>
    </xf>
    <xf numFmtId="10" fontId="27" fillId="0" borderId="64" xfId="2" applyNumberFormat="1" applyFont="1" applyFill="1" applyBorder="1" applyAlignment="1">
      <alignment horizontal="center"/>
    </xf>
    <xf numFmtId="0" fontId="26" fillId="0" borderId="51" xfId="14" applyFont="1" applyFill="1" applyBorder="1" applyAlignment="1">
      <alignment horizontal="center"/>
    </xf>
    <xf numFmtId="0" fontId="26" fillId="0" borderId="52" xfId="14" applyFont="1" applyFill="1" applyBorder="1" applyAlignment="1">
      <alignment horizontal="center"/>
    </xf>
    <xf numFmtId="0" fontId="26" fillId="0" borderId="53" xfId="14" applyFont="1" applyFill="1" applyBorder="1" applyAlignment="1">
      <alignment horizontal="center"/>
    </xf>
    <xf numFmtId="0" fontId="27" fillId="3" borderId="41" xfId="14" applyFont="1" applyFill="1" applyBorder="1" applyAlignment="1">
      <alignment horizontal="center"/>
    </xf>
    <xf numFmtId="0" fontId="27" fillId="3" borderId="59" xfId="14" applyFont="1" applyFill="1" applyBorder="1" applyAlignment="1">
      <alignment horizontal="center"/>
    </xf>
    <xf numFmtId="0" fontId="26" fillId="0" borderId="63" xfId="14" applyFont="1" applyBorder="1"/>
    <xf numFmtId="169" fontId="27" fillId="0" borderId="42" xfId="14" applyNumberFormat="1" applyFont="1" applyFill="1" applyBorder="1" applyAlignment="1">
      <alignment horizontal="center"/>
    </xf>
    <xf numFmtId="169" fontId="27" fillId="0" borderId="57" xfId="14" applyNumberFormat="1" applyFont="1" applyFill="1" applyBorder="1" applyAlignment="1">
      <alignment horizontal="center"/>
    </xf>
    <xf numFmtId="169" fontId="27" fillId="0" borderId="47" xfId="14" applyNumberFormat="1" applyFont="1" applyFill="1" applyBorder="1" applyAlignment="1">
      <alignment horizontal="center"/>
    </xf>
    <xf numFmtId="10" fontId="0" fillId="0" borderId="0" xfId="2" applyNumberFormat="1" applyFont="1"/>
    <xf numFmtId="0" fontId="48" fillId="0" borderId="20" xfId="0" applyFont="1" applyBorder="1" applyAlignment="1">
      <alignment horizontal="right"/>
    </xf>
    <xf numFmtId="171" fontId="48" fillId="0" borderId="20" xfId="0" applyNumberFormat="1" applyFont="1" applyBorder="1" applyAlignment="1">
      <alignment horizontal="center"/>
    </xf>
    <xf numFmtId="0" fontId="49" fillId="19" borderId="55" xfId="46" applyFont="1" applyFill="1" applyBorder="1" applyAlignment="1" applyProtection="1">
      <alignment horizontal="center"/>
    </xf>
    <xf numFmtId="0" fontId="3" fillId="0" borderId="0" xfId="46"/>
    <xf numFmtId="0" fontId="50" fillId="0" borderId="0" xfId="46" applyFont="1" applyAlignment="1"/>
    <xf numFmtId="8" fontId="25" fillId="0" borderId="79" xfId="46" applyNumberFormat="1" applyFont="1" applyFill="1" applyBorder="1" applyAlignment="1" applyProtection="1">
      <alignment horizontal="right"/>
    </xf>
    <xf numFmtId="14" fontId="25" fillId="0" borderId="79" xfId="46" applyNumberFormat="1" applyFont="1" applyFill="1" applyBorder="1" applyAlignment="1" applyProtection="1">
      <alignment horizontal="right"/>
    </xf>
    <xf numFmtId="8" fontId="25" fillId="0" borderId="80" xfId="46" applyNumberFormat="1" applyFont="1" applyFill="1" applyBorder="1" applyAlignment="1" applyProtection="1">
      <alignment horizontal="right"/>
    </xf>
    <xf numFmtId="8" fontId="25" fillId="0" borderId="81" xfId="46" applyNumberFormat="1" applyFont="1" applyFill="1" applyBorder="1" applyAlignment="1" applyProtection="1">
      <alignment horizontal="right"/>
    </xf>
    <xf numFmtId="8" fontId="49" fillId="0" borderId="81" xfId="46" applyNumberFormat="1" applyFont="1" applyFill="1" applyBorder="1" applyAlignment="1" applyProtection="1">
      <alignment horizontal="right"/>
    </xf>
    <xf numFmtId="8" fontId="25" fillId="0" borderId="82" xfId="46" applyNumberFormat="1" applyFont="1" applyFill="1" applyBorder="1" applyAlignment="1" applyProtection="1">
      <alignment horizontal="right"/>
    </xf>
    <xf numFmtId="8" fontId="49" fillId="0" borderId="0" xfId="46" applyNumberFormat="1" applyFont="1" applyFill="1" applyBorder="1" applyAlignment="1" applyProtection="1">
      <alignment horizontal="right"/>
    </xf>
    <xf numFmtId="0" fontId="28" fillId="0" borderId="0" xfId="46" applyFont="1" applyAlignment="1">
      <alignment horizontal="left"/>
    </xf>
    <xf numFmtId="8" fontId="25" fillId="0" borderId="0" xfId="46" applyNumberFormat="1" applyFont="1" applyFill="1" applyBorder="1" applyAlignment="1" applyProtection="1">
      <alignment horizontal="right"/>
    </xf>
    <xf numFmtId="8" fontId="49" fillId="0" borderId="83" xfId="46" applyNumberFormat="1" applyFont="1" applyFill="1" applyBorder="1" applyAlignment="1" applyProtection="1">
      <alignment horizontal="right"/>
    </xf>
    <xf numFmtId="0" fontId="28" fillId="0" borderId="13" xfId="46" applyFont="1" applyBorder="1" applyAlignment="1">
      <alignment horizontal="left"/>
    </xf>
    <xf numFmtId="8" fontId="49" fillId="0" borderId="84" xfId="46" applyNumberFormat="1" applyFont="1" applyFill="1" applyBorder="1" applyAlignment="1" applyProtection="1">
      <alignment horizontal="right"/>
    </xf>
    <xf numFmtId="8" fontId="49" fillId="0" borderId="85" xfId="46" applyNumberFormat="1" applyFont="1" applyFill="1" applyBorder="1" applyAlignment="1" applyProtection="1">
      <alignment horizontal="left"/>
    </xf>
    <xf numFmtId="8" fontId="25" fillId="0" borderId="86" xfId="46" applyNumberFormat="1" applyFont="1" applyFill="1" applyBorder="1" applyAlignment="1" applyProtection="1">
      <alignment horizontal="right"/>
    </xf>
    <xf numFmtId="7" fontId="3" fillId="0" borderId="0" xfId="46" applyNumberFormat="1"/>
    <xf numFmtId="0" fontId="3" fillId="0" borderId="0" xfId="46" applyAlignment="1">
      <alignment wrapText="1"/>
    </xf>
    <xf numFmtId="0" fontId="3" fillId="0" borderId="0" xfId="46" applyAlignment="1">
      <alignment horizontal="center" wrapText="1"/>
    </xf>
    <xf numFmtId="169" fontId="3" fillId="0" borderId="0" xfId="46" applyNumberFormat="1" applyAlignment="1">
      <alignment horizontal="center" wrapText="1"/>
    </xf>
    <xf numFmtId="3" fontId="3" fillId="0" borderId="0" xfId="46" applyNumberFormat="1" applyAlignment="1">
      <alignment horizontal="center" wrapText="1"/>
    </xf>
    <xf numFmtId="9" fontId="3" fillId="0" borderId="0" xfId="46" applyNumberFormat="1" applyAlignment="1">
      <alignment horizontal="center" wrapText="1"/>
    </xf>
    <xf numFmtId="0" fontId="3" fillId="0" borderId="1" xfId="46" applyBorder="1"/>
    <xf numFmtId="0" fontId="3" fillId="0" borderId="3" xfId="46" applyBorder="1"/>
    <xf numFmtId="168" fontId="3" fillId="0" borderId="1" xfId="46" applyNumberFormat="1" applyBorder="1"/>
    <xf numFmtId="168" fontId="3" fillId="0" borderId="2" xfId="46" applyNumberFormat="1" applyBorder="1"/>
    <xf numFmtId="168" fontId="3" fillId="0" borderId="3" xfId="46" applyNumberFormat="1" applyBorder="1"/>
    <xf numFmtId="0" fontId="3" fillId="0" borderId="1" xfId="46" applyBorder="1" applyAlignment="1">
      <alignment wrapText="1"/>
    </xf>
    <xf numFmtId="0" fontId="3" fillId="0" borderId="3" xfId="46" applyBorder="1" applyAlignment="1">
      <alignment wrapText="1"/>
    </xf>
    <xf numFmtId="168" fontId="3" fillId="0" borderId="1" xfId="46" applyNumberFormat="1" applyBorder="1" applyAlignment="1">
      <alignment wrapText="1"/>
    </xf>
    <xf numFmtId="168" fontId="3" fillId="0" borderId="2" xfId="46" applyNumberFormat="1" applyBorder="1" applyAlignment="1">
      <alignment wrapText="1"/>
    </xf>
    <xf numFmtId="168" fontId="3" fillId="0" borderId="3" xfId="46" applyNumberFormat="1" applyBorder="1" applyAlignment="1">
      <alignment wrapText="1"/>
    </xf>
    <xf numFmtId="0" fontId="3" fillId="0" borderId="8" xfId="46" applyBorder="1" applyAlignment="1">
      <alignment wrapText="1"/>
    </xf>
    <xf numFmtId="0" fontId="3" fillId="0" borderId="9" xfId="46" applyBorder="1" applyAlignment="1">
      <alignment wrapText="1"/>
    </xf>
    <xf numFmtId="168" fontId="3" fillId="0" borderId="67" xfId="46" applyNumberFormat="1" applyBorder="1" applyAlignment="1">
      <alignment wrapText="1"/>
    </xf>
    <xf numFmtId="168" fontId="3" fillId="0" borderId="68" xfId="46" applyNumberFormat="1" applyBorder="1" applyAlignment="1">
      <alignment wrapText="1"/>
    </xf>
    <xf numFmtId="168" fontId="3" fillId="0" borderId="69" xfId="46" applyNumberFormat="1" applyBorder="1" applyAlignment="1">
      <alignment wrapText="1"/>
    </xf>
    <xf numFmtId="0" fontId="51" fillId="0" borderId="8" xfId="46" applyFont="1" applyBorder="1" applyAlignment="1">
      <alignment horizontal="right" wrapText="1"/>
    </xf>
    <xf numFmtId="168" fontId="3" fillId="0" borderId="8" xfId="46" applyNumberFormat="1" applyBorder="1" applyAlignment="1">
      <alignment wrapText="1"/>
    </xf>
    <xf numFmtId="168" fontId="3" fillId="0" borderId="0" xfId="46" applyNumberFormat="1" applyBorder="1" applyAlignment="1">
      <alignment wrapText="1"/>
    </xf>
    <xf numFmtId="168" fontId="3" fillId="0" borderId="9" xfId="46" applyNumberFormat="1" applyBorder="1" applyAlignment="1">
      <alignment wrapText="1"/>
    </xf>
    <xf numFmtId="0" fontId="51" fillId="0" borderId="28" xfId="46" applyFont="1" applyBorder="1" applyAlignment="1">
      <alignment horizontal="right" wrapText="1"/>
    </xf>
    <xf numFmtId="0" fontId="3" fillId="0" borderId="24" xfId="46" applyBorder="1" applyAlignment="1">
      <alignment wrapText="1"/>
    </xf>
    <xf numFmtId="168" fontId="3" fillId="0" borderId="28" xfId="46" applyNumberFormat="1" applyBorder="1" applyAlignment="1">
      <alignment wrapText="1"/>
    </xf>
    <xf numFmtId="168" fontId="3" fillId="0" borderId="29" xfId="46" applyNumberFormat="1" applyBorder="1" applyAlignment="1">
      <alignment wrapText="1"/>
    </xf>
    <xf numFmtId="168" fontId="3" fillId="0" borderId="24" xfId="46" applyNumberFormat="1" applyBorder="1" applyAlignment="1">
      <alignment wrapText="1"/>
    </xf>
    <xf numFmtId="168" fontId="3" fillId="0" borderId="55" xfId="46" applyNumberFormat="1" applyFill="1" applyBorder="1" applyAlignment="1">
      <alignment horizontal="center" wrapText="1"/>
    </xf>
    <xf numFmtId="3" fontId="3" fillId="0" borderId="55" xfId="46" applyNumberFormat="1" applyFill="1" applyBorder="1" applyAlignment="1">
      <alignment horizontal="center" wrapText="1"/>
    </xf>
    <xf numFmtId="0" fontId="3" fillId="0" borderId="55" xfId="46" applyFill="1" applyBorder="1" applyAlignment="1">
      <alignment horizontal="center" wrapText="1"/>
    </xf>
    <xf numFmtId="169" fontId="3" fillId="0" borderId="55" xfId="46" applyNumberFormat="1" applyBorder="1" applyAlignment="1">
      <alignment horizontal="center" wrapText="1"/>
    </xf>
    <xf numFmtId="168" fontId="3" fillId="0" borderId="55" xfId="46" applyNumberFormat="1" applyBorder="1" applyAlignment="1">
      <alignment horizontal="center" wrapText="1"/>
    </xf>
    <xf numFmtId="9" fontId="3" fillId="0" borderId="55" xfId="46" applyNumberFormat="1" applyBorder="1" applyAlignment="1">
      <alignment horizontal="center" wrapText="1"/>
    </xf>
    <xf numFmtId="0" fontId="3" fillId="0" borderId="67" xfId="46" applyBorder="1" applyAlignment="1">
      <alignment wrapText="1"/>
    </xf>
    <xf numFmtId="168" fontId="3" fillId="0" borderId="11" xfId="46" applyNumberFormat="1" applyFill="1" applyBorder="1" applyAlignment="1">
      <alignment horizontal="center" wrapText="1"/>
    </xf>
    <xf numFmtId="3" fontId="3" fillId="0" borderId="11" xfId="46" applyNumberFormat="1" applyFill="1" applyBorder="1" applyAlignment="1">
      <alignment horizontal="center" wrapText="1"/>
    </xf>
    <xf numFmtId="0" fontId="3" fillId="0" borderId="11" xfId="46" applyFill="1" applyBorder="1" applyAlignment="1">
      <alignment horizontal="center" wrapText="1"/>
    </xf>
    <xf numFmtId="169" fontId="3" fillId="0" borderId="11" xfId="46" applyNumberFormat="1" applyBorder="1" applyAlignment="1">
      <alignment horizontal="center" wrapText="1"/>
    </xf>
    <xf numFmtId="168" fontId="3" fillId="0" borderId="11" xfId="46" applyNumberFormat="1" applyBorder="1" applyAlignment="1">
      <alignment horizontal="center" wrapText="1"/>
    </xf>
    <xf numFmtId="9" fontId="3" fillId="0" borderId="11" xfId="46" applyNumberFormat="1" applyBorder="1" applyAlignment="1">
      <alignment horizontal="center" wrapText="1"/>
    </xf>
    <xf numFmtId="168" fontId="3" fillId="20" borderId="68" xfId="46" applyNumberFormat="1" applyFill="1" applyBorder="1" applyAlignment="1">
      <alignment horizontal="center" wrapText="1"/>
    </xf>
    <xf numFmtId="3" fontId="3" fillId="20" borderId="68" xfId="46" applyNumberFormat="1" applyFill="1" applyBorder="1" applyAlignment="1">
      <alignment horizontal="center" wrapText="1"/>
    </xf>
    <xf numFmtId="0" fontId="3" fillId="20" borderId="68" xfId="46" applyFill="1" applyBorder="1" applyAlignment="1">
      <alignment horizontal="center" wrapText="1"/>
    </xf>
    <xf numFmtId="169" fontId="3" fillId="20" borderId="68" xfId="46" applyNumberFormat="1" applyFill="1" applyBorder="1" applyAlignment="1">
      <alignment horizontal="center" wrapText="1"/>
    </xf>
    <xf numFmtId="9" fontId="3" fillId="20" borderId="69" xfId="46" applyNumberFormat="1" applyFill="1" applyBorder="1" applyAlignment="1">
      <alignment horizontal="center" wrapText="1"/>
    </xf>
    <xf numFmtId="9" fontId="3" fillId="0" borderId="36" xfId="46" applyNumberFormat="1" applyBorder="1" applyAlignment="1">
      <alignment horizontal="center" wrapText="1"/>
    </xf>
    <xf numFmtId="168" fontId="3" fillId="0" borderId="65" xfId="46" applyNumberFormat="1" applyFill="1" applyBorder="1" applyAlignment="1">
      <alignment horizontal="center" wrapText="1"/>
    </xf>
    <xf numFmtId="3" fontId="3" fillId="0" borderId="65" xfId="46" applyNumberFormat="1" applyFill="1" applyBorder="1" applyAlignment="1">
      <alignment horizontal="center" wrapText="1"/>
    </xf>
    <xf numFmtId="0" fontId="3" fillId="0" borderId="65" xfId="46" applyFill="1" applyBorder="1" applyAlignment="1">
      <alignment horizontal="center" wrapText="1"/>
    </xf>
    <xf numFmtId="169" fontId="3" fillId="0" borderId="65" xfId="46" applyNumberFormat="1" applyBorder="1" applyAlignment="1">
      <alignment horizontal="center" wrapText="1"/>
    </xf>
    <xf numFmtId="168" fontId="3" fillId="0" borderId="65" xfId="46" applyNumberFormat="1" applyBorder="1" applyAlignment="1">
      <alignment horizontal="center" wrapText="1"/>
    </xf>
    <xf numFmtId="9" fontId="3" fillId="0" borderId="77" xfId="46" applyNumberFormat="1" applyBorder="1" applyAlignment="1">
      <alignment horizontal="center" wrapText="1"/>
    </xf>
    <xf numFmtId="168" fontId="3" fillId="0" borderId="0" xfId="46" applyNumberFormat="1" applyAlignment="1">
      <alignment horizontal="center"/>
    </xf>
    <xf numFmtId="3" fontId="3" fillId="0" borderId="0" xfId="46" applyNumberFormat="1" applyAlignment="1">
      <alignment horizontal="center"/>
    </xf>
    <xf numFmtId="0" fontId="3" fillId="0" borderId="0" xfId="46" applyAlignment="1">
      <alignment horizontal="center"/>
    </xf>
    <xf numFmtId="168" fontId="3" fillId="0" borderId="0" xfId="46" applyNumberFormat="1" applyAlignment="1">
      <alignment horizontal="center" wrapText="1"/>
    </xf>
    <xf numFmtId="0" fontId="7" fillId="4" borderId="0" xfId="46" applyFont="1" applyFill="1" applyAlignment="1">
      <alignment wrapText="1"/>
    </xf>
    <xf numFmtId="0" fontId="7" fillId="4" borderId="0" xfId="46" applyFont="1" applyFill="1" applyAlignment="1">
      <alignment horizontal="center" wrapText="1"/>
    </xf>
    <xf numFmtId="0" fontId="3" fillId="0" borderId="0" xfId="46" applyAlignment="1"/>
    <xf numFmtId="0" fontId="3" fillId="0" borderId="49" xfId="46" applyBorder="1" applyAlignment="1">
      <alignment horizontal="left" wrapText="1"/>
    </xf>
    <xf numFmtId="168" fontId="3" fillId="0" borderId="76" xfId="46" applyNumberFormat="1" applyBorder="1" applyAlignment="1">
      <alignment horizontal="center" wrapText="1"/>
    </xf>
    <xf numFmtId="3" fontId="3" fillId="0" borderId="76" xfId="46" applyNumberFormat="1" applyBorder="1" applyAlignment="1">
      <alignment horizontal="center" wrapText="1"/>
    </xf>
    <xf numFmtId="0" fontId="3" fillId="0" borderId="76" xfId="46" applyBorder="1" applyAlignment="1">
      <alignment horizontal="center"/>
    </xf>
    <xf numFmtId="169" fontId="3" fillId="0" borderId="76" xfId="46" applyNumberFormat="1" applyBorder="1"/>
    <xf numFmtId="168" fontId="3" fillId="0" borderId="76" xfId="46" applyNumberFormat="1" applyBorder="1"/>
    <xf numFmtId="172" fontId="3" fillId="0" borderId="50" xfId="46" applyNumberFormat="1" applyBorder="1"/>
    <xf numFmtId="169" fontId="32" fillId="0" borderId="0" xfId="46" applyNumberFormat="1" applyFont="1" applyAlignment="1">
      <alignment horizontal="center" wrapText="1"/>
    </xf>
    <xf numFmtId="8" fontId="3" fillId="0" borderId="0" xfId="46" applyNumberFormat="1"/>
    <xf numFmtId="8" fontId="3" fillId="21" borderId="0" xfId="46" applyNumberFormat="1" applyFill="1"/>
    <xf numFmtId="8" fontId="50" fillId="9" borderId="0" xfId="46" applyNumberFormat="1" applyFont="1" applyFill="1" applyAlignment="1"/>
    <xf numFmtId="8" fontId="50" fillId="22" borderId="0" xfId="46" applyNumberFormat="1" applyFont="1" applyFill="1" applyAlignment="1"/>
    <xf numFmtId="173" fontId="50" fillId="0" borderId="0" xfId="46" applyNumberFormat="1" applyFont="1" applyAlignment="1"/>
    <xf numFmtId="8" fontId="50" fillId="21" borderId="13" xfId="46" applyNumberFormat="1" applyFont="1" applyFill="1" applyBorder="1" applyAlignment="1"/>
    <xf numFmtId="8" fontId="50" fillId="9" borderId="13" xfId="46" applyNumberFormat="1" applyFont="1" applyFill="1" applyBorder="1" applyAlignment="1"/>
    <xf numFmtId="8" fontId="3" fillId="22" borderId="13" xfId="46" applyNumberFormat="1" applyFill="1" applyBorder="1"/>
    <xf numFmtId="8" fontId="50" fillId="0" borderId="0" xfId="46" applyNumberFormat="1" applyFont="1" applyAlignment="1"/>
    <xf numFmtId="8" fontId="50" fillId="21" borderId="0" xfId="46" applyNumberFormat="1" applyFont="1" applyFill="1" applyBorder="1" applyAlignment="1"/>
    <xf numFmtId="8" fontId="3" fillId="22" borderId="0" xfId="46" applyNumberFormat="1" applyFill="1"/>
    <xf numFmtId="8" fontId="50" fillId="21" borderId="48" xfId="46" applyNumberFormat="1" applyFont="1" applyFill="1" applyBorder="1" applyAlignment="1"/>
    <xf numFmtId="8" fontId="50" fillId="9" borderId="48" xfId="46" applyNumberFormat="1" applyFont="1" applyFill="1" applyBorder="1" applyAlignment="1"/>
    <xf numFmtId="8" fontId="3" fillId="22" borderId="48" xfId="46" applyNumberFormat="1" applyFill="1" applyBorder="1"/>
    <xf numFmtId="8" fontId="25" fillId="21" borderId="0" xfId="46" applyNumberFormat="1" applyFont="1" applyFill="1" applyBorder="1" applyAlignment="1" applyProtection="1">
      <alignment horizontal="right"/>
    </xf>
    <xf numFmtId="8" fontId="25" fillId="9" borderId="87" xfId="46" applyNumberFormat="1" applyFont="1" applyFill="1" applyBorder="1" applyAlignment="1" applyProtection="1">
      <alignment horizontal="right"/>
    </xf>
    <xf numFmtId="8" fontId="25" fillId="22" borderId="88" xfId="46" applyNumberFormat="1" applyFont="1" applyFill="1" applyBorder="1" applyAlignment="1" applyProtection="1">
      <alignment horizontal="right"/>
    </xf>
    <xf numFmtId="8" fontId="25" fillId="21" borderId="80" xfId="46" applyNumberFormat="1" applyFont="1" applyFill="1" applyBorder="1" applyAlignment="1" applyProtection="1">
      <alignment horizontal="right"/>
    </xf>
    <xf numFmtId="8" fontId="25" fillId="21" borderId="79" xfId="46" applyNumberFormat="1" applyFont="1" applyFill="1" applyBorder="1" applyAlignment="1" applyProtection="1">
      <alignment horizontal="right"/>
    </xf>
    <xf numFmtId="8" fontId="25" fillId="22" borderId="79" xfId="46" applyNumberFormat="1" applyFont="1" applyFill="1" applyBorder="1" applyAlignment="1" applyProtection="1">
      <alignment horizontal="right"/>
    </xf>
    <xf numFmtId="8" fontId="25" fillId="9" borderId="79" xfId="46" applyNumberFormat="1" applyFont="1" applyFill="1" applyBorder="1" applyAlignment="1" applyProtection="1">
      <alignment horizontal="right"/>
    </xf>
    <xf numFmtId="177" fontId="9" fillId="0" borderId="0" xfId="0" applyNumberFormat="1" applyFont="1" applyFill="1" applyBorder="1"/>
    <xf numFmtId="177" fontId="26" fillId="0" borderId="42" xfId="14" applyNumberFormat="1" applyFont="1" applyBorder="1" applyAlignment="1">
      <alignment horizontal="center"/>
    </xf>
    <xf numFmtId="177" fontId="26" fillId="0" borderId="47" xfId="14" applyNumberFormat="1" applyFont="1" applyBorder="1" applyAlignment="1">
      <alignment horizontal="center"/>
    </xf>
    <xf numFmtId="0" fontId="53" fillId="0" borderId="0" xfId="0" applyFont="1"/>
    <xf numFmtId="0" fontId="53" fillId="5" borderId="0" xfId="0" applyFont="1" applyFill="1"/>
    <xf numFmtId="171" fontId="53" fillId="5" borderId="0" xfId="0" applyNumberFormat="1" applyFont="1" applyFill="1" applyAlignment="1">
      <alignment horizontal="center"/>
    </xf>
    <xf numFmtId="0" fontId="29" fillId="5" borderId="75" xfId="14" applyFont="1" applyFill="1" applyBorder="1" applyAlignment="1">
      <alignment horizontal="center"/>
    </xf>
    <xf numFmtId="6" fontId="29" fillId="5" borderId="29" xfId="14" applyNumberFormat="1" applyFont="1" applyFill="1" applyBorder="1" applyAlignment="1">
      <alignment horizontal="center"/>
    </xf>
    <xf numFmtId="3" fontId="0" fillId="0" borderId="0" xfId="0" applyNumberFormat="1"/>
    <xf numFmtId="0" fontId="0" fillId="0" borderId="26" xfId="0" applyBorder="1"/>
    <xf numFmtId="3" fontId="0" fillId="0" borderId="26" xfId="0" applyNumberFormat="1" applyBorder="1"/>
    <xf numFmtId="5" fontId="0" fillId="0" borderId="0" xfId="1" applyNumberFormat="1" applyFont="1"/>
    <xf numFmtId="0" fontId="30" fillId="23" borderId="55" xfId="14" applyFont="1" applyFill="1" applyBorder="1" applyAlignment="1">
      <alignment horizontal="center"/>
    </xf>
    <xf numFmtId="6" fontId="29" fillId="23" borderId="55" xfId="14" applyNumberFormat="1" applyFont="1" applyFill="1" applyBorder="1" applyAlignment="1">
      <alignment horizontal="center"/>
    </xf>
    <xf numFmtId="6" fontId="29" fillId="18" borderId="55" xfId="14" applyNumberFormat="1" applyFont="1" applyFill="1" applyBorder="1" applyAlignment="1">
      <alignment horizontal="center"/>
    </xf>
    <xf numFmtId="0" fontId="30" fillId="24" borderId="74" xfId="14" applyFont="1" applyFill="1" applyBorder="1" applyAlignment="1">
      <alignment horizontal="center"/>
    </xf>
    <xf numFmtId="6" fontId="29" fillId="24" borderId="65" xfId="14" applyNumberFormat="1" applyFont="1" applyFill="1" applyBorder="1" applyAlignment="1">
      <alignment horizontal="center"/>
    </xf>
    <xf numFmtId="6" fontId="29" fillId="24" borderId="55" xfId="14" applyNumberFormat="1" applyFont="1" applyFill="1" applyBorder="1" applyAlignment="1">
      <alignment horizontal="center"/>
    </xf>
    <xf numFmtId="0" fontId="30" fillId="24" borderId="52" xfId="14" applyFont="1" applyFill="1" applyBorder="1" applyAlignment="1">
      <alignment horizontal="center"/>
    </xf>
    <xf numFmtId="5" fontId="0" fillId="23" borderId="55" xfId="0" applyNumberFormat="1" applyFill="1" applyBorder="1"/>
    <xf numFmtId="0" fontId="35" fillId="11" borderId="68" xfId="47" applyFont="1" applyFill="1" applyBorder="1"/>
    <xf numFmtId="0" fontId="36" fillId="11" borderId="69" xfId="47" applyFont="1" applyFill="1" applyBorder="1"/>
    <xf numFmtId="0" fontId="20" fillId="0" borderId="0" xfId="47"/>
    <xf numFmtId="0" fontId="36" fillId="11" borderId="0" xfId="47" applyFont="1" applyFill="1" applyBorder="1"/>
    <xf numFmtId="0" fontId="21" fillId="11" borderId="9" xfId="47" applyFont="1" applyFill="1" applyBorder="1"/>
    <xf numFmtId="0" fontId="37" fillId="11" borderId="29" xfId="47" applyFont="1" applyFill="1" applyBorder="1"/>
    <xf numFmtId="0" fontId="21" fillId="11" borderId="24" xfId="47" applyFont="1" applyFill="1" applyBorder="1"/>
    <xf numFmtId="0" fontId="21" fillId="0" borderId="0" xfId="47" applyFont="1"/>
    <xf numFmtId="0" fontId="38" fillId="15" borderId="0" xfId="48" applyFont="1" applyFill="1"/>
    <xf numFmtId="0" fontId="38" fillId="16" borderId="0" xfId="48" applyFont="1" applyFill="1"/>
    <xf numFmtId="0" fontId="38" fillId="17" borderId="0" xfId="48" applyFont="1" applyFill="1"/>
    <xf numFmtId="0" fontId="38" fillId="25" borderId="0" xfId="48" applyFont="1" applyFill="1"/>
    <xf numFmtId="0" fontId="38" fillId="26" borderId="0" xfId="48" applyFont="1" applyFill="1"/>
    <xf numFmtId="14" fontId="21" fillId="0" borderId="0" xfId="47" applyNumberFormat="1" applyFont="1"/>
    <xf numFmtId="170" fontId="20" fillId="0" borderId="0" xfId="47" applyNumberFormat="1"/>
    <xf numFmtId="0" fontId="21" fillId="0" borderId="0" xfId="49" applyFont="1"/>
    <xf numFmtId="0" fontId="20" fillId="0" borderId="0" xfId="49"/>
    <xf numFmtId="0" fontId="39" fillId="0" borderId="0" xfId="49" applyFont="1"/>
    <xf numFmtId="0" fontId="40" fillId="0" borderId="0" xfId="49" applyFont="1"/>
    <xf numFmtId="0" fontId="20" fillId="0" borderId="46" xfId="49" applyBorder="1"/>
    <xf numFmtId="0" fontId="20" fillId="0" borderId="38" xfId="49" applyBorder="1"/>
    <xf numFmtId="0" fontId="20" fillId="0" borderId="18" xfId="49" applyBorder="1"/>
    <xf numFmtId="0" fontId="20" fillId="0" borderId="41" xfId="49" applyBorder="1"/>
    <xf numFmtId="0" fontId="20" fillId="0" borderId="0" xfId="49" applyBorder="1" applyAlignment="1">
      <alignment horizontal="right"/>
    </xf>
    <xf numFmtId="0" fontId="20" fillId="0" borderId="0" xfId="49" applyBorder="1"/>
    <xf numFmtId="0" fontId="20" fillId="0" borderId="10" xfId="49" applyBorder="1"/>
    <xf numFmtId="0" fontId="41" fillId="0" borderId="10" xfId="49" applyFont="1" applyBorder="1" applyAlignment="1">
      <alignment horizontal="center"/>
    </xf>
    <xf numFmtId="170" fontId="20" fillId="0" borderId="0" xfId="47" applyNumberFormat="1" applyAlignment="1">
      <alignment horizontal="left"/>
    </xf>
    <xf numFmtId="170" fontId="20" fillId="0" borderId="10" xfId="49" applyNumberFormat="1" applyBorder="1" applyAlignment="1">
      <alignment horizontal="center"/>
    </xf>
    <xf numFmtId="0" fontId="20" fillId="0" borderId="10" xfId="49" applyBorder="1" applyAlignment="1">
      <alignment horizontal="center"/>
    </xf>
    <xf numFmtId="0" fontId="21" fillId="9" borderId="0" xfId="49" applyFont="1" applyFill="1" applyBorder="1" applyAlignment="1">
      <alignment horizontal="right"/>
    </xf>
    <xf numFmtId="0" fontId="20" fillId="0" borderId="42" xfId="49" applyBorder="1"/>
    <xf numFmtId="0" fontId="20" fillId="0" borderId="13" xfId="49" applyBorder="1"/>
    <xf numFmtId="0" fontId="20" fillId="0" borderId="16" xfId="49" applyBorder="1"/>
    <xf numFmtId="0" fontId="23" fillId="0" borderId="8" xfId="0" applyFont="1" applyBorder="1"/>
    <xf numFmtId="0" fontId="23" fillId="0" borderId="0" xfId="0" applyFont="1" applyBorder="1"/>
    <xf numFmtId="10" fontId="23" fillId="0" borderId="0" xfId="0" applyNumberFormat="1" applyFont="1" applyBorder="1"/>
    <xf numFmtId="0" fontId="23" fillId="0" borderId="0" xfId="0" applyFont="1" applyBorder="1" applyAlignment="1">
      <alignment horizontal="center"/>
    </xf>
    <xf numFmtId="165" fontId="23" fillId="0" borderId="9" xfId="0" applyNumberFormat="1" applyFont="1" applyBorder="1"/>
    <xf numFmtId="0" fontId="28" fillId="0" borderId="2" xfId="14" applyFont="1" applyFill="1" applyBorder="1" applyAlignment="1">
      <alignment horizontal="center" vertical="center"/>
    </xf>
    <xf numFmtId="0" fontId="0" fillId="0" borderId="0" xfId="0" applyBorder="1"/>
    <xf numFmtId="0" fontId="0" fillId="0" borderId="29" xfId="0" applyBorder="1"/>
    <xf numFmtId="44" fontId="0" fillId="0" borderId="0" xfId="1" applyFont="1"/>
    <xf numFmtId="44" fontId="0" fillId="0" borderId="0" xfId="1" applyNumberFormat="1" applyFont="1"/>
    <xf numFmtId="44" fontId="0" fillId="9" borderId="0" xfId="1" applyNumberFormat="1" applyFont="1" applyFill="1"/>
    <xf numFmtId="44" fontId="0" fillId="9" borderId="0" xfId="1" applyFont="1" applyFill="1"/>
    <xf numFmtId="0" fontId="19" fillId="0" borderId="67" xfId="0" applyFont="1" applyBorder="1"/>
    <xf numFmtId="0" fontId="19" fillId="0" borderId="68" xfId="0" applyFont="1" applyBorder="1"/>
    <xf numFmtId="0" fontId="9" fillId="0" borderId="68" xfId="0" applyFont="1" applyBorder="1"/>
    <xf numFmtId="169" fontId="12" fillId="9" borderId="32" xfId="0" applyNumberFormat="1" applyFont="1" applyFill="1" applyBorder="1" applyAlignment="1">
      <alignment horizontal="center"/>
    </xf>
    <xf numFmtId="169" fontId="12" fillId="9" borderId="36" xfId="0" applyNumberFormat="1" applyFont="1" applyFill="1" applyBorder="1" applyAlignment="1">
      <alignment horizontal="center"/>
    </xf>
    <xf numFmtId="0" fontId="12" fillId="0" borderId="56" xfId="0" applyFont="1" applyBorder="1"/>
    <xf numFmtId="169" fontId="12" fillId="9" borderId="35" xfId="0" applyNumberFormat="1" applyFont="1" applyFill="1" applyBorder="1" applyAlignment="1">
      <alignment horizontal="center"/>
    </xf>
    <xf numFmtId="0" fontId="73" fillId="19" borderId="98" xfId="120" applyFont="1" applyFill="1" applyBorder="1" applyAlignment="1" applyProtection="1">
      <alignment horizontal="center" vertical="center"/>
    </xf>
    <xf numFmtId="0" fontId="1" fillId="0" borderId="0" xfId="120"/>
    <xf numFmtId="0" fontId="74" fillId="0" borderId="79" xfId="120" applyFont="1" applyFill="1" applyBorder="1" applyAlignment="1" applyProtection="1">
      <alignment horizontal="right" vertical="center" wrapText="1"/>
    </xf>
    <xf numFmtId="0" fontId="74" fillId="0" borderId="79" xfId="120" applyFont="1" applyFill="1" applyBorder="1" applyAlignment="1" applyProtection="1">
      <alignment vertical="center" wrapText="1"/>
    </xf>
    <xf numFmtId="44" fontId="73" fillId="19" borderId="98" xfId="1" applyFont="1" applyFill="1" applyBorder="1" applyAlignment="1" applyProtection="1">
      <alignment horizontal="center" vertical="center"/>
    </xf>
    <xf numFmtId="44" fontId="74" fillId="0" borderId="79" xfId="1" applyFont="1" applyFill="1" applyBorder="1" applyAlignment="1" applyProtection="1">
      <alignment horizontal="right" vertical="center" wrapText="1"/>
    </xf>
    <xf numFmtId="44" fontId="1" fillId="0" borderId="0" xfId="1" applyFont="1"/>
    <xf numFmtId="44" fontId="74" fillId="0" borderId="99" xfId="1" applyFont="1" applyFill="1" applyBorder="1" applyAlignment="1" applyProtection="1">
      <alignment horizontal="right" vertical="center" wrapText="1"/>
    </xf>
    <xf numFmtId="44" fontId="73" fillId="0" borderId="81" xfId="1" applyFont="1" applyFill="1" applyBorder="1" applyAlignment="1" applyProtection="1">
      <alignment horizontal="right" vertical="center" wrapText="1"/>
    </xf>
    <xf numFmtId="44" fontId="7" fillId="0" borderId="0" xfId="1" applyFont="1"/>
    <xf numFmtId="0" fontId="48" fillId="0" borderId="0" xfId="0" applyFont="1"/>
    <xf numFmtId="10" fontId="48" fillId="0" borderId="0" xfId="2" applyNumberFormat="1" applyFont="1"/>
    <xf numFmtId="10" fontId="48" fillId="0" borderId="0" xfId="2" applyNumberFormat="1" applyFont="1" applyBorder="1"/>
    <xf numFmtId="0" fontId="48" fillId="0" borderId="8" xfId="0" applyFont="1" applyBorder="1"/>
    <xf numFmtId="0" fontId="75" fillId="0" borderId="0" xfId="0" applyFont="1" applyBorder="1" applyAlignment="1">
      <alignment horizontal="center"/>
    </xf>
    <xf numFmtId="0" fontId="76" fillId="0" borderId="79" xfId="0" applyFont="1" applyFill="1" applyBorder="1" applyAlignment="1" applyProtection="1">
      <alignment horizontal="right" vertical="center" wrapText="1"/>
    </xf>
    <xf numFmtId="0" fontId="76" fillId="0" borderId="79" xfId="0" applyFont="1" applyFill="1" applyBorder="1" applyAlignment="1" applyProtection="1">
      <alignment vertical="center" wrapText="1"/>
    </xf>
    <xf numFmtId="44" fontId="76" fillId="0" borderId="79" xfId="1" applyFont="1" applyFill="1" applyBorder="1" applyAlignment="1" applyProtection="1">
      <alignment horizontal="right" vertical="center" wrapText="1"/>
    </xf>
    <xf numFmtId="44" fontId="31" fillId="0" borderId="0" xfId="1" applyFont="1" applyFill="1"/>
    <xf numFmtId="44" fontId="76" fillId="0" borderId="99" xfId="1" applyFont="1" applyFill="1" applyBorder="1" applyAlignment="1" applyProtection="1">
      <alignment horizontal="right" vertical="center" wrapText="1"/>
    </xf>
    <xf numFmtId="44" fontId="48" fillId="0" borderId="0" xfId="1" applyFont="1"/>
    <xf numFmtId="0" fontId="48" fillId="0" borderId="0" xfId="0" applyFont="1" applyFill="1" applyAlignment="1"/>
    <xf numFmtId="44" fontId="48" fillId="0" borderId="0" xfId="1" applyFont="1" applyBorder="1"/>
    <xf numFmtId="0" fontId="48" fillId="0" borderId="28" xfId="0" applyFont="1" applyBorder="1"/>
    <xf numFmtId="44" fontId="48" fillId="0" borderId="29" xfId="1" applyFont="1" applyBorder="1"/>
    <xf numFmtId="0" fontId="48" fillId="0" borderId="0" xfId="0" applyFont="1" applyAlignment="1">
      <alignment horizontal="center"/>
    </xf>
    <xf numFmtId="10" fontId="48" fillId="0" borderId="29" xfId="2" applyNumberFormat="1" applyFont="1" applyBorder="1"/>
    <xf numFmtId="0" fontId="35" fillId="11" borderId="68" xfId="122" applyFont="1" applyFill="1" applyBorder="1"/>
    <xf numFmtId="0" fontId="36" fillId="11" borderId="69" xfId="122" applyFont="1" applyFill="1" applyBorder="1"/>
    <xf numFmtId="0" fontId="20" fillId="0" borderId="0" xfId="122"/>
    <xf numFmtId="0" fontId="36" fillId="11" borderId="0" xfId="122" applyFont="1" applyFill="1" applyBorder="1"/>
    <xf numFmtId="0" fontId="21" fillId="11" borderId="9" xfId="122" applyFont="1" applyFill="1" applyBorder="1"/>
    <xf numFmtId="0" fontId="37" fillId="11" borderId="29" xfId="122" applyFont="1" applyFill="1" applyBorder="1"/>
    <xf numFmtId="0" fontId="21" fillId="11" borderId="24" xfId="122" applyFont="1" applyFill="1" applyBorder="1"/>
    <xf numFmtId="0" fontId="21" fillId="0" borderId="0" xfId="122" applyFont="1"/>
    <xf numFmtId="0" fontId="38" fillId="0" borderId="0" xfId="48" applyFont="1" applyFill="1"/>
    <xf numFmtId="0" fontId="38" fillId="13" borderId="0" xfId="48" applyFont="1" applyFill="1"/>
    <xf numFmtId="0" fontId="38" fillId="10" borderId="0" xfId="48" applyFont="1" applyFill="1"/>
    <xf numFmtId="14" fontId="21" fillId="0" borderId="0" xfId="122" applyNumberFormat="1" applyFont="1"/>
    <xf numFmtId="170" fontId="20" fillId="0" borderId="0" xfId="122" applyNumberFormat="1"/>
    <xf numFmtId="2" fontId="20" fillId="0" borderId="0" xfId="122" applyNumberFormat="1"/>
    <xf numFmtId="0" fontId="20" fillId="0" borderId="100" xfId="49" applyBorder="1"/>
    <xf numFmtId="0" fontId="20" fillId="0" borderId="101" xfId="49" applyBorder="1"/>
    <xf numFmtId="0" fontId="20" fillId="0" borderId="102" xfId="49" applyBorder="1"/>
    <xf numFmtId="166" fontId="20" fillId="0" borderId="0" xfId="122" applyNumberFormat="1"/>
    <xf numFmtId="0" fontId="48" fillId="0" borderId="60" xfId="0" applyFont="1" applyBorder="1"/>
    <xf numFmtId="0" fontId="48" fillId="0" borderId="31" xfId="0" applyFont="1" applyBorder="1"/>
    <xf numFmtId="0" fontId="48" fillId="0" borderId="64" xfId="0" applyFont="1" applyBorder="1"/>
    <xf numFmtId="3" fontId="12" fillId="0" borderId="0" xfId="0" applyNumberFormat="1" applyFont="1" applyFill="1" applyBorder="1" applyAlignment="1">
      <alignment horizontal="center" vertical="center"/>
    </xf>
    <xf numFmtId="42" fontId="12" fillId="0" borderId="0" xfId="0" applyNumberFormat="1" applyFont="1" applyFill="1" applyBorder="1"/>
    <xf numFmtId="44" fontId="10" fillId="0" borderId="0" xfId="5" applyFont="1" applyFill="1" applyBorder="1" applyAlignment="1"/>
    <xf numFmtId="0" fontId="12" fillId="0" borderId="0" xfId="0" applyFont="1" applyFill="1" applyBorder="1" applyAlignment="1">
      <alignment horizontal="center" vertical="center"/>
    </xf>
    <xf numFmtId="42" fontId="11" fillId="0" borderId="0" xfId="0" applyNumberFormat="1" applyFont="1" applyFill="1" applyBorder="1"/>
    <xf numFmtId="165" fontId="11" fillId="0" borderId="0" xfId="0" applyNumberFormat="1" applyFont="1" applyFill="1" applyBorder="1"/>
    <xf numFmtId="165" fontId="23" fillId="0" borderId="0" xfId="0" applyNumberFormat="1" applyFont="1" applyFill="1" applyBorder="1"/>
    <xf numFmtId="165" fontId="11" fillId="0" borderId="0" xfId="5" applyNumberFormat="1" applyFont="1" applyFill="1" applyBorder="1"/>
    <xf numFmtId="44" fontId="12" fillId="0" borderId="0" xfId="5" applyFont="1" applyFill="1" applyBorder="1"/>
    <xf numFmtId="0" fontId="11" fillId="51" borderId="0" xfId="0" applyFont="1" applyFill="1" applyBorder="1"/>
    <xf numFmtId="0" fontId="12" fillId="51" borderId="8" xfId="0" applyFont="1" applyFill="1" applyBorder="1"/>
    <xf numFmtId="10" fontId="12" fillId="51" borderId="11" xfId="2" applyNumberFormat="1" applyFont="1" applyFill="1" applyBorder="1" applyAlignment="1">
      <alignment horizontal="center"/>
    </xf>
    <xf numFmtId="0" fontId="11" fillId="51" borderId="41" xfId="0" applyFont="1" applyFill="1" applyBorder="1"/>
    <xf numFmtId="0" fontId="11" fillId="51" borderId="9" xfId="0" applyFont="1" applyFill="1" applyBorder="1"/>
    <xf numFmtId="164" fontId="10" fillId="51" borderId="8" xfId="0" applyNumberFormat="1" applyFont="1" applyFill="1" applyBorder="1"/>
    <xf numFmtId="164" fontId="14" fillId="51" borderId="15" xfId="0" applyNumberFormat="1" applyFont="1" applyFill="1" applyBorder="1" applyAlignment="1">
      <alignment horizontal="center"/>
    </xf>
    <xf numFmtId="164" fontId="13" fillId="51" borderId="8" xfId="0" applyNumberFormat="1" applyFont="1" applyFill="1" applyBorder="1"/>
    <xf numFmtId="164" fontId="10" fillId="51" borderId="12" xfId="0" applyNumberFormat="1" applyFont="1" applyFill="1" applyBorder="1"/>
    <xf numFmtId="164" fontId="23" fillId="51" borderId="17" xfId="0" applyNumberFormat="1" applyFont="1" applyFill="1" applyBorder="1" applyAlignment="1">
      <alignment horizontal="center"/>
    </xf>
    <xf numFmtId="0" fontId="23" fillId="51" borderId="42" xfId="0" applyFont="1" applyFill="1" applyBorder="1"/>
    <xf numFmtId="0" fontId="11" fillId="51" borderId="13" xfId="0" applyFont="1" applyFill="1" applyBorder="1"/>
    <xf numFmtId="0" fontId="11" fillId="51" borderId="14" xfId="0" applyFont="1" applyFill="1" applyBorder="1"/>
    <xf numFmtId="0" fontId="13" fillId="51" borderId="37" xfId="0" applyFont="1" applyFill="1" applyBorder="1" applyAlignment="1">
      <alignment horizontal="center"/>
    </xf>
    <xf numFmtId="0" fontId="13" fillId="51" borderId="15" xfId="0" applyFont="1" applyFill="1" applyBorder="1" applyAlignment="1">
      <alignment horizontal="center"/>
    </xf>
    <xf numFmtId="0" fontId="13" fillId="51" borderId="15" xfId="0" quotePrefix="1" applyFont="1" applyFill="1" applyBorder="1" applyAlignment="1">
      <alignment horizontal="center"/>
    </xf>
    <xf numFmtId="2" fontId="16" fillId="51" borderId="15" xfId="0" applyNumberFormat="1" applyFont="1" applyFill="1" applyBorder="1" applyAlignment="1">
      <alignment horizontal="center"/>
    </xf>
    <xf numFmtId="2" fontId="16" fillId="51" borderId="17" xfId="0" applyNumberFormat="1" applyFont="1" applyFill="1" applyBorder="1" applyAlignment="1">
      <alignment horizontal="center"/>
    </xf>
    <xf numFmtId="0" fontId="11" fillId="51" borderId="42" xfId="0" applyFont="1" applyFill="1" applyBorder="1"/>
    <xf numFmtId="0" fontId="12" fillId="51" borderId="8" xfId="0" applyFont="1" applyFill="1" applyBorder="1" applyAlignment="1">
      <alignment horizontal="center"/>
    </xf>
    <xf numFmtId="0" fontId="12" fillId="51" borderId="15" xfId="0" applyFont="1" applyFill="1" applyBorder="1" applyAlignment="1">
      <alignment horizontal="center"/>
    </xf>
    <xf numFmtId="0" fontId="10" fillId="51" borderId="8" xfId="0" applyFont="1" applyFill="1" applyBorder="1"/>
    <xf numFmtId="10" fontId="14" fillId="51" borderId="15" xfId="0" applyNumberFormat="1" applyFont="1" applyFill="1" applyBorder="1" applyAlignment="1">
      <alignment horizontal="center"/>
    </xf>
    <xf numFmtId="0" fontId="11" fillId="51" borderId="8" xfId="3" applyFont="1" applyFill="1" applyBorder="1"/>
    <xf numFmtId="0" fontId="23" fillId="51" borderId="12" xfId="0" applyFont="1" applyFill="1" applyBorder="1"/>
    <xf numFmtId="10" fontId="23" fillId="51" borderId="17" xfId="0" applyNumberFormat="1" applyFont="1" applyFill="1" applyBorder="1" applyAlignment="1">
      <alignment horizontal="center"/>
    </xf>
    <xf numFmtId="0" fontId="10" fillId="51" borderId="22" xfId="0" applyFont="1" applyFill="1" applyBorder="1"/>
    <xf numFmtId="10" fontId="16" fillId="51" borderId="56" xfId="4" applyNumberFormat="1" applyFont="1" applyFill="1" applyBorder="1" applyAlignment="1">
      <alignment horizontal="center"/>
    </xf>
    <xf numFmtId="0" fontId="11" fillId="51" borderId="47" xfId="0" applyFont="1" applyFill="1" applyBorder="1"/>
    <xf numFmtId="0" fontId="11" fillId="51" borderId="33" xfId="0" applyFont="1" applyFill="1" applyBorder="1"/>
    <xf numFmtId="0" fontId="11" fillId="51" borderId="34" xfId="0" applyFont="1" applyFill="1" applyBorder="1"/>
    <xf numFmtId="0" fontId="11" fillId="51" borderId="0" xfId="0" applyFont="1" applyFill="1"/>
    <xf numFmtId="0" fontId="26" fillId="0" borderId="4" xfId="0" applyFont="1" applyBorder="1"/>
    <xf numFmtId="0" fontId="26" fillId="0" borderId="6" xfId="0" applyFont="1" applyBorder="1"/>
    <xf numFmtId="3" fontId="26" fillId="0" borderId="40" xfId="0" applyNumberFormat="1" applyFont="1" applyBorder="1"/>
    <xf numFmtId="0" fontId="26" fillId="0" borderId="12" xfId="0" applyFont="1" applyBorder="1"/>
    <xf numFmtId="0" fontId="26" fillId="0" borderId="13" xfId="0" applyFont="1" applyBorder="1"/>
    <xf numFmtId="0" fontId="26" fillId="0" borderId="13" xfId="0" applyFont="1" applyBorder="1" applyAlignment="1">
      <alignment horizontal="center"/>
    </xf>
    <xf numFmtId="0" fontId="26" fillId="0" borderId="14" xfId="0" applyFont="1" applyBorder="1"/>
    <xf numFmtId="0" fontId="26" fillId="0" borderId="8" xfId="0" applyFont="1" applyBorder="1"/>
    <xf numFmtId="0" fontId="26" fillId="0" borderId="0" xfId="0" applyFont="1" applyBorder="1"/>
    <xf numFmtId="165" fontId="26" fillId="0" borderId="0" xfId="0" applyNumberFormat="1" applyFont="1" applyBorder="1"/>
    <xf numFmtId="2" fontId="26" fillId="0" borderId="0" xfId="0" applyNumberFormat="1" applyFont="1" applyBorder="1" applyAlignment="1">
      <alignment horizontal="center"/>
    </xf>
    <xf numFmtId="165" fontId="26" fillId="0" borderId="9" xfId="0" applyNumberFormat="1" applyFont="1" applyBorder="1"/>
    <xf numFmtId="10" fontId="26" fillId="0" borderId="0" xfId="2" applyNumberFormat="1" applyFont="1" applyBorder="1"/>
    <xf numFmtId="10" fontId="26" fillId="0" borderId="0" xfId="0" applyNumberFormat="1" applyFont="1" applyBorder="1"/>
    <xf numFmtId="165" fontId="26" fillId="0" borderId="27" xfId="0" applyNumberFormat="1" applyFont="1" applyBorder="1"/>
    <xf numFmtId="9" fontId="26" fillId="0" borderId="0" xfId="2" applyFont="1" applyBorder="1"/>
    <xf numFmtId="165" fontId="26" fillId="0" borderId="14" xfId="0" applyNumberFormat="1" applyFont="1" applyBorder="1"/>
    <xf numFmtId="0" fontId="26" fillId="0" borderId="1" xfId="0" applyFont="1" applyBorder="1"/>
    <xf numFmtId="0" fontId="26" fillId="0" borderId="2" xfId="0" applyFont="1" applyBorder="1"/>
    <xf numFmtId="165" fontId="26" fillId="0" borderId="3" xfId="0" applyNumberFormat="1" applyFont="1" applyBorder="1"/>
    <xf numFmtId="0" fontId="26" fillId="0" borderId="19" xfId="0" applyFont="1" applyBorder="1"/>
    <xf numFmtId="0" fontId="26" fillId="0" borderId="20" xfId="0" applyFont="1" applyBorder="1"/>
    <xf numFmtId="10" fontId="26" fillId="0" borderId="20" xfId="0" applyNumberFormat="1" applyFont="1" applyBorder="1"/>
    <xf numFmtId="165" fontId="26" fillId="0" borderId="21" xfId="0" applyNumberFormat="1" applyFont="1" applyBorder="1"/>
    <xf numFmtId="0" fontId="77" fillId="0" borderId="8" xfId="0" applyFont="1" applyBorder="1"/>
    <xf numFmtId="10" fontId="77" fillId="0" borderId="0" xfId="0" applyNumberFormat="1" applyFont="1" applyBorder="1"/>
    <xf numFmtId="165" fontId="77" fillId="0" borderId="9" xfId="0" applyNumberFormat="1" applyFont="1" applyBorder="1"/>
    <xf numFmtId="44" fontId="26" fillId="9" borderId="3" xfId="0" applyNumberFormat="1" applyFont="1" applyFill="1" applyBorder="1"/>
    <xf numFmtId="165" fontId="26" fillId="0" borderId="103" xfId="0" applyNumberFormat="1" applyFont="1" applyBorder="1"/>
    <xf numFmtId="0" fontId="26" fillId="0" borderId="28" xfId="0" applyFont="1" applyBorder="1"/>
    <xf numFmtId="0" fontId="26" fillId="0" borderId="29" xfId="0" applyFont="1" applyBorder="1"/>
    <xf numFmtId="165" fontId="26" fillId="0" borderId="24" xfId="0" applyNumberFormat="1" applyFont="1" applyBorder="1"/>
    <xf numFmtId="0" fontId="26" fillId="0" borderId="67" xfId="0" applyFont="1" applyBorder="1"/>
    <xf numFmtId="0" fontId="26" fillId="0" borderId="68" xfId="0" applyFont="1" applyBorder="1"/>
    <xf numFmtId="165" fontId="26" fillId="0" borderId="69" xfId="0" applyNumberFormat="1" applyFont="1" applyBorder="1"/>
    <xf numFmtId="165" fontId="27" fillId="0" borderId="24" xfId="0" applyNumberFormat="1" applyFont="1" applyBorder="1"/>
    <xf numFmtId="10" fontId="9" fillId="0" borderId="0" xfId="2" applyNumberFormat="1" applyFont="1"/>
    <xf numFmtId="10" fontId="26" fillId="0" borderId="0" xfId="2" applyNumberFormat="1" applyFont="1"/>
    <xf numFmtId="0" fontId="48" fillId="0" borderId="0" xfId="0" applyFont="1" applyFill="1"/>
    <xf numFmtId="0" fontId="48" fillId="52" borderId="0" xfId="0" applyFont="1" applyFill="1"/>
    <xf numFmtId="0" fontId="48" fillId="52" borderId="0" xfId="0" applyFont="1" applyFill="1" applyAlignment="1">
      <alignment horizontal="center"/>
    </xf>
    <xf numFmtId="164" fontId="78" fillId="0" borderId="0" xfId="0" applyNumberFormat="1" applyFont="1" applyFill="1" applyBorder="1" applyAlignment="1">
      <alignment horizontal="center"/>
    </xf>
    <xf numFmtId="0" fontId="48" fillId="0" borderId="0" xfId="0" applyFont="1" applyFill="1" applyAlignment="1">
      <alignment horizontal="center"/>
    </xf>
    <xf numFmtId="0" fontId="48" fillId="0" borderId="0" xfId="0" applyFont="1" applyFill="1" applyBorder="1"/>
    <xf numFmtId="0" fontId="78" fillId="0" borderId="8" xfId="0" applyFont="1" applyFill="1" applyBorder="1"/>
    <xf numFmtId="164" fontId="78" fillId="52" borderId="7" xfId="0" applyNumberFormat="1" applyFont="1" applyFill="1" applyBorder="1" applyAlignment="1">
      <alignment horizontal="center"/>
    </xf>
    <xf numFmtId="164" fontId="79" fillId="0" borderId="0" xfId="0" applyNumberFormat="1" applyFont="1" applyFill="1" applyBorder="1"/>
    <xf numFmtId="0" fontId="78" fillId="0" borderId="4" xfId="0" applyFont="1" applyFill="1" applyBorder="1" applyAlignment="1">
      <alignment horizontal="center"/>
    </xf>
    <xf numFmtId="0" fontId="78" fillId="0" borderId="6" xfId="0" applyFont="1" applyFill="1" applyBorder="1" applyAlignment="1">
      <alignment horizontal="center"/>
    </xf>
    <xf numFmtId="3" fontId="78" fillId="0" borderId="40" xfId="0" applyNumberFormat="1" applyFont="1" applyFill="1" applyBorder="1" applyAlignment="1">
      <alignment horizontal="center" vertical="center"/>
    </xf>
    <xf numFmtId="0" fontId="78" fillId="52" borderId="8" xfId="0" applyFont="1" applyFill="1" applyBorder="1"/>
    <xf numFmtId="10" fontId="78" fillId="52" borderId="11" xfId="2" applyNumberFormat="1" applyFont="1" applyFill="1" applyBorder="1" applyAlignment="1">
      <alignment horizontal="center"/>
    </xf>
    <xf numFmtId="164" fontId="78" fillId="52" borderId="31" xfId="0" applyNumberFormat="1" applyFont="1" applyFill="1" applyBorder="1" applyAlignment="1">
      <alignment horizontal="center"/>
    </xf>
    <xf numFmtId="0" fontId="78" fillId="0" borderId="12" xfId="0" applyFont="1" applyFill="1" applyBorder="1"/>
    <xf numFmtId="0" fontId="78" fillId="0" borderId="13" xfId="0" applyFont="1" applyFill="1" applyBorder="1" applyAlignment="1">
      <alignment horizontal="center"/>
    </xf>
    <xf numFmtId="0" fontId="78" fillId="0" borderId="14" xfId="0" applyFont="1" applyFill="1" applyBorder="1" applyAlignment="1">
      <alignment horizontal="center"/>
    </xf>
    <xf numFmtId="164" fontId="80" fillId="52" borderId="8" xfId="0" applyNumberFormat="1" applyFont="1" applyFill="1" applyBorder="1"/>
    <xf numFmtId="164" fontId="79" fillId="52" borderId="15" xfId="0" applyNumberFormat="1" applyFont="1" applyFill="1" applyBorder="1" applyAlignment="1">
      <alignment horizontal="center"/>
    </xf>
    <xf numFmtId="164" fontId="80" fillId="52" borderId="31" xfId="0" applyNumberFormat="1" applyFont="1" applyFill="1" applyBorder="1"/>
    <xf numFmtId="164" fontId="81" fillId="0" borderId="8" xfId="0" applyNumberFormat="1" applyFont="1" applyFill="1" applyBorder="1" applyAlignment="1"/>
    <xf numFmtId="0" fontId="78" fillId="0" borderId="0" xfId="0" applyFont="1" applyFill="1" applyBorder="1" applyAlignment="1">
      <alignment horizontal="center"/>
    </xf>
    <xf numFmtId="0" fontId="78" fillId="0" borderId="9" xfId="0" applyFont="1" applyFill="1" applyBorder="1" applyAlignment="1">
      <alignment horizontal="center"/>
    </xf>
    <xf numFmtId="164" fontId="81" fillId="52" borderId="8" xfId="0" applyNumberFormat="1" applyFont="1" applyFill="1" applyBorder="1"/>
    <xf numFmtId="164" fontId="80" fillId="0" borderId="8" xfId="0" applyNumberFormat="1" applyFont="1" applyFill="1" applyBorder="1" applyAlignment="1"/>
    <xf numFmtId="42" fontId="79" fillId="0" borderId="0" xfId="0" applyNumberFormat="1" applyFont="1" applyFill="1" applyBorder="1"/>
    <xf numFmtId="4" fontId="82" fillId="0" borderId="0" xfId="0" applyNumberFormat="1" applyFont="1" applyFill="1" applyBorder="1" applyAlignment="1">
      <alignment horizontal="center"/>
    </xf>
    <xf numFmtId="42" fontId="46" fillId="0" borderId="9" xfId="0" applyNumberFormat="1" applyFont="1" applyFill="1" applyBorder="1"/>
    <xf numFmtId="0" fontId="80" fillId="0" borderId="0" xfId="0" applyFont="1" applyFill="1" applyBorder="1"/>
    <xf numFmtId="164" fontId="80" fillId="52" borderId="12" xfId="0" applyNumberFormat="1" applyFont="1" applyFill="1" applyBorder="1"/>
    <xf numFmtId="164" fontId="79" fillId="52" borderId="17" xfId="0" applyNumberFormat="1" applyFont="1" applyFill="1" applyBorder="1" applyAlignment="1">
      <alignment horizontal="center"/>
    </xf>
    <xf numFmtId="164" fontId="80" fillId="52" borderId="32" xfId="0" applyNumberFormat="1" applyFont="1" applyFill="1" applyBorder="1"/>
    <xf numFmtId="1" fontId="78" fillId="0" borderId="0" xfId="0" applyNumberFormat="1" applyFont="1" applyFill="1" applyBorder="1" applyAlignment="1"/>
    <xf numFmtId="0" fontId="81" fillId="52" borderId="37" xfId="0" applyFont="1" applyFill="1" applyBorder="1" applyAlignment="1">
      <alignment horizontal="center"/>
    </xf>
    <xf numFmtId="0" fontId="81" fillId="52" borderId="15" xfId="0" applyFont="1" applyFill="1" applyBorder="1" applyAlignment="1">
      <alignment horizontal="center"/>
    </xf>
    <xf numFmtId="0" fontId="81" fillId="52" borderId="31" xfId="0" quotePrefix="1" applyNumberFormat="1" applyFont="1" applyFill="1" applyBorder="1" applyAlignment="1">
      <alignment horizontal="center"/>
    </xf>
    <xf numFmtId="0" fontId="81" fillId="0" borderId="0" xfId="0" quotePrefix="1" applyNumberFormat="1" applyFont="1" applyFill="1" applyBorder="1" applyAlignment="1">
      <alignment horizontal="center"/>
    </xf>
    <xf numFmtId="0" fontId="81" fillId="52" borderId="15" xfId="0" quotePrefix="1" applyFont="1" applyFill="1" applyBorder="1" applyAlignment="1">
      <alignment horizontal="center"/>
    </xf>
    <xf numFmtId="0" fontId="78" fillId="0" borderId="19" xfId="0" applyFont="1" applyFill="1" applyBorder="1"/>
    <xf numFmtId="0" fontId="78" fillId="0" borderId="20" xfId="0" applyFont="1" applyFill="1" applyBorder="1"/>
    <xf numFmtId="4" fontId="78" fillId="0" borderId="20" xfId="0" applyNumberFormat="1" applyFont="1" applyFill="1" applyBorder="1" applyAlignment="1">
      <alignment horizontal="center"/>
    </xf>
    <xf numFmtId="42" fontId="78" fillId="0" borderId="21" xfId="0" applyNumberFormat="1" applyFont="1" applyFill="1" applyBorder="1"/>
    <xf numFmtId="2" fontId="83" fillId="52" borderId="15" xfId="0" applyNumberFormat="1" applyFont="1" applyFill="1" applyBorder="1" applyAlignment="1">
      <alignment horizontal="center"/>
    </xf>
    <xf numFmtId="2" fontId="83" fillId="0" borderId="0" xfId="0" applyNumberFormat="1" applyFont="1" applyFill="1" applyBorder="1" applyAlignment="1">
      <alignment horizontal="center"/>
    </xf>
    <xf numFmtId="0" fontId="46" fillId="0" borderId="8" xfId="0" applyFont="1" applyFill="1" applyBorder="1"/>
    <xf numFmtId="0" fontId="46" fillId="0" borderId="0" xfId="0" applyFont="1" applyFill="1" applyBorder="1"/>
    <xf numFmtId="0" fontId="46" fillId="0" borderId="0" xfId="0" applyFont="1" applyFill="1" applyBorder="1" applyAlignment="1">
      <alignment horizontal="center"/>
    </xf>
    <xf numFmtId="0" fontId="46" fillId="0" borderId="9" xfId="0" applyFont="1" applyFill="1" applyBorder="1"/>
    <xf numFmtId="10" fontId="79" fillId="0" borderId="0" xfId="0" applyNumberFormat="1" applyFont="1" applyFill="1" applyBorder="1"/>
    <xf numFmtId="0" fontId="78" fillId="0" borderId="43" xfId="0" applyFont="1" applyFill="1" applyBorder="1"/>
    <xf numFmtId="0" fontId="78" fillId="0" borderId="44" xfId="0" applyFont="1" applyFill="1" applyBorder="1"/>
    <xf numFmtId="44" fontId="78" fillId="0" borderId="44" xfId="0" applyNumberFormat="1" applyFont="1" applyFill="1" applyBorder="1" applyAlignment="1">
      <alignment horizontal="center"/>
    </xf>
    <xf numFmtId="42" fontId="78" fillId="0" borderId="45" xfId="0" applyNumberFormat="1" applyFont="1" applyFill="1" applyBorder="1"/>
    <xf numFmtId="2" fontId="77" fillId="52" borderId="15" xfId="0" applyNumberFormat="1" applyFont="1" applyFill="1" applyBorder="1" applyAlignment="1">
      <alignment horizontal="center"/>
    </xf>
    <xf numFmtId="44" fontId="46" fillId="0" borderId="0" xfId="0" applyNumberFormat="1" applyFont="1" applyFill="1" applyBorder="1" applyAlignment="1">
      <alignment horizontal="center"/>
    </xf>
    <xf numFmtId="165" fontId="46" fillId="0" borderId="9" xfId="0" applyNumberFormat="1" applyFont="1" applyFill="1" applyBorder="1"/>
    <xf numFmtId="2" fontId="83" fillId="52" borderId="17" xfId="0" applyNumberFormat="1" applyFont="1" applyFill="1" applyBorder="1" applyAlignment="1">
      <alignment horizontal="center"/>
    </xf>
    <xf numFmtId="2" fontId="80" fillId="0" borderId="0" xfId="0" applyNumberFormat="1" applyFont="1" applyFill="1" applyBorder="1" applyAlignment="1">
      <alignment horizontal="center"/>
    </xf>
    <xf numFmtId="0" fontId="78" fillId="52" borderId="37" xfId="0" applyFont="1" applyFill="1" applyBorder="1" applyAlignment="1">
      <alignment horizontal="center"/>
    </xf>
    <xf numFmtId="0" fontId="78" fillId="52" borderId="11" xfId="0" applyFont="1" applyFill="1" applyBorder="1" applyAlignment="1">
      <alignment horizontal="center"/>
    </xf>
    <xf numFmtId="0" fontId="84" fillId="52" borderId="72" xfId="0" applyFont="1" applyFill="1" applyBorder="1" applyAlignment="1">
      <alignment horizontal="center"/>
    </xf>
    <xf numFmtId="0" fontId="46" fillId="0" borderId="8" xfId="3" applyFont="1" applyFill="1" applyBorder="1"/>
    <xf numFmtId="0" fontId="80" fillId="52" borderId="8" xfId="0" applyFont="1" applyFill="1" applyBorder="1"/>
    <xf numFmtId="10" fontId="79" fillId="52" borderId="15" xfId="0" applyNumberFormat="1" applyFont="1" applyFill="1" applyBorder="1" applyAlignment="1">
      <alignment horizontal="center"/>
    </xf>
    <xf numFmtId="10" fontId="80" fillId="52" borderId="31" xfId="0" applyNumberFormat="1" applyFont="1" applyFill="1" applyBorder="1"/>
    <xf numFmtId="0" fontId="85" fillId="0" borderId="0" xfId="0" applyFont="1" applyFill="1" applyBorder="1" applyAlignment="1">
      <alignment horizontal="center"/>
    </xf>
    <xf numFmtId="0" fontId="46" fillId="52" borderId="8" xfId="3" applyFont="1" applyFill="1" applyBorder="1"/>
    <xf numFmtId="1" fontId="80" fillId="52" borderId="31" xfId="0" applyNumberFormat="1" applyFont="1" applyFill="1" applyBorder="1"/>
    <xf numFmtId="10" fontId="80" fillId="0" borderId="0" xfId="0" applyNumberFormat="1" applyFont="1" applyFill="1" applyBorder="1"/>
    <xf numFmtId="0" fontId="78" fillId="0" borderId="20" xfId="0" applyFont="1" applyFill="1" applyBorder="1" applyAlignment="1">
      <alignment horizontal="center"/>
    </xf>
    <xf numFmtId="1" fontId="80" fillId="0" borderId="0" xfId="0" applyNumberFormat="1" applyFont="1" applyFill="1" applyBorder="1"/>
    <xf numFmtId="0" fontId="77" fillId="0" borderId="8" xfId="0" applyFont="1" applyFill="1" applyBorder="1"/>
    <xf numFmtId="10" fontId="77" fillId="0" borderId="0" xfId="0" applyNumberFormat="1" applyFont="1" applyFill="1" applyBorder="1" applyAlignment="1">
      <alignment horizontal="right"/>
    </xf>
    <xf numFmtId="0" fontId="77" fillId="0" borderId="0" xfId="0" applyFont="1" applyFill="1" applyBorder="1"/>
    <xf numFmtId="165" fontId="77" fillId="0" borderId="9" xfId="0" applyNumberFormat="1" applyFont="1" applyFill="1" applyBorder="1"/>
    <xf numFmtId="0" fontId="77" fillId="52" borderId="8" xfId="3" applyFont="1" applyFill="1" applyBorder="1"/>
    <xf numFmtId="10" fontId="77" fillId="52" borderId="15" xfId="0" applyNumberFormat="1" applyFont="1" applyFill="1" applyBorder="1" applyAlignment="1">
      <alignment horizontal="center"/>
    </xf>
    <xf numFmtId="164" fontId="77" fillId="52" borderId="31" xfId="0" applyNumberFormat="1" applyFont="1" applyFill="1" applyBorder="1"/>
    <xf numFmtId="0" fontId="78" fillId="0" borderId="25" xfId="0" applyFont="1" applyFill="1" applyBorder="1"/>
    <xf numFmtId="0" fontId="46" fillId="0" borderId="26" xfId="0" applyFont="1" applyFill="1" applyBorder="1"/>
    <xf numFmtId="0" fontId="46" fillId="0" borderId="26" xfId="0" applyFont="1" applyFill="1" applyBorder="1" applyAlignment="1">
      <alignment horizontal="center"/>
    </xf>
    <xf numFmtId="42" fontId="78" fillId="0" borderId="27" xfId="0" applyNumberFormat="1" applyFont="1" applyFill="1" applyBorder="1"/>
    <xf numFmtId="0" fontId="80" fillId="52" borderId="22" xfId="0" applyFont="1" applyFill="1" applyBorder="1"/>
    <xf numFmtId="10" fontId="83" fillId="52" borderId="56" xfId="4" applyNumberFormat="1" applyFont="1" applyFill="1" applyBorder="1" applyAlignment="1">
      <alignment horizontal="center"/>
    </xf>
    <xf numFmtId="0" fontId="46" fillId="52" borderId="47" xfId="0" applyFont="1" applyFill="1" applyBorder="1"/>
    <xf numFmtId="0" fontId="46" fillId="52" borderId="0" xfId="0" applyFont="1" applyFill="1"/>
    <xf numFmtId="10" fontId="46" fillId="52" borderId="0" xfId="2" applyNumberFormat="1" applyFont="1" applyFill="1" applyAlignment="1">
      <alignment horizontal="center"/>
    </xf>
    <xf numFmtId="2" fontId="80" fillId="0" borderId="0" xfId="0" applyNumberFormat="1" applyFont="1" applyFill="1" applyBorder="1"/>
    <xf numFmtId="10" fontId="82" fillId="0" borderId="0" xfId="0" applyNumberFormat="1" applyFont="1" applyFill="1" applyBorder="1"/>
    <xf numFmtId="165" fontId="46" fillId="0" borderId="9" xfId="5" applyNumberFormat="1" applyFont="1" applyFill="1" applyBorder="1"/>
    <xf numFmtId="0" fontId="80" fillId="0" borderId="0" xfId="0" applyFont="1" applyFill="1"/>
    <xf numFmtId="0" fontId="46" fillId="0" borderId="0" xfId="0" applyFont="1" applyFill="1" applyAlignment="1">
      <alignment horizontal="center"/>
    </xf>
    <xf numFmtId="0" fontId="46" fillId="0" borderId="0" xfId="0" applyFont="1" applyFill="1"/>
    <xf numFmtId="0" fontId="46" fillId="0" borderId="22" xfId="0" applyFont="1" applyFill="1" applyBorder="1"/>
    <xf numFmtId="0" fontId="46" fillId="0" borderId="33" xfId="0" applyFont="1" applyFill="1" applyBorder="1"/>
    <xf numFmtId="44" fontId="46" fillId="0" borderId="33" xfId="5" applyFont="1" applyFill="1" applyBorder="1" applyAlignment="1">
      <alignment horizontal="center"/>
    </xf>
    <xf numFmtId="165" fontId="78" fillId="9" borderId="34" xfId="5" applyNumberFormat="1" applyFont="1" applyFill="1" applyBorder="1"/>
    <xf numFmtId="44" fontId="48" fillId="0" borderId="0" xfId="1" applyFont="1" applyFill="1"/>
    <xf numFmtId="10" fontId="48" fillId="0" borderId="0" xfId="2" applyNumberFormat="1" applyFont="1" applyFill="1"/>
    <xf numFmtId="10" fontId="83" fillId="0" borderId="0" xfId="4" applyNumberFormat="1" applyFont="1" applyFill="1" applyBorder="1"/>
    <xf numFmtId="44" fontId="48" fillId="0" borderId="0" xfId="0" applyNumberFormat="1" applyFont="1" applyFill="1"/>
    <xf numFmtId="0" fontId="46" fillId="0" borderId="0" xfId="0" applyFont="1"/>
    <xf numFmtId="0" fontId="78" fillId="0" borderId="67" xfId="0" applyFont="1" applyBorder="1"/>
    <xf numFmtId="0" fontId="78" fillId="0" borderId="68" xfId="0" applyFont="1" applyBorder="1" applyAlignment="1">
      <alignment horizontal="center"/>
    </xf>
    <xf numFmtId="0" fontId="78" fillId="0" borderId="68" xfId="0" applyFont="1" applyFill="1" applyBorder="1" applyAlignment="1">
      <alignment horizontal="center"/>
    </xf>
    <xf numFmtId="3" fontId="78" fillId="0" borderId="69" xfId="0" applyNumberFormat="1" applyFont="1" applyFill="1" applyBorder="1" applyAlignment="1">
      <alignment horizontal="center"/>
    </xf>
    <xf numFmtId="0" fontId="78" fillId="0" borderId="12" xfId="0" applyFont="1" applyBorder="1"/>
    <xf numFmtId="0" fontId="78" fillId="0" borderId="13" xfId="0" applyFont="1" applyBorder="1" applyAlignment="1">
      <alignment horizontal="center"/>
    </xf>
    <xf numFmtId="0" fontId="78" fillId="0" borderId="14" xfId="0" applyFont="1" applyBorder="1" applyAlignment="1">
      <alignment horizontal="center"/>
    </xf>
    <xf numFmtId="164" fontId="81" fillId="0" borderId="8" xfId="0" applyNumberFormat="1" applyFont="1" applyBorder="1" applyAlignment="1"/>
    <xf numFmtId="0" fontId="78" fillId="0" borderId="0" xfId="0" applyFont="1" applyBorder="1" applyAlignment="1">
      <alignment horizontal="center"/>
    </xf>
    <xf numFmtId="0" fontId="78" fillId="0" borderId="9" xfId="0" applyFont="1" applyBorder="1" applyAlignment="1">
      <alignment horizontal="center"/>
    </xf>
    <xf numFmtId="164" fontId="80" fillId="0" borderId="8" xfId="0" applyNumberFormat="1" applyFont="1" applyBorder="1" applyAlignment="1"/>
    <xf numFmtId="42" fontId="79" fillId="0" borderId="0" xfId="0" applyNumberFormat="1" applyFont="1" applyBorder="1"/>
    <xf numFmtId="4" fontId="82" fillId="0" borderId="0" xfId="0" applyNumberFormat="1" applyFont="1" applyBorder="1" applyAlignment="1">
      <alignment horizontal="center"/>
    </xf>
    <xf numFmtId="42" fontId="46" fillId="0" borderId="9" xfId="0" applyNumberFormat="1" applyFont="1" applyBorder="1"/>
    <xf numFmtId="0" fontId="78" fillId="0" borderId="19" xfId="0" applyFont="1" applyBorder="1"/>
    <xf numFmtId="0" fontId="78" fillId="0" borderId="20" xfId="0" applyFont="1" applyBorder="1"/>
    <xf numFmtId="4" fontId="78" fillId="0" borderId="20" xfId="0" applyNumberFormat="1" applyFont="1" applyBorder="1" applyAlignment="1">
      <alignment horizontal="center"/>
    </xf>
    <xf numFmtId="42" fontId="78" fillId="0" borderId="21" xfId="0" applyNumberFormat="1" applyFont="1" applyBorder="1"/>
    <xf numFmtId="0" fontId="78" fillId="0" borderId="8" xfId="0" applyFont="1" applyBorder="1"/>
    <xf numFmtId="0" fontId="46" fillId="0" borderId="0" xfId="0" applyFont="1" applyBorder="1"/>
    <xf numFmtId="0" fontId="46" fillId="0" borderId="9" xfId="0" applyFont="1" applyBorder="1"/>
    <xf numFmtId="0" fontId="46" fillId="0" borderId="8" xfId="0" applyFont="1" applyBorder="1"/>
    <xf numFmtId="10" fontId="79" fillId="0" borderId="0" xfId="0" applyNumberFormat="1" applyFont="1" applyBorder="1"/>
    <xf numFmtId="0" fontId="46" fillId="0" borderId="0" xfId="0" applyFont="1" applyBorder="1" applyAlignment="1">
      <alignment horizontal="center"/>
    </xf>
    <xf numFmtId="44" fontId="78" fillId="0" borderId="20" xfId="0" applyNumberFormat="1" applyFont="1" applyBorder="1" applyAlignment="1">
      <alignment horizontal="center"/>
    </xf>
    <xf numFmtId="44" fontId="46" fillId="0" borderId="0" xfId="0" applyNumberFormat="1" applyFont="1" applyBorder="1" applyAlignment="1">
      <alignment horizontal="center"/>
    </xf>
    <xf numFmtId="165" fontId="46" fillId="0" borderId="9" xfId="0" applyNumberFormat="1" applyFont="1" applyBorder="1"/>
    <xf numFmtId="0" fontId="46" fillId="0" borderId="8" xfId="3" applyFont="1" applyBorder="1"/>
    <xf numFmtId="0" fontId="78" fillId="0" borderId="20" xfId="0" applyFont="1" applyBorder="1" applyAlignment="1">
      <alignment horizontal="center"/>
    </xf>
    <xf numFmtId="0" fontId="77" fillId="0" borderId="0" xfId="0" applyFont="1" applyBorder="1" applyAlignment="1">
      <alignment horizontal="center"/>
    </xf>
    <xf numFmtId="0" fontId="78" fillId="0" borderId="25" xfId="0" applyFont="1" applyBorder="1"/>
    <xf numFmtId="0" fontId="46" fillId="0" borderId="26" xfId="0" applyFont="1" applyBorder="1"/>
    <xf numFmtId="0" fontId="46" fillId="0" borderId="26" xfId="0" applyFont="1" applyBorder="1" applyAlignment="1">
      <alignment horizontal="center"/>
    </xf>
    <xf numFmtId="42" fontId="78" fillId="0" borderId="27" xfId="0" applyNumberFormat="1" applyFont="1" applyBorder="1"/>
    <xf numFmtId="10" fontId="82" fillId="0" borderId="0" xfId="0" applyNumberFormat="1" applyFont="1" applyBorder="1"/>
    <xf numFmtId="165" fontId="78" fillId="0" borderId="9" xfId="5" applyNumberFormat="1" applyFont="1" applyBorder="1"/>
    <xf numFmtId="0" fontId="46" fillId="0" borderId="1" xfId="0" applyFont="1" applyBorder="1"/>
    <xf numFmtId="0" fontId="46" fillId="0" borderId="2" xfId="0" applyFont="1" applyBorder="1"/>
    <xf numFmtId="44" fontId="46" fillId="0" borderId="2" xfId="5" applyFont="1" applyBorder="1" applyAlignment="1">
      <alignment horizontal="center"/>
    </xf>
    <xf numFmtId="44" fontId="78" fillId="9" borderId="3" xfId="5" applyFont="1" applyFill="1" applyBorder="1"/>
    <xf numFmtId="6" fontId="75" fillId="0" borderId="0" xfId="0" applyNumberFormat="1" applyFont="1" applyBorder="1" applyAlignment="1">
      <alignment horizontal="center"/>
    </xf>
    <xf numFmtId="44" fontId="48" fillId="0" borderId="0" xfId="0" applyNumberFormat="1" applyFont="1" applyAlignment="1">
      <alignment horizontal="center"/>
    </xf>
    <xf numFmtId="0" fontId="80" fillId="52" borderId="0" xfId="0" applyFont="1" applyFill="1" applyBorder="1"/>
    <xf numFmtId="0" fontId="80" fillId="52" borderId="0" xfId="0" applyFont="1" applyFill="1" applyBorder="1" applyAlignment="1">
      <alignment horizontal="center"/>
    </xf>
    <xf numFmtId="1" fontId="86" fillId="52" borderId="0" xfId="0" applyNumberFormat="1" applyFont="1" applyFill="1" applyBorder="1" applyAlignment="1">
      <alignment horizontal="right"/>
    </xf>
    <xf numFmtId="164" fontId="78" fillId="52" borderId="4" xfId="0" applyNumberFormat="1" applyFont="1" applyFill="1" applyBorder="1" applyAlignment="1">
      <alignment horizontal="center"/>
    </xf>
    <xf numFmtId="164" fontId="78" fillId="52" borderId="6" xfId="0" applyNumberFormat="1" applyFont="1" applyFill="1" applyBorder="1" applyAlignment="1">
      <alignment horizontal="center"/>
    </xf>
    <xf numFmtId="164" fontId="78" fillId="52" borderId="8" xfId="0" applyNumberFormat="1" applyFont="1" applyFill="1" applyBorder="1" applyAlignment="1">
      <alignment horizontal="center"/>
    </xf>
    <xf numFmtId="164" fontId="78" fillId="52" borderId="0" xfId="0" applyNumberFormat="1" applyFont="1" applyFill="1" applyBorder="1" applyAlignment="1">
      <alignment horizontal="center"/>
    </xf>
    <xf numFmtId="164" fontId="78" fillId="52" borderId="9" xfId="0" applyNumberFormat="1" applyFont="1" applyFill="1" applyBorder="1" applyAlignment="1">
      <alignment horizontal="center"/>
    </xf>
    <xf numFmtId="164" fontId="78" fillId="52" borderId="15" xfId="0" applyNumberFormat="1" applyFont="1" applyFill="1" applyBorder="1" applyAlignment="1">
      <alignment horizontal="center"/>
    </xf>
    <xf numFmtId="164" fontId="80" fillId="52" borderId="0" xfId="0" applyNumberFormat="1" applyFont="1" applyFill="1" applyBorder="1"/>
    <xf numFmtId="164" fontId="80" fillId="52" borderId="9" xfId="0" applyNumberFormat="1" applyFont="1" applyFill="1" applyBorder="1"/>
    <xf numFmtId="164" fontId="77" fillId="52" borderId="17" xfId="0" applyNumberFormat="1" applyFont="1" applyFill="1" applyBorder="1" applyAlignment="1">
      <alignment horizontal="center"/>
    </xf>
    <xf numFmtId="0" fontId="77" fillId="52" borderId="42" xfId="0" applyFont="1" applyFill="1" applyBorder="1"/>
    <xf numFmtId="164" fontId="80" fillId="52" borderId="13" xfId="0" applyNumberFormat="1" applyFont="1" applyFill="1" applyBorder="1"/>
    <xf numFmtId="164" fontId="80" fillId="52" borderId="14" xfId="0" applyNumberFormat="1" applyFont="1" applyFill="1" applyBorder="1"/>
    <xf numFmtId="0" fontId="81" fillId="52" borderId="20" xfId="0" quotePrefix="1" applyNumberFormat="1" applyFont="1" applyFill="1" applyBorder="1" applyAlignment="1">
      <alignment horizontal="center"/>
    </xf>
    <xf numFmtId="0" fontId="81" fillId="52" borderId="21" xfId="0" quotePrefix="1" applyNumberFormat="1" applyFont="1" applyFill="1" applyBorder="1" applyAlignment="1">
      <alignment horizontal="center"/>
    </xf>
    <xf numFmtId="0" fontId="81" fillId="52" borderId="0" xfId="0" quotePrefix="1" applyNumberFormat="1" applyFont="1" applyFill="1" applyBorder="1" applyAlignment="1">
      <alignment horizontal="center"/>
    </xf>
    <xf numFmtId="0" fontId="81" fillId="52" borderId="9" xfId="0" quotePrefix="1" applyNumberFormat="1" applyFont="1" applyFill="1" applyBorder="1" applyAlignment="1">
      <alignment horizontal="center"/>
    </xf>
    <xf numFmtId="2" fontId="80" fillId="52" borderId="41" xfId="0" applyNumberFormat="1" applyFont="1" applyFill="1" applyBorder="1" applyAlignment="1">
      <alignment horizontal="center"/>
    </xf>
    <xf numFmtId="2" fontId="80" fillId="52" borderId="0" xfId="0" applyNumberFormat="1" applyFont="1" applyFill="1" applyBorder="1" applyAlignment="1">
      <alignment horizontal="center"/>
    </xf>
    <xf numFmtId="2" fontId="80" fillId="52" borderId="9" xfId="0" applyNumberFormat="1" applyFont="1" applyFill="1" applyBorder="1" applyAlignment="1">
      <alignment horizontal="center"/>
    </xf>
    <xf numFmtId="164" fontId="80" fillId="52" borderId="42" xfId="0" applyNumberFormat="1" applyFont="1" applyFill="1" applyBorder="1"/>
    <xf numFmtId="0" fontId="85" fillId="52" borderId="20" xfId="0" applyFont="1" applyFill="1" applyBorder="1" applyAlignment="1">
      <alignment horizontal="center"/>
    </xf>
    <xf numFmtId="0" fontId="85" fillId="52" borderId="21" xfId="0" applyFont="1" applyFill="1" applyBorder="1" applyAlignment="1">
      <alignment horizontal="center"/>
    </xf>
    <xf numFmtId="10" fontId="79" fillId="52" borderId="11" xfId="0" applyNumberFormat="1" applyFont="1" applyFill="1" applyBorder="1" applyAlignment="1">
      <alignment horizontal="center"/>
    </xf>
    <xf numFmtId="10" fontId="80" fillId="52" borderId="0" xfId="0" applyNumberFormat="1" applyFont="1" applyFill="1" applyBorder="1"/>
    <xf numFmtId="10" fontId="80" fillId="52" borderId="9" xfId="0" applyNumberFormat="1" applyFont="1" applyFill="1" applyBorder="1"/>
    <xf numFmtId="1" fontId="80" fillId="52" borderId="0" xfId="0" applyNumberFormat="1" applyFont="1" applyFill="1" applyBorder="1"/>
    <xf numFmtId="1" fontId="80" fillId="52" borderId="9" xfId="0" applyNumberFormat="1" applyFont="1" applyFill="1" applyBorder="1"/>
    <xf numFmtId="167" fontId="79" fillId="52" borderId="15" xfId="0" applyNumberFormat="1" applyFont="1" applyFill="1" applyBorder="1" applyAlignment="1">
      <alignment horizontal="center"/>
    </xf>
    <xf numFmtId="10" fontId="77" fillId="52" borderId="17" xfId="0" applyNumberFormat="1" applyFont="1" applyFill="1" applyBorder="1" applyAlignment="1">
      <alignment horizontal="center"/>
    </xf>
    <xf numFmtId="1" fontId="77" fillId="52" borderId="42" xfId="0" applyNumberFormat="1" applyFont="1" applyFill="1" applyBorder="1"/>
    <xf numFmtId="1" fontId="80" fillId="52" borderId="13" xfId="0" applyNumberFormat="1" applyFont="1" applyFill="1" applyBorder="1"/>
    <xf numFmtId="1" fontId="80" fillId="52" borderId="14" xfId="0" applyNumberFormat="1" applyFont="1" applyFill="1" applyBorder="1"/>
    <xf numFmtId="10" fontId="83" fillId="52" borderId="23" xfId="4" applyNumberFormat="1" applyFont="1" applyFill="1" applyBorder="1" applyAlignment="1">
      <alignment horizontal="center"/>
    </xf>
    <xf numFmtId="10" fontId="80" fillId="52" borderId="29" xfId="0" applyNumberFormat="1" applyFont="1" applyFill="1" applyBorder="1"/>
    <xf numFmtId="10" fontId="80" fillId="52" borderId="24" xfId="0" applyNumberFormat="1" applyFont="1" applyFill="1" applyBorder="1"/>
    <xf numFmtId="0" fontId="87" fillId="52" borderId="0" xfId="0" applyFont="1" applyFill="1"/>
    <xf numFmtId="10" fontId="87" fillId="52" borderId="0" xfId="2" applyNumberFormat="1" applyFont="1" applyFill="1" applyAlignment="1">
      <alignment horizontal="center"/>
    </xf>
    <xf numFmtId="14" fontId="52" fillId="0" borderId="0" xfId="14" applyNumberFormat="1" applyFont="1" applyAlignment="1">
      <alignment horizontal="left"/>
    </xf>
    <xf numFmtId="0" fontId="88" fillId="10" borderId="49" xfId="14" applyFont="1" applyFill="1" applyBorder="1" applyAlignment="1">
      <alignment horizontal="center" vertical="center" wrapText="1"/>
    </xf>
    <xf numFmtId="0" fontId="89" fillId="10" borderId="70" xfId="14" applyFont="1" applyFill="1" applyBorder="1" applyAlignment="1">
      <alignment horizontal="center" vertical="center" wrapText="1"/>
    </xf>
    <xf numFmtId="0" fontId="88" fillId="10" borderId="48" xfId="14" applyFont="1" applyFill="1" applyBorder="1" applyAlignment="1">
      <alignment horizontal="center" vertical="center" wrapText="1"/>
    </xf>
    <xf numFmtId="0" fontId="88" fillId="10" borderId="48" xfId="14" applyFont="1" applyFill="1" applyBorder="1" applyAlignment="1">
      <alignment horizontal="center" vertical="center"/>
    </xf>
    <xf numFmtId="0" fontId="22" fillId="0" borderId="0" xfId="14" applyFont="1"/>
    <xf numFmtId="0" fontId="27" fillId="0" borderId="0" xfId="14" applyFont="1"/>
    <xf numFmtId="3" fontId="27" fillId="0" borderId="49" xfId="14" applyNumberFormat="1" applyFont="1" applyBorder="1" applyAlignment="1">
      <alignment wrapText="1"/>
    </xf>
    <xf numFmtId="3" fontId="27" fillId="0" borderId="50" xfId="14" applyNumberFormat="1" applyFont="1" applyBorder="1" applyAlignment="1">
      <alignment horizontal="center"/>
    </xf>
    <xf numFmtId="0" fontId="27" fillId="0" borderId="49" xfId="14" applyFont="1" applyBorder="1" applyAlignment="1">
      <alignment horizontal="center"/>
    </xf>
    <xf numFmtId="0" fontId="27" fillId="0" borderId="50" xfId="14" applyFont="1" applyBorder="1" applyAlignment="1">
      <alignment horizontal="center"/>
    </xf>
    <xf numFmtId="0" fontId="27" fillId="0" borderId="67" xfId="14" applyFont="1" applyBorder="1" applyAlignment="1"/>
    <xf numFmtId="0" fontId="27" fillId="0" borderId="68" xfId="14" applyFont="1" applyBorder="1" applyAlignment="1"/>
    <xf numFmtId="0" fontId="27" fillId="0" borderId="67" xfId="14" applyFont="1" applyBorder="1" applyAlignment="1">
      <alignment horizontal="right"/>
    </xf>
    <xf numFmtId="37" fontId="27" fillId="0" borderId="69" xfId="14" applyNumberFormat="1" applyFont="1" applyBorder="1" applyAlignment="1">
      <alignment horizontal="center"/>
    </xf>
    <xf numFmtId="0" fontId="26" fillId="0" borderId="51" xfId="14" applyFont="1" applyBorder="1" applyAlignment="1">
      <alignment wrapText="1"/>
    </xf>
    <xf numFmtId="3" fontId="26" fillId="3" borderId="32" xfId="14" applyNumberFormat="1" applyFont="1" applyFill="1" applyBorder="1" applyAlignment="1">
      <alignment horizontal="center"/>
    </xf>
    <xf numFmtId="0" fontId="90" fillId="0" borderId="51" xfId="14" applyFont="1" applyBorder="1" applyAlignment="1">
      <alignment horizontal="center" vertical="center"/>
    </xf>
    <xf numFmtId="0" fontId="26" fillId="0" borderId="32" xfId="14" applyFont="1" applyBorder="1" applyAlignment="1">
      <alignment horizontal="center"/>
    </xf>
    <xf numFmtId="0" fontId="22" fillId="0" borderId="19" xfId="14" applyFont="1" applyFill="1" applyBorder="1" applyAlignment="1">
      <alignment horizontal="center" vertical="center"/>
    </xf>
    <xf numFmtId="0" fontId="22" fillId="0" borderId="20" xfId="14" applyFont="1" applyFill="1" applyBorder="1" applyAlignment="1">
      <alignment horizontal="center" vertical="center"/>
    </xf>
    <xf numFmtId="0" fontId="22" fillId="0" borderId="21" xfId="14" applyFont="1" applyFill="1" applyBorder="1" applyAlignment="1">
      <alignment horizontal="center" vertical="center"/>
    </xf>
    <xf numFmtId="0" fontId="26" fillId="0" borderId="52" xfId="14" applyFont="1" applyBorder="1" applyAlignment="1">
      <alignment vertical="center" wrapText="1"/>
    </xf>
    <xf numFmtId="3" fontId="26" fillId="3" borderId="36" xfId="14" applyNumberFormat="1" applyFont="1" applyFill="1" applyBorder="1" applyAlignment="1">
      <alignment horizontal="center" vertical="center"/>
    </xf>
    <xf numFmtId="0" fontId="90" fillId="0" borderId="52" xfId="14" applyFont="1" applyBorder="1" applyAlignment="1">
      <alignment horizontal="center" vertical="center"/>
    </xf>
    <xf numFmtId="0" fontId="26" fillId="0" borderId="36" xfId="14" applyFont="1" applyBorder="1" applyAlignment="1">
      <alignment horizontal="center" vertical="center"/>
    </xf>
    <xf numFmtId="164" fontId="27" fillId="0" borderId="8" xfId="14" applyNumberFormat="1" applyFont="1" applyFill="1" applyBorder="1"/>
    <xf numFmtId="165" fontId="48" fillId="0" borderId="0" xfId="39" applyNumberFormat="1" applyFont="1" applyBorder="1"/>
    <xf numFmtId="39" fontId="26" fillId="0" borderId="0" xfId="14" applyNumberFormat="1" applyFont="1" applyFill="1" applyBorder="1"/>
    <xf numFmtId="165" fontId="48" fillId="0" borderId="9" xfId="39" applyNumberFormat="1" applyFont="1" applyFill="1" applyBorder="1"/>
    <xf numFmtId="0" fontId="26" fillId="0" borderId="0" xfId="14" applyFont="1" applyAlignment="1">
      <alignment vertical="center"/>
    </xf>
    <xf numFmtId="0" fontId="26" fillId="0" borderId="52" xfId="14" applyFont="1" applyBorder="1" applyAlignment="1">
      <alignment wrapText="1"/>
    </xf>
    <xf numFmtId="3" fontId="26" fillId="3" borderId="36" xfId="14" applyNumberFormat="1" applyFont="1" applyFill="1" applyBorder="1" applyAlignment="1">
      <alignment horizontal="center"/>
    </xf>
    <xf numFmtId="0" fontId="26" fillId="0" borderId="36" xfId="14" applyFont="1" applyBorder="1" applyAlignment="1">
      <alignment horizontal="center"/>
    </xf>
    <xf numFmtId="9" fontId="48" fillId="0" borderId="0" xfId="2" applyNumberFormat="1" applyFont="1" applyBorder="1"/>
    <xf numFmtId="165" fontId="48" fillId="0" borderId="9" xfId="39" applyNumberFormat="1" applyFont="1" applyBorder="1"/>
    <xf numFmtId="0" fontId="26" fillId="0" borderId="8" xfId="14" applyFont="1" applyBorder="1" applyAlignment="1"/>
    <xf numFmtId="0" fontId="48" fillId="3" borderId="52" xfId="41" applyFont="1" applyFill="1" applyBorder="1"/>
    <xf numFmtId="4" fontId="26" fillId="3" borderId="52" xfId="14" applyNumberFormat="1" applyFont="1" applyFill="1" applyBorder="1" applyAlignment="1">
      <alignment horizontal="center"/>
    </xf>
    <xf numFmtId="0" fontId="26" fillId="0" borderId="8" xfId="14" applyFont="1" applyBorder="1" applyAlignment="1">
      <alignment horizontal="left"/>
    </xf>
    <xf numFmtId="0" fontId="90" fillId="3" borderId="71" xfId="41" applyFont="1" applyFill="1" applyBorder="1" applyAlignment="1">
      <alignment vertical="center" wrapText="1"/>
    </xf>
    <xf numFmtId="3" fontId="26" fillId="3" borderId="72" xfId="14" applyNumberFormat="1" applyFont="1" applyFill="1" applyBorder="1" applyAlignment="1">
      <alignment horizontal="center"/>
    </xf>
    <xf numFmtId="4" fontId="26" fillId="3" borderId="53" xfId="14" applyNumberFormat="1" applyFont="1" applyFill="1" applyBorder="1" applyAlignment="1">
      <alignment horizontal="center"/>
    </xf>
    <xf numFmtId="0" fontId="26" fillId="0" borderId="35" xfId="14" applyFont="1" applyBorder="1" applyAlignment="1">
      <alignment horizontal="center"/>
    </xf>
    <xf numFmtId="0" fontId="26" fillId="0" borderId="8" xfId="14" applyFont="1" applyBorder="1" applyAlignment="1">
      <alignment horizontal="left" wrapText="1"/>
    </xf>
    <xf numFmtId="170" fontId="26" fillId="0" borderId="0" xfId="14" applyNumberFormat="1" applyFont="1"/>
    <xf numFmtId="0" fontId="27" fillId="0" borderId="49" xfId="14" applyFont="1" applyBorder="1" applyAlignment="1">
      <alignment wrapText="1"/>
    </xf>
    <xf numFmtId="164" fontId="27" fillId="0" borderId="8" xfId="14" applyNumberFormat="1" applyFont="1" applyBorder="1"/>
    <xf numFmtId="0" fontId="27" fillId="0" borderId="51" xfId="14" applyFont="1" applyBorder="1" applyAlignment="1">
      <alignment wrapText="1"/>
    </xf>
    <xf numFmtId="3" fontId="27" fillId="0" borderId="32" xfId="14" applyNumberFormat="1" applyFont="1" applyBorder="1" applyAlignment="1">
      <alignment horizontal="center"/>
    </xf>
    <xf numFmtId="0" fontId="26" fillId="0" borderId="61" xfId="14" applyFont="1" applyFill="1" applyBorder="1" applyAlignment="1">
      <alignment wrapText="1"/>
    </xf>
    <xf numFmtId="4" fontId="26" fillId="0" borderId="31" xfId="14" applyNumberFormat="1" applyFont="1" applyBorder="1" applyAlignment="1">
      <alignment horizontal="center"/>
    </xf>
    <xf numFmtId="165" fontId="48" fillId="0" borderId="0" xfId="39" applyNumberFormat="1" applyFont="1" applyFill="1" applyBorder="1"/>
    <xf numFmtId="0" fontId="27" fillId="0" borderId="19" xfId="14" applyFont="1" applyBorder="1"/>
    <xf numFmtId="37" fontId="27" fillId="0" borderId="20" xfId="14" applyNumberFormat="1" applyFont="1" applyBorder="1"/>
    <xf numFmtId="39" fontId="27" fillId="0" borderId="20" xfId="14" applyNumberFormat="1" applyFont="1" applyBorder="1"/>
    <xf numFmtId="165" fontId="27" fillId="0" borderId="21" xfId="39" applyNumberFormat="1" applyFont="1" applyBorder="1"/>
    <xf numFmtId="0" fontId="26" fillId="0" borderId="8" xfId="14" applyFont="1" applyBorder="1"/>
    <xf numFmtId="37" fontId="26" fillId="0" borderId="0" xfId="14" applyNumberFormat="1" applyFont="1" applyBorder="1"/>
    <xf numFmtId="39" fontId="27" fillId="0" borderId="0" xfId="14" applyNumberFormat="1" applyFont="1" applyBorder="1"/>
    <xf numFmtId="0" fontId="26" fillId="0" borderId="25" xfId="14" applyFont="1" applyBorder="1"/>
    <xf numFmtId="10" fontId="26" fillId="0" borderId="26" xfId="14" applyNumberFormat="1" applyFont="1" applyBorder="1"/>
    <xf numFmtId="37" fontId="26" fillId="0" borderId="26" xfId="14" applyNumberFormat="1" applyFont="1" applyBorder="1"/>
    <xf numFmtId="165" fontId="48" fillId="0" borderId="27" xfId="39" applyNumberFormat="1" applyFont="1" applyBorder="1"/>
    <xf numFmtId="0" fontId="27" fillId="0" borderId="25" xfId="14" applyFont="1" applyBorder="1"/>
    <xf numFmtId="37" fontId="27" fillId="0" borderId="26" xfId="14" applyNumberFormat="1" applyFont="1" applyBorder="1"/>
    <xf numFmtId="165" fontId="27" fillId="0" borderId="27" xfId="39" applyNumberFormat="1" applyFont="1" applyBorder="1"/>
    <xf numFmtId="176" fontId="26" fillId="0" borderId="0" xfId="14" applyNumberFormat="1" applyFont="1"/>
    <xf numFmtId="0" fontId="91" fillId="0" borderId="8" xfId="14" applyFont="1" applyBorder="1"/>
    <xf numFmtId="10" fontId="91" fillId="0" borderId="0" xfId="14" applyNumberFormat="1" applyFont="1" applyBorder="1"/>
    <xf numFmtId="0" fontId="91" fillId="0" borderId="0" xfId="14" applyFont="1" applyBorder="1"/>
    <xf numFmtId="44" fontId="91" fillId="0" borderId="9" xfId="14" applyNumberFormat="1" applyFont="1" applyBorder="1"/>
    <xf numFmtId="175" fontId="26" fillId="0" borderId="0" xfId="14" applyNumberFormat="1" applyFont="1"/>
    <xf numFmtId="0" fontId="27" fillId="0" borderId="8" xfId="14" applyFont="1" applyBorder="1"/>
    <xf numFmtId="0" fontId="27" fillId="0" borderId="0" xfId="14" applyFont="1" applyBorder="1"/>
    <xf numFmtId="165" fontId="27" fillId="0" borderId="9" xfId="39" applyNumberFormat="1" applyFont="1" applyBorder="1"/>
    <xf numFmtId="165" fontId="27" fillId="0" borderId="9" xfId="39" applyNumberFormat="1" applyFont="1" applyBorder="1" applyAlignment="1">
      <alignment horizontal="right"/>
    </xf>
    <xf numFmtId="0" fontId="27" fillId="0" borderId="22" xfId="14" applyFont="1" applyBorder="1"/>
    <xf numFmtId="0" fontId="27" fillId="0" borderId="33" xfId="14" applyFont="1" applyBorder="1"/>
    <xf numFmtId="39" fontId="27" fillId="0" borderId="33" xfId="14" applyNumberFormat="1" applyFont="1" applyBorder="1"/>
    <xf numFmtId="44" fontId="27" fillId="9" borderId="34" xfId="39" applyFont="1" applyFill="1" applyBorder="1"/>
    <xf numFmtId="44" fontId="26" fillId="0" borderId="0" xfId="1" applyFont="1"/>
    <xf numFmtId="0" fontId="26" fillId="52" borderId="0" xfId="14" applyFont="1" applyFill="1"/>
    <xf numFmtId="164" fontId="92" fillId="52" borderId="8" xfId="14" applyNumberFormat="1" applyFont="1" applyFill="1" applyBorder="1" applyAlignment="1">
      <alignment horizontal="left"/>
    </xf>
    <xf numFmtId="164" fontId="93" fillId="52" borderId="11" xfId="14" applyNumberFormat="1" applyFont="1" applyFill="1" applyBorder="1" applyAlignment="1">
      <alignment horizontal="center"/>
    </xf>
    <xf numFmtId="49" fontId="26" fillId="52" borderId="41" xfId="14" applyNumberFormat="1" applyFont="1" applyFill="1" applyBorder="1" applyAlignment="1"/>
    <xf numFmtId="49" fontId="26" fillId="52" borderId="0" xfId="14" applyNumberFormat="1" applyFont="1" applyFill="1" applyBorder="1" applyAlignment="1"/>
    <xf numFmtId="49" fontId="26" fillId="52" borderId="9" xfId="14" applyNumberFormat="1" applyFont="1" applyFill="1" applyBorder="1" applyAlignment="1"/>
    <xf numFmtId="164" fontId="93" fillId="52" borderId="15" xfId="14" applyNumberFormat="1" applyFont="1" applyFill="1" applyBorder="1" applyAlignment="1">
      <alignment horizontal="center"/>
    </xf>
    <xf numFmtId="164" fontId="92" fillId="52" borderId="12" xfId="14" applyNumberFormat="1" applyFont="1" applyFill="1" applyBorder="1" applyAlignment="1">
      <alignment horizontal="left"/>
    </xf>
    <xf numFmtId="164" fontId="93" fillId="52" borderId="17" xfId="14" applyNumberFormat="1" applyFont="1" applyFill="1" applyBorder="1" applyAlignment="1">
      <alignment horizontal="center"/>
    </xf>
    <xf numFmtId="49" fontId="26" fillId="52" borderId="42" xfId="14" applyNumberFormat="1" applyFont="1" applyFill="1" applyBorder="1" applyAlignment="1"/>
    <xf numFmtId="49" fontId="26" fillId="52" borderId="13" xfId="14" applyNumberFormat="1" applyFont="1" applyFill="1" applyBorder="1" applyAlignment="1"/>
    <xf numFmtId="49" fontId="26" fillId="52" borderId="14" xfId="14" applyNumberFormat="1" applyFont="1" applyFill="1" applyBorder="1" applyAlignment="1"/>
    <xf numFmtId="49" fontId="26" fillId="52" borderId="57" xfId="14" applyNumberFormat="1" applyFont="1" applyFill="1" applyBorder="1" applyAlignment="1"/>
    <xf numFmtId="49" fontId="26" fillId="52" borderId="20" xfId="14" applyNumberFormat="1" applyFont="1" applyFill="1" applyBorder="1" applyAlignment="1"/>
    <xf numFmtId="49" fontId="26" fillId="52" borderId="21" xfId="14" applyNumberFormat="1" applyFont="1" applyFill="1" applyBorder="1" applyAlignment="1"/>
    <xf numFmtId="2" fontId="94" fillId="52" borderId="15" xfId="14" applyNumberFormat="1" applyFont="1" applyFill="1" applyBorder="1" applyAlignment="1">
      <alignment horizontal="center"/>
    </xf>
    <xf numFmtId="2" fontId="94" fillId="52" borderId="17" xfId="14" applyNumberFormat="1" applyFont="1" applyFill="1" applyBorder="1" applyAlignment="1">
      <alignment horizontal="center"/>
    </xf>
    <xf numFmtId="0" fontId="26" fillId="52" borderId="20" xfId="14" applyFont="1" applyFill="1" applyBorder="1" applyAlignment="1">
      <alignment horizontal="left"/>
    </xf>
    <xf numFmtId="0" fontId="26" fillId="52" borderId="21" xfId="14" applyFont="1" applyFill="1" applyBorder="1" applyAlignment="1">
      <alignment horizontal="left"/>
    </xf>
    <xf numFmtId="0" fontId="92" fillId="52" borderId="8" xfId="14" applyFont="1" applyFill="1" applyBorder="1" applyAlignment="1">
      <alignment horizontal="left"/>
    </xf>
    <xf numFmtId="10" fontId="93" fillId="52" borderId="15" xfId="14" applyNumberFormat="1" applyFont="1" applyFill="1" applyBorder="1" applyAlignment="1">
      <alignment horizontal="center" vertical="center"/>
    </xf>
    <xf numFmtId="0" fontId="26" fillId="52" borderId="0" xfId="14" applyFont="1" applyFill="1" applyBorder="1" applyAlignment="1">
      <alignment horizontal="left"/>
    </xf>
    <xf numFmtId="0" fontId="26" fillId="52" borderId="9" xfId="14" applyFont="1" applyFill="1" applyBorder="1" applyAlignment="1">
      <alignment horizontal="left"/>
    </xf>
    <xf numFmtId="0" fontId="92" fillId="52" borderId="8" xfId="14" applyFont="1" applyFill="1" applyBorder="1"/>
    <xf numFmtId="0" fontId="92" fillId="52" borderId="12" xfId="14" applyFont="1" applyFill="1" applyBorder="1"/>
    <xf numFmtId="10" fontId="93" fillId="52" borderId="17" xfId="14" applyNumberFormat="1" applyFont="1" applyFill="1" applyBorder="1" applyAlignment="1">
      <alignment horizontal="center" vertical="center"/>
    </xf>
    <xf numFmtId="0" fontId="26" fillId="52" borderId="13" xfId="14" applyFont="1" applyFill="1" applyBorder="1" applyAlignment="1">
      <alignment horizontal="left"/>
    </xf>
    <xf numFmtId="0" fontId="26" fillId="52" borderId="14" xfId="14" applyFont="1" applyFill="1" applyBorder="1" applyAlignment="1">
      <alignment horizontal="left"/>
    </xf>
    <xf numFmtId="0" fontId="91" fillId="52" borderId="8" xfId="14" applyFont="1" applyFill="1" applyBorder="1"/>
    <xf numFmtId="10" fontId="91" fillId="52" borderId="15" xfId="14" applyNumberFormat="1" applyFont="1" applyFill="1" applyBorder="1" applyAlignment="1">
      <alignment horizontal="center" vertical="center"/>
    </xf>
    <xf numFmtId="0" fontId="91" fillId="52" borderId="57" xfId="14" applyFont="1" applyFill="1" applyBorder="1" applyAlignment="1">
      <alignment horizontal="left"/>
    </xf>
    <xf numFmtId="0" fontId="26" fillId="52" borderId="73" xfId="14" applyFont="1" applyFill="1" applyBorder="1" applyAlignment="1">
      <alignment horizontal="left"/>
    </xf>
    <xf numFmtId="0" fontId="92" fillId="52" borderId="22" xfId="14" applyFont="1" applyFill="1" applyBorder="1"/>
    <xf numFmtId="10" fontId="94" fillId="52" borderId="56" xfId="4" applyNumberFormat="1" applyFont="1" applyFill="1" applyBorder="1" applyAlignment="1">
      <alignment horizontal="center"/>
    </xf>
    <xf numFmtId="0" fontId="92" fillId="52" borderId="29" xfId="14" applyFont="1" applyFill="1" applyBorder="1" applyAlignment="1">
      <alignment horizontal="left"/>
    </xf>
    <xf numFmtId="0" fontId="92" fillId="52" borderId="24" xfId="14" applyFont="1" applyFill="1" applyBorder="1" applyAlignment="1">
      <alignment horizontal="left"/>
    </xf>
    <xf numFmtId="0" fontId="26" fillId="52" borderId="0" xfId="14" applyFont="1" applyFill="1" applyBorder="1"/>
    <xf numFmtId="10" fontId="94" fillId="52" borderId="0" xfId="2" applyNumberFormat="1" applyFont="1" applyFill="1" applyBorder="1" applyAlignment="1">
      <alignment horizontal="center"/>
    </xf>
    <xf numFmtId="0" fontId="88" fillId="52" borderId="0" xfId="14" applyFont="1" applyFill="1" applyBorder="1" applyAlignment="1">
      <alignment horizontal="center" vertical="center"/>
    </xf>
    <xf numFmtId="0" fontId="27" fillId="52" borderId="46" xfId="14" applyFont="1" applyFill="1" applyBorder="1"/>
    <xf numFmtId="10" fontId="94" fillId="52" borderId="38" xfId="4" applyNumberFormat="1" applyFont="1" applyFill="1" applyBorder="1" applyAlignment="1">
      <alignment horizontal="right"/>
    </xf>
    <xf numFmtId="0" fontId="26" fillId="52" borderId="38" xfId="14" applyFont="1" applyFill="1" applyBorder="1" applyAlignment="1">
      <alignment horizontal="left"/>
    </xf>
    <xf numFmtId="0" fontId="26" fillId="52" borderId="18" xfId="14" applyFont="1" applyFill="1" applyBorder="1" applyAlignment="1">
      <alignment horizontal="left"/>
    </xf>
    <xf numFmtId="0" fontId="27" fillId="52" borderId="0" xfId="14" applyFont="1" applyFill="1" applyBorder="1" applyAlignment="1">
      <alignment horizontal="center"/>
    </xf>
    <xf numFmtId="0" fontId="26" fillId="52" borderId="41" xfId="14" applyFont="1" applyFill="1" applyBorder="1"/>
    <xf numFmtId="0" fontId="26" fillId="52" borderId="10" xfId="14" applyFont="1" applyFill="1" applyBorder="1"/>
    <xf numFmtId="0" fontId="26" fillId="52" borderId="0" xfId="14" applyFont="1" applyFill="1" applyBorder="1" applyAlignment="1">
      <alignment horizontal="center"/>
    </xf>
    <xf numFmtId="0" fontId="26" fillId="52" borderId="0" xfId="14" applyFont="1" applyFill="1" applyBorder="1" applyAlignment="1">
      <alignment horizontal="center" vertical="center"/>
    </xf>
    <xf numFmtId="0" fontId="26" fillId="52" borderId="42" xfId="14" applyFont="1" applyFill="1" applyBorder="1"/>
    <xf numFmtId="0" fontId="26" fillId="52" borderId="13" xfId="14" applyFont="1" applyFill="1" applyBorder="1"/>
    <xf numFmtId="0" fontId="26" fillId="52" borderId="16" xfId="14" applyFont="1" applyFill="1" applyBorder="1"/>
    <xf numFmtId="44" fontId="9" fillId="0" borderId="0" xfId="0" applyNumberFormat="1" applyFont="1"/>
    <xf numFmtId="0" fontId="91" fillId="0" borderId="8" xfId="0" applyFont="1" applyBorder="1"/>
    <xf numFmtId="10" fontId="91" fillId="0" borderId="0" xfId="0" applyNumberFormat="1" applyFont="1" applyBorder="1"/>
    <xf numFmtId="0" fontId="91" fillId="0" borderId="0" xfId="0" applyFont="1" applyBorder="1"/>
    <xf numFmtId="165" fontId="91" fillId="0" borderId="9" xfId="0" applyNumberFormat="1" applyFont="1" applyBorder="1"/>
    <xf numFmtId="0" fontId="26" fillId="0" borderId="0" xfId="0" applyFont="1"/>
    <xf numFmtId="174" fontId="26" fillId="0" borderId="0" xfId="0" applyNumberFormat="1" applyFont="1"/>
    <xf numFmtId="0" fontId="26" fillId="51" borderId="0" xfId="0" applyFont="1" applyFill="1"/>
    <xf numFmtId="0" fontId="27" fillId="51" borderId="48" xfId="0" applyFont="1" applyFill="1" applyBorder="1" applyAlignment="1">
      <alignment horizontal="center"/>
    </xf>
    <xf numFmtId="0" fontId="26" fillId="51" borderId="8" xfId="0" applyFont="1" applyFill="1" applyBorder="1"/>
    <xf numFmtId="165" fontId="26" fillId="51" borderId="0" xfId="44" applyNumberFormat="1" applyFont="1" applyFill="1" applyBorder="1"/>
    <xf numFmtId="0" fontId="26" fillId="51" borderId="9" xfId="0" applyFont="1" applyFill="1" applyBorder="1"/>
    <xf numFmtId="10" fontId="26" fillId="51" borderId="0" xfId="45" applyNumberFormat="1" applyFont="1" applyFill="1" applyBorder="1"/>
    <xf numFmtId="165" fontId="26" fillId="51" borderId="0" xfId="1" applyNumberFormat="1" applyFont="1" applyFill="1" applyBorder="1"/>
    <xf numFmtId="0" fontId="26" fillId="51" borderId="28" xfId="0" applyFont="1" applyFill="1" applyBorder="1"/>
    <xf numFmtId="10" fontId="26" fillId="51" borderId="29" xfId="45" applyNumberFormat="1" applyFont="1" applyFill="1" applyBorder="1"/>
    <xf numFmtId="0" fontId="96" fillId="51" borderId="47" xfId="0" applyFont="1" applyFill="1" applyBorder="1"/>
    <xf numFmtId="2" fontId="26" fillId="0" borderId="0" xfId="0" applyNumberFormat="1" applyFont="1"/>
    <xf numFmtId="44" fontId="26" fillId="0" borderId="0" xfId="0" applyNumberFormat="1" applyFont="1"/>
    <xf numFmtId="169" fontId="12" fillId="0" borderId="55" xfId="0" applyNumberFormat="1" applyFont="1" applyFill="1" applyBorder="1" applyAlignment="1">
      <alignment horizontal="center"/>
    </xf>
    <xf numFmtId="169" fontId="12" fillId="0" borderId="56" xfId="0" applyNumberFormat="1" applyFont="1" applyFill="1" applyBorder="1" applyAlignment="1">
      <alignment horizontal="center"/>
    </xf>
    <xf numFmtId="169" fontId="11" fillId="0" borderId="0" xfId="0" applyNumberFormat="1" applyFont="1" applyFill="1" applyAlignment="1">
      <alignment horizontal="center"/>
    </xf>
    <xf numFmtId="0" fontId="11" fillId="0" borderId="6" xfId="0" applyFont="1" applyFill="1" applyBorder="1" applyAlignment="1">
      <alignment horizontal="center"/>
    </xf>
    <xf numFmtId="169" fontId="9" fillId="0" borderId="55" xfId="0" applyNumberFormat="1" applyFont="1" applyFill="1" applyBorder="1" applyAlignment="1">
      <alignment horizontal="center"/>
    </xf>
    <xf numFmtId="169" fontId="19" fillId="53" borderId="56" xfId="0" applyNumberFormat="1" applyFont="1" applyFill="1" applyBorder="1" applyAlignment="1">
      <alignment horizontal="center"/>
    </xf>
    <xf numFmtId="0" fontId="97" fillId="0" borderId="0" xfId="0" applyFont="1" applyFill="1"/>
    <xf numFmtId="10" fontId="97" fillId="0" borderId="0" xfId="2" applyNumberFormat="1" applyFont="1" applyFill="1" applyAlignment="1">
      <alignment horizontal="center"/>
    </xf>
    <xf numFmtId="0" fontId="97" fillId="0" borderId="0" xfId="0" applyFont="1" applyFill="1" applyAlignment="1">
      <alignment horizontal="center"/>
    </xf>
    <xf numFmtId="0" fontId="80" fillId="0" borderId="60" xfId="0" applyFont="1" applyBorder="1"/>
    <xf numFmtId="0" fontId="80" fillId="0" borderId="31" xfId="0" applyFont="1" applyBorder="1"/>
    <xf numFmtId="0" fontId="3" fillId="0" borderId="0" xfId="46" applyAlignment="1">
      <alignment horizontal="center"/>
    </xf>
    <xf numFmtId="0" fontId="75" fillId="50" borderId="1" xfId="0" applyFont="1" applyFill="1" applyBorder="1" applyAlignment="1">
      <alignment horizontal="center"/>
    </xf>
    <xf numFmtId="0" fontId="75" fillId="50" borderId="2" xfId="0" applyFont="1" applyFill="1" applyBorder="1" applyAlignment="1">
      <alignment horizontal="center"/>
    </xf>
    <xf numFmtId="0" fontId="75" fillId="50" borderId="3" xfId="0" applyFont="1" applyFill="1" applyBorder="1" applyAlignment="1">
      <alignment horizontal="center"/>
    </xf>
    <xf numFmtId="0" fontId="75" fillId="21" borderId="1" xfId="0" applyFont="1" applyFill="1" applyBorder="1" applyAlignment="1">
      <alignment horizontal="center"/>
    </xf>
    <xf numFmtId="0" fontId="75" fillId="21" borderId="2" xfId="0" applyFont="1" applyFill="1" applyBorder="1" applyAlignment="1">
      <alignment horizontal="center"/>
    </xf>
    <xf numFmtId="0" fontId="75" fillId="21" borderId="3" xfId="0" applyFont="1" applyFill="1" applyBorder="1" applyAlignment="1">
      <alignment horizontal="center"/>
    </xf>
    <xf numFmtId="0" fontId="75" fillId="24" borderId="1" xfId="0" applyFont="1" applyFill="1" applyBorder="1" applyAlignment="1">
      <alignment horizontal="center"/>
    </xf>
    <xf numFmtId="0" fontId="75" fillId="24" borderId="2" xfId="0" applyFont="1" applyFill="1" applyBorder="1" applyAlignment="1">
      <alignment horizontal="center"/>
    </xf>
    <xf numFmtId="0" fontId="75" fillId="24" borderId="3" xfId="0" applyFont="1" applyFill="1" applyBorder="1" applyAlignment="1">
      <alignment horizontal="center"/>
    </xf>
    <xf numFmtId="0" fontId="12" fillId="51" borderId="39" xfId="0" applyFont="1" applyFill="1" applyBorder="1" applyAlignment="1">
      <alignment horizontal="center"/>
    </xf>
    <xf numFmtId="0" fontId="12" fillId="51" borderId="6" xfId="0" applyFont="1" applyFill="1" applyBorder="1" applyAlignment="1">
      <alignment horizontal="center"/>
    </xf>
    <xf numFmtId="0" fontId="12" fillId="51" borderId="40" xfId="0" applyFont="1" applyFill="1" applyBorder="1" applyAlignment="1">
      <alignment horizontal="center"/>
    </xf>
    <xf numFmtId="164" fontId="12" fillId="51" borderId="4" xfId="0" applyNumberFormat="1" applyFont="1" applyFill="1" applyBorder="1" applyAlignment="1">
      <alignment horizontal="center"/>
    </xf>
    <xf numFmtId="164" fontId="12" fillId="51" borderId="5" xfId="0" applyNumberFormat="1" applyFont="1" applyFill="1" applyBorder="1" applyAlignment="1">
      <alignment horizontal="center"/>
    </xf>
    <xf numFmtId="0" fontId="12" fillId="51" borderId="1" xfId="0" applyFont="1" applyFill="1" applyBorder="1" applyAlignment="1">
      <alignment horizontal="center" vertical="center"/>
    </xf>
    <xf numFmtId="0" fontId="12" fillId="51" borderId="2" xfId="0" applyFont="1" applyFill="1" applyBorder="1" applyAlignment="1">
      <alignment horizontal="center" vertical="center"/>
    </xf>
    <xf numFmtId="0" fontId="12" fillId="51" borderId="3" xfId="0" applyFont="1" applyFill="1" applyBorder="1" applyAlignment="1">
      <alignment horizontal="center" vertical="center"/>
    </xf>
    <xf numFmtId="164" fontId="13" fillId="51" borderId="29" xfId="0" applyNumberFormat="1" applyFont="1" applyFill="1" applyBorder="1" applyAlignment="1">
      <alignment horizontal="center"/>
    </xf>
    <xf numFmtId="0" fontId="12" fillId="0" borderId="19" xfId="0" applyFont="1" applyBorder="1" applyAlignment="1">
      <alignment horizontal="left"/>
    </xf>
    <xf numFmtId="0" fontId="12" fillId="0" borderId="73" xfId="0" applyFont="1" applyBorder="1" applyAlignment="1">
      <alignment horizontal="left"/>
    </xf>
    <xf numFmtId="0" fontId="12" fillId="0" borderId="22" xfId="0" applyFont="1" applyBorder="1" applyAlignment="1">
      <alignment horizontal="left"/>
    </xf>
    <xf numFmtId="0" fontId="12" fillId="0" borderId="97" xfId="0" applyFont="1" applyBorder="1" applyAlignment="1">
      <alignment horizontal="left"/>
    </xf>
    <xf numFmtId="0" fontId="12" fillId="8" borderId="1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/>
    </xf>
    <xf numFmtId="0" fontId="12" fillId="8" borderId="3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27" fillId="51" borderId="1" xfId="0" applyFont="1" applyFill="1" applyBorder="1" applyAlignment="1">
      <alignment horizontal="center"/>
    </xf>
    <xf numFmtId="0" fontId="27" fillId="51" borderId="2" xfId="0" applyFont="1" applyFill="1" applyBorder="1" applyAlignment="1">
      <alignment horizontal="center"/>
    </xf>
    <xf numFmtId="0" fontId="27" fillId="51" borderId="3" xfId="0" applyFont="1" applyFill="1" applyBorder="1" applyAlignment="1">
      <alignment horizontal="center"/>
    </xf>
    <xf numFmtId="0" fontId="26" fillId="49" borderId="1" xfId="0" applyFont="1" applyFill="1" applyBorder="1" applyAlignment="1">
      <alignment horizontal="center"/>
    </xf>
    <xf numFmtId="0" fontId="26" fillId="49" borderId="2" xfId="0" applyFont="1" applyFill="1" applyBorder="1" applyAlignment="1">
      <alignment horizontal="center"/>
    </xf>
    <xf numFmtId="0" fontId="26" fillId="49" borderId="3" xfId="0" applyFont="1" applyFill="1" applyBorder="1" applyAlignment="1">
      <alignment horizontal="center"/>
    </xf>
    <xf numFmtId="0" fontId="28" fillId="0" borderId="1" xfId="14" applyFont="1" applyBorder="1" applyAlignment="1">
      <alignment horizontal="center"/>
    </xf>
    <xf numFmtId="0" fontId="28" fillId="0" borderId="3" xfId="14" applyFont="1" applyBorder="1" applyAlignment="1">
      <alignment horizontal="center"/>
    </xf>
    <xf numFmtId="0" fontId="27" fillId="0" borderId="58" xfId="14" applyFont="1" applyFill="1" applyBorder="1" applyAlignment="1">
      <alignment horizontal="center" vertical="center"/>
    </xf>
    <xf numFmtId="0" fontId="27" fillId="0" borderId="8" xfId="14" applyFont="1" applyFill="1" applyBorder="1" applyAlignment="1">
      <alignment horizontal="center" vertical="center"/>
    </xf>
    <xf numFmtId="0" fontId="27" fillId="0" borderId="62" xfId="14" applyFont="1" applyFill="1" applyBorder="1" applyAlignment="1">
      <alignment horizontal="center" vertical="center"/>
    </xf>
    <xf numFmtId="0" fontId="28" fillId="0" borderId="1" xfId="14" applyFont="1" applyFill="1" applyBorder="1" applyAlignment="1">
      <alignment horizontal="center" vertical="center"/>
    </xf>
    <xf numFmtId="0" fontId="28" fillId="0" borderId="3" xfId="14" applyFont="1" applyFill="1" applyBorder="1" applyAlignment="1">
      <alignment horizontal="center" vertical="center"/>
    </xf>
    <xf numFmtId="0" fontId="26" fillId="0" borderId="29" xfId="14" applyFont="1" applyBorder="1" applyAlignment="1">
      <alignment horizontal="center"/>
    </xf>
    <xf numFmtId="0" fontId="88" fillId="10" borderId="1" xfId="14" applyFont="1" applyFill="1" applyBorder="1" applyAlignment="1">
      <alignment horizontal="center" vertical="center"/>
    </xf>
    <xf numFmtId="0" fontId="88" fillId="10" borderId="2" xfId="14" applyFont="1" applyFill="1" applyBorder="1" applyAlignment="1">
      <alignment horizontal="center" vertical="center"/>
    </xf>
    <xf numFmtId="0" fontId="88" fillId="10" borderId="3" xfId="14" applyFont="1" applyFill="1" applyBorder="1" applyAlignment="1">
      <alignment horizontal="center" vertical="center"/>
    </xf>
    <xf numFmtId="164" fontId="22" fillId="52" borderId="19" xfId="14" applyNumberFormat="1" applyFont="1" applyFill="1" applyBorder="1" applyAlignment="1">
      <alignment horizontal="center"/>
    </xf>
    <xf numFmtId="164" fontId="22" fillId="52" borderId="73" xfId="14" applyNumberFormat="1" applyFont="1" applyFill="1" applyBorder="1" applyAlignment="1">
      <alignment horizontal="center"/>
    </xf>
    <xf numFmtId="0" fontId="22" fillId="52" borderId="19" xfId="14" applyFont="1" applyFill="1" applyBorder="1" applyAlignment="1">
      <alignment horizontal="center"/>
    </xf>
    <xf numFmtId="0" fontId="22" fillId="52" borderId="73" xfId="14" applyFont="1" applyFill="1" applyBorder="1" applyAlignment="1">
      <alignment horizontal="center"/>
    </xf>
    <xf numFmtId="0" fontId="22" fillId="52" borderId="42" xfId="14" applyFont="1" applyFill="1" applyBorder="1" applyAlignment="1">
      <alignment horizontal="center" vertical="center"/>
    </xf>
    <xf numFmtId="0" fontId="22" fillId="52" borderId="13" xfId="14" applyFont="1" applyFill="1" applyBorder="1" applyAlignment="1">
      <alignment horizontal="center" vertical="center"/>
    </xf>
    <xf numFmtId="0" fontId="22" fillId="52" borderId="14" xfId="14" applyFont="1" applyFill="1" applyBorder="1" applyAlignment="1">
      <alignment horizontal="center" vertical="center"/>
    </xf>
    <xf numFmtId="0" fontId="22" fillId="52" borderId="12" xfId="14" applyFont="1" applyFill="1" applyBorder="1" applyAlignment="1">
      <alignment horizontal="center" vertical="center"/>
    </xf>
    <xf numFmtId="0" fontId="22" fillId="52" borderId="16" xfId="14" applyFont="1" applyFill="1" applyBorder="1" applyAlignment="1">
      <alignment horizontal="center" vertical="center"/>
    </xf>
    <xf numFmtId="0" fontId="88" fillId="52" borderId="1" xfId="14" applyFont="1" applyFill="1" applyBorder="1" applyAlignment="1">
      <alignment horizontal="center" vertical="center"/>
    </xf>
    <xf numFmtId="0" fontId="88" fillId="52" borderId="2" xfId="14" applyFont="1" applyFill="1" applyBorder="1" applyAlignment="1">
      <alignment horizontal="center" vertical="center"/>
    </xf>
    <xf numFmtId="0" fontId="88" fillId="52" borderId="3" xfId="14" applyFont="1" applyFill="1" applyBorder="1" applyAlignment="1">
      <alignment horizontal="center" vertical="center"/>
    </xf>
    <xf numFmtId="0" fontId="75" fillId="52" borderId="1" xfId="0" applyFont="1" applyFill="1" applyBorder="1" applyAlignment="1">
      <alignment horizontal="center" vertical="center"/>
    </xf>
    <xf numFmtId="0" fontId="75" fillId="52" borderId="2" xfId="0" applyFont="1" applyFill="1" applyBorder="1" applyAlignment="1">
      <alignment horizontal="center" vertical="center"/>
    </xf>
    <xf numFmtId="0" fontId="75" fillId="52" borderId="3" xfId="0" applyFont="1" applyFill="1" applyBorder="1" applyAlignment="1">
      <alignment horizontal="center" vertical="center"/>
    </xf>
    <xf numFmtId="0" fontId="78" fillId="7" borderId="1" xfId="0" applyFont="1" applyFill="1" applyBorder="1" applyAlignment="1">
      <alignment horizontal="center" vertical="center"/>
    </xf>
    <xf numFmtId="0" fontId="78" fillId="7" borderId="2" xfId="0" applyFont="1" applyFill="1" applyBorder="1" applyAlignment="1">
      <alignment horizontal="center" vertical="center"/>
    </xf>
    <xf numFmtId="0" fontId="78" fillId="7" borderId="3" xfId="0" applyFont="1" applyFill="1" applyBorder="1" applyAlignment="1">
      <alignment horizontal="center" vertical="center"/>
    </xf>
    <xf numFmtId="164" fontId="78" fillId="52" borderId="4" xfId="0" applyNumberFormat="1" applyFont="1" applyFill="1" applyBorder="1" applyAlignment="1">
      <alignment horizontal="center"/>
    </xf>
    <xf numFmtId="164" fontId="78" fillId="52" borderId="5" xfId="0" applyNumberFormat="1" applyFont="1" applyFill="1" applyBorder="1" applyAlignment="1">
      <alignment horizontal="center"/>
    </xf>
    <xf numFmtId="0" fontId="78" fillId="2" borderId="1" xfId="0" applyFont="1" applyFill="1" applyBorder="1" applyAlignment="1">
      <alignment horizontal="center" vertical="center"/>
    </xf>
    <xf numFmtId="0" fontId="78" fillId="2" borderId="2" xfId="0" applyFont="1" applyFill="1" applyBorder="1" applyAlignment="1">
      <alignment horizontal="center" vertical="center"/>
    </xf>
    <xf numFmtId="0" fontId="78" fillId="2" borderId="3" xfId="0" applyFont="1" applyFill="1" applyBorder="1" applyAlignment="1">
      <alignment horizontal="center" vertical="center"/>
    </xf>
    <xf numFmtId="0" fontId="78" fillId="52" borderId="1" xfId="0" applyFont="1" applyFill="1" applyBorder="1" applyAlignment="1">
      <alignment horizontal="center" vertical="center"/>
    </xf>
    <xf numFmtId="0" fontId="78" fillId="52" borderId="2" xfId="0" applyFont="1" applyFill="1" applyBorder="1" applyAlignment="1">
      <alignment horizontal="center" vertical="center"/>
    </xf>
    <xf numFmtId="0" fontId="78" fillId="52" borderId="3" xfId="0" applyFont="1" applyFill="1" applyBorder="1" applyAlignment="1">
      <alignment horizontal="center" vertical="center"/>
    </xf>
    <xf numFmtId="164" fontId="78" fillId="52" borderId="39" xfId="0" applyNumberFormat="1" applyFont="1" applyFill="1" applyBorder="1" applyAlignment="1">
      <alignment horizontal="center"/>
    </xf>
    <xf numFmtId="164" fontId="78" fillId="52" borderId="6" xfId="0" applyNumberFormat="1" applyFont="1" applyFill="1" applyBorder="1" applyAlignment="1">
      <alignment horizontal="center"/>
    </xf>
    <xf numFmtId="164" fontId="78" fillId="52" borderId="40" xfId="0" applyNumberFormat="1" applyFont="1" applyFill="1" applyBorder="1" applyAlignment="1">
      <alignment horizontal="center"/>
    </xf>
    <xf numFmtId="0" fontId="81" fillId="52" borderId="19" xfId="0" applyFont="1" applyFill="1" applyBorder="1" applyAlignment="1">
      <alignment horizontal="center"/>
    </xf>
    <xf numFmtId="0" fontId="81" fillId="52" borderId="73" xfId="0" applyFont="1" applyFill="1" applyBorder="1" applyAlignment="1">
      <alignment horizontal="center"/>
    </xf>
    <xf numFmtId="0" fontId="78" fillId="52" borderId="19" xfId="0" applyFont="1" applyFill="1" applyBorder="1" applyAlignment="1">
      <alignment horizontal="center"/>
    </xf>
    <xf numFmtId="0" fontId="78" fillId="52" borderId="73" xfId="0" applyFont="1" applyFill="1" applyBorder="1" applyAlignment="1">
      <alignment horizontal="center"/>
    </xf>
    <xf numFmtId="0" fontId="20" fillId="0" borderId="41" xfId="49" applyBorder="1" applyAlignment="1">
      <alignment horizontal="right"/>
    </xf>
    <xf numFmtId="0" fontId="20" fillId="0" borderId="0" xfId="49" applyBorder="1" applyAlignment="1">
      <alignment horizontal="right"/>
    </xf>
    <xf numFmtId="0" fontId="35" fillId="11" borderId="68" xfId="42" applyFont="1" applyFill="1" applyBorder="1" applyAlignment="1">
      <alignment horizontal="left"/>
    </xf>
    <xf numFmtId="0" fontId="35" fillId="11" borderId="69" xfId="42" applyFont="1" applyFill="1" applyBorder="1" applyAlignment="1">
      <alignment horizontal="left"/>
    </xf>
    <xf numFmtId="0" fontId="36" fillId="9" borderId="0" xfId="42" applyFont="1" applyFill="1" applyBorder="1" applyAlignment="1">
      <alignment horizontal="left"/>
    </xf>
    <xf numFmtId="0" fontId="36" fillId="9" borderId="9" xfId="42" applyFont="1" applyFill="1" applyBorder="1" applyAlignment="1">
      <alignment horizontal="left"/>
    </xf>
    <xf numFmtId="0" fontId="37" fillId="11" borderId="29" xfId="42" applyFont="1" applyFill="1" applyBorder="1" applyAlignment="1">
      <alignment horizontal="left"/>
    </xf>
    <xf numFmtId="0" fontId="37" fillId="11" borderId="24" xfId="42" applyFont="1" applyFill="1" applyBorder="1" applyAlignment="1">
      <alignment horizontal="left"/>
    </xf>
    <xf numFmtId="0" fontId="0" fillId="49" borderId="0" xfId="0" applyFill="1" applyAlignment="1">
      <alignment horizontal="center"/>
    </xf>
    <xf numFmtId="0" fontId="0" fillId="18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30">
    <cellStyle name="20% - Accent1 2" xfId="50"/>
    <cellStyle name="20% - Accent2 2" xfId="51"/>
    <cellStyle name="20% - Accent3 2" xfId="52"/>
    <cellStyle name="20% - Accent4 2" xfId="53"/>
    <cellStyle name="20% - Accent5 2" xfId="54"/>
    <cellStyle name="20% - Accent6 2" xfId="55"/>
    <cellStyle name="40% - Accent1 2" xfId="56"/>
    <cellStyle name="40% - Accent2 2" xfId="57"/>
    <cellStyle name="40% - Accent3 2" xfId="58"/>
    <cellStyle name="40% - Accent4 2" xfId="59"/>
    <cellStyle name="40% - Accent5 2" xfId="60"/>
    <cellStyle name="40% - Accent6 2" xfId="61"/>
    <cellStyle name="60% - Accent1 2" xfId="62"/>
    <cellStyle name="60% - Accent2 2" xfId="63"/>
    <cellStyle name="60% - Accent3 2" xfId="64"/>
    <cellStyle name="60% - Accent4 2" xfId="65"/>
    <cellStyle name="60% - Accent5 2" xfId="66"/>
    <cellStyle name="60% - Accent6 2" xfId="67"/>
    <cellStyle name="Accent1 2" xfId="68"/>
    <cellStyle name="Accent2 2" xfId="69"/>
    <cellStyle name="Accent3 2" xfId="70"/>
    <cellStyle name="Accent4 2" xfId="71"/>
    <cellStyle name="Accent5 2" xfId="72"/>
    <cellStyle name="Accent6 2" xfId="73"/>
    <cellStyle name="Bad 2" xfId="74"/>
    <cellStyle name="Calculation 2" xfId="75"/>
    <cellStyle name="Check Cell 2" xfId="76"/>
    <cellStyle name="Comma 2" xfId="6"/>
    <cellStyle name="Comma 2 2" xfId="77"/>
    <cellStyle name="Comma 2 2 2" xfId="123"/>
    <cellStyle name="Comma 3" xfId="7"/>
    <cellStyle name="Comma 3 2" xfId="21"/>
    <cellStyle name="Comma 3 3" xfId="78"/>
    <cellStyle name="Comma 4" xfId="8"/>
    <cellStyle name="Comma 4 2" xfId="79"/>
    <cellStyle name="Comma 5" xfId="22"/>
    <cellStyle name="Comma 6" xfId="23"/>
    <cellStyle name="Comma 6 2" xfId="80"/>
    <cellStyle name="Comma 7" xfId="24"/>
    <cellStyle name="Comma 7 2" xfId="25"/>
    <cellStyle name="Comma 8" xfId="81"/>
    <cellStyle name="Currency" xfId="1" builtinId="4"/>
    <cellStyle name="Currency [0] 2" xfId="124"/>
    <cellStyle name="Currency 2" xfId="9"/>
    <cellStyle name="Currency 2 2" xfId="26"/>
    <cellStyle name="Currency 2 3" xfId="82"/>
    <cellStyle name="Currency 2 4" xfId="83"/>
    <cellStyle name="Currency 2 4 2" xfId="125"/>
    <cellStyle name="Currency 3" xfId="10"/>
    <cellStyle name="Currency 3 2" xfId="27"/>
    <cellStyle name="Currency 3 3" xfId="84"/>
    <cellStyle name="Currency 4" xfId="5"/>
    <cellStyle name="Currency 4 2" xfId="11"/>
    <cellStyle name="Currency 4 2 2" xfId="85"/>
    <cellStyle name="Currency 4 3" xfId="38"/>
    <cellStyle name="Currency 4 4" xfId="39"/>
    <cellStyle name="Currency 5" xfId="12"/>
    <cellStyle name="Currency 5 2" xfId="28"/>
    <cellStyle name="Currency 5 3" xfId="86"/>
    <cellStyle name="Currency 6" xfId="29"/>
    <cellStyle name="Currency 6 2" xfId="30"/>
    <cellStyle name="Currency 7" xfId="44"/>
    <cellStyle name="Currency 8" xfId="87"/>
    <cellStyle name="Currency 9" xfId="121"/>
    <cellStyle name="Explanatory Text 2" xfId="88"/>
    <cellStyle name="Good 2" xfId="89"/>
    <cellStyle name="Heading 1 2" xfId="90"/>
    <cellStyle name="Heading 2 2" xfId="91"/>
    <cellStyle name="Heading 3 2" xfId="92"/>
    <cellStyle name="Heading 4 2" xfId="93"/>
    <cellStyle name="Input 2" xfId="94"/>
    <cellStyle name="Linked Cell 2" xfId="95"/>
    <cellStyle name="Neutral 2" xfId="96"/>
    <cellStyle name="Normal" xfId="0" builtinId="0"/>
    <cellStyle name="Normal 10" xfId="47"/>
    <cellStyle name="Normal 11" xfId="97"/>
    <cellStyle name="Normal 12" xfId="98"/>
    <cellStyle name="Normal 12 2" xfId="126"/>
    <cellStyle name="Normal 13" xfId="99"/>
    <cellStyle name="Normal 14" xfId="100"/>
    <cellStyle name="Normal 15" xfId="120"/>
    <cellStyle name="Normal 15 2" xfId="122"/>
    <cellStyle name="Normal 2" xfId="13"/>
    <cellStyle name="Normal 2 2" xfId="31"/>
    <cellStyle name="Normal 2 2 2" xfId="101"/>
    <cellStyle name="Normal 2 3" xfId="102"/>
    <cellStyle name="Normal 2 4" xfId="103"/>
    <cellStyle name="Normal 2 4 2" xfId="127"/>
    <cellStyle name="Normal 3" xfId="14"/>
    <cellStyle name="Normal 3 2" xfId="15"/>
    <cellStyle name="Normal 3 3" xfId="104"/>
    <cellStyle name="Normal 3 4" xfId="105"/>
    <cellStyle name="Normal 3 5" xfId="106"/>
    <cellStyle name="Normal 4" xfId="3"/>
    <cellStyle name="Normal 4 2" xfId="32"/>
    <cellStyle name="Normal 4 2 2" xfId="49"/>
    <cellStyle name="Normal 4 3" xfId="41"/>
    <cellStyle name="Normal 5" xfId="33"/>
    <cellStyle name="Normal 6" xfId="16"/>
    <cellStyle name="Normal 6 2" xfId="43"/>
    <cellStyle name="Normal 6 2 2" xfId="48"/>
    <cellStyle name="Normal 6 3" xfId="107"/>
    <cellStyle name="Normal 7" xfId="34"/>
    <cellStyle name="Normal 7 2" xfId="35"/>
    <cellStyle name="Normal 8" xfId="42"/>
    <cellStyle name="Normal 9" xfId="46"/>
    <cellStyle name="Note 2" xfId="108"/>
    <cellStyle name="Output 2" xfId="109"/>
    <cellStyle name="Percent" xfId="2" builtinId="5"/>
    <cellStyle name="Percent 2" xfId="17"/>
    <cellStyle name="Percent 2 2" xfId="110"/>
    <cellStyle name="Percent 2 3" xfId="128"/>
    <cellStyle name="Percent 3" xfId="4"/>
    <cellStyle name="Percent 3 2" xfId="111"/>
    <cellStyle name="Percent 4" xfId="18"/>
    <cellStyle name="Percent 4 2" xfId="19"/>
    <cellStyle name="Percent 5" xfId="20"/>
    <cellStyle name="Percent 5 2" xfId="112"/>
    <cellStyle name="Percent 6" xfId="40"/>
    <cellStyle name="Percent 6 2" xfId="113"/>
    <cellStyle name="Percent 6 3" xfId="114"/>
    <cellStyle name="Percent 7" xfId="45"/>
    <cellStyle name="Percent 8" xfId="115"/>
    <cellStyle name="Percent 9" xfId="116"/>
    <cellStyle name="Percent 9 2" xfId="129"/>
    <cellStyle name="Style 1" xfId="36"/>
    <cellStyle name="Style 2" xfId="37"/>
    <cellStyle name="Title 2" xfId="117"/>
    <cellStyle name="Total 2" xfId="118"/>
    <cellStyle name="Warning Text 2" xfId="119"/>
  </cellStyles>
  <dxfs count="0"/>
  <tableStyles count="0" defaultTableStyle="TableStyleMedium2" defaultPivotStyle="PivotStyleLight16"/>
  <colors>
    <mruColors>
      <color rgb="FFEFFC4A"/>
      <color rgb="FFFAFEC6"/>
      <color rgb="FFF9FEB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_Pricing/POS/Year%203%20Projects/Year%203%20Plan/Service%20Classes/Youth%20Intermediate%20Term%20Stabilization/3470%20DPH%20BSAS%20Youth%20Residential/YITS-DPH/YITS_DPH_Yr%203%20review_FY2010-2011_General%20Analysi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istrative%20Services-POS%20Policy%20Office/Rate%20Setting/Rate%20Projects/Family%20Stab_/1.%20Strategy%20Team%20Materials/Rate%20Review/Archive/Agency%20With%20Choice-Family%20Navigation%2011-7-14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W_Pricing\POS\Year%203%20Projects\Year%203%20Plan\Service%20Classes\Youth%20Intermediate%20Term%20Stabilization\3470%20DPH%20BSAS%20Youth%20Residential\YITS-DPH\YITS_DPH_Yr%203%20review_FY2010-2011_General%20Analysis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hus_madcfrmu\MA%20DYS\RRO\2016%20Provisional%202014%20Final\2.%20Staff%20Rosters\MA%20DYS%20RO%20Time%20Study%20Staff%20Roster%20Templat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JOBS\Waldinger%20Team\MA%20Chapter%20257%20Rates\Tier%203\Violence%20and%20Injury%20Prevention\DPH%20(Nathan)\3361%20Sexual%20Assualt%20Survivor%20&amp;%20Prev%20(SASP)\Analysis\old\DPH%20RCC%20Rate%20Development%20Workbook%201.19.16%20OL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alImpact"/>
      <sheetName val="Total Expenses=YR1 rate"/>
      <sheetName val="RateOptions"/>
      <sheetName val="GeogVar"/>
      <sheetName val="CostDrivers"/>
      <sheetName val="CostSummary"/>
      <sheetName val="CleanData"/>
      <sheetName val="RawDataCalcs"/>
      <sheetName val="RawContractData"/>
      <sheetName val="Source"/>
      <sheetName val="Benchmark Statistics"/>
      <sheetName val="CleanData (2)"/>
      <sheetName val="RawDataCalcs (2)"/>
      <sheetName val="Lookups"/>
      <sheetName val="Source1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Z4">
            <v>65246</v>
          </cell>
        </row>
      </sheetData>
      <sheetData sheetId="7">
        <row r="4">
          <cell r="A4" t="str">
            <v>Community Healthlink, Inc.</v>
          </cell>
        </row>
        <row r="12">
          <cell r="L12">
            <v>0</v>
          </cell>
          <cell r="M12">
            <v>0.47942206821686489</v>
          </cell>
          <cell r="N12">
            <v>0.59107516603638444</v>
          </cell>
          <cell r="O12">
            <v>0</v>
          </cell>
          <cell r="P12">
            <v>0.14716929384611976</v>
          </cell>
          <cell r="Q12">
            <v>0.77728942548679902</v>
          </cell>
          <cell r="R12">
            <v>3.9793460642052985</v>
          </cell>
          <cell r="S12">
            <v>0</v>
          </cell>
          <cell r="T12">
            <v>6.8799860627629245E-2</v>
          </cell>
          <cell r="U12">
            <v>0</v>
          </cell>
          <cell r="V12">
            <v>0</v>
          </cell>
          <cell r="W12">
            <v>5.5124194334010168E-2</v>
          </cell>
          <cell r="X12">
            <v>0.10885459283877919</v>
          </cell>
          <cell r="Y12">
            <v>2.6944466327065229E-2</v>
          </cell>
          <cell r="Z12">
            <v>37657.202763269961</v>
          </cell>
          <cell r="AA12">
            <v>41481.381742527206</v>
          </cell>
          <cell r="AB12">
            <v>0</v>
          </cell>
          <cell r="AC12">
            <v>23180.701871100842</v>
          </cell>
          <cell r="AD12">
            <v>0</v>
          </cell>
          <cell r="AE12">
            <v>0</v>
          </cell>
          <cell r="AF12">
            <v>17680</v>
          </cell>
          <cell r="AG12">
            <v>30932.575823280509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17680</v>
          </cell>
          <cell r="AO12">
            <v>34886.084346898184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29311.548012080879</v>
          </cell>
          <cell r="AX12">
            <v>24465.648402802188</v>
          </cell>
          <cell r="AY12">
            <v>0</v>
          </cell>
          <cell r="AZ12">
            <v>0</v>
          </cell>
          <cell r="BA12">
            <v>17680</v>
          </cell>
          <cell r="BB12">
            <v>0</v>
          </cell>
          <cell r="BC12">
            <v>19175.405214616003</v>
          </cell>
          <cell r="BD12">
            <v>30701.478943232476</v>
          </cell>
          <cell r="BE12">
            <v>17680</v>
          </cell>
          <cell r="BF12">
            <v>17680</v>
          </cell>
          <cell r="BG12">
            <v>20600.958294636763</v>
          </cell>
          <cell r="BH12">
            <v>17680</v>
          </cell>
          <cell r="BI12">
            <v>17680</v>
          </cell>
          <cell r="BJ12">
            <v>17680</v>
          </cell>
          <cell r="BK12">
            <v>0</v>
          </cell>
          <cell r="BL12">
            <v>26322.226006430636</v>
          </cell>
          <cell r="BM12">
            <v>17680</v>
          </cell>
          <cell r="BN12">
            <v>38685.831484193477</v>
          </cell>
          <cell r="BO12">
            <v>23961.524385988574</v>
          </cell>
          <cell r="BP12">
            <v>30587.443549548538</v>
          </cell>
          <cell r="BQ12">
            <v>30374.501516037635</v>
          </cell>
          <cell r="BR12">
            <v>24065.321450444375</v>
          </cell>
          <cell r="BS12">
            <v>17680</v>
          </cell>
          <cell r="BT12">
            <v>31503.545017618279</v>
          </cell>
          <cell r="BU12">
            <v>0.10875010040212529</v>
          </cell>
          <cell r="BV12">
            <v>-665.86045161233085</v>
          </cell>
          <cell r="BW12">
            <v>30515.853243324513</v>
          </cell>
          <cell r="BX12">
            <v>-16660.640829909837</v>
          </cell>
          <cell r="BY12">
            <v>-9135.1790957685735</v>
          </cell>
          <cell r="BZ12">
            <v>32296.395852713424</v>
          </cell>
          <cell r="CA12">
            <v>334845.21992346627</v>
          </cell>
          <cell r="CB12">
            <v>0.10234530988206607</v>
          </cell>
          <cell r="CC12">
            <v>28765.51864806415</v>
          </cell>
          <cell r="CD12">
            <v>-5284.7957360897844</v>
          </cell>
          <cell r="CE12">
            <v>-25513.097684307293</v>
          </cell>
          <cell r="CF12">
            <v>-18906.352557716724</v>
          </cell>
          <cell r="CG12">
            <v>104276.06801952093</v>
          </cell>
          <cell r="CH12">
            <v>-14888.551594883442</v>
          </cell>
          <cell r="CI12">
            <v>216681.70258684226</v>
          </cell>
          <cell r="CJ12">
            <v>30515.853243324513</v>
          </cell>
          <cell r="CK12">
            <v>37966.399759004111</v>
          </cell>
          <cell r="CL12">
            <v>-9135.1790957685735</v>
          </cell>
          <cell r="CM12">
            <v>-8350.2509393528308</v>
          </cell>
          <cell r="CN12">
            <v>32296.395852713424</v>
          </cell>
          <cell r="CO12">
            <v>349550.20301367302</v>
          </cell>
          <cell r="CP12">
            <v>0.42294613762647371</v>
          </cell>
          <cell r="CQ12">
            <v>7.35905594988258E-2</v>
          </cell>
          <cell r="CR12">
            <v>8.2962594909753024E-2</v>
          </cell>
          <cell r="CS12">
            <v>1.7892516626277867E-2</v>
          </cell>
          <cell r="CT12">
            <v>-2.4732885317140137E-3</v>
          </cell>
          <cell r="CU12">
            <v>0.10586298753888759</v>
          </cell>
          <cell r="CV12">
            <v>42.600838212563545</v>
          </cell>
          <cell r="CW12">
            <v>5.3071657252094475</v>
          </cell>
          <cell r="CX12">
            <v>9.4706980108063252</v>
          </cell>
          <cell r="CY12">
            <v>-1.1700110965968467</v>
          </cell>
          <cell r="CZ12">
            <v>0.97393317189613549</v>
          </cell>
          <cell r="DA12">
            <v>13.160797782723682</v>
          </cell>
          <cell r="DB12">
            <v>80.826561365641552</v>
          </cell>
        </row>
        <row r="13">
          <cell r="L13">
            <v>22.480065146407</v>
          </cell>
          <cell r="M13">
            <v>1.0747456362248122</v>
          </cell>
          <cell r="N13">
            <v>2.7329248339636161</v>
          </cell>
          <cell r="O13">
            <v>0.29078784028338911</v>
          </cell>
          <cell r="P13">
            <v>3.2028307061538803</v>
          </cell>
          <cell r="Q13">
            <v>1.222710574513201</v>
          </cell>
          <cell r="R13">
            <v>16.372653935794702</v>
          </cell>
          <cell r="S13">
            <v>1.8165771771769958</v>
          </cell>
          <cell r="T13">
            <v>0.2110486242208556</v>
          </cell>
          <cell r="U13">
            <v>3.4194407243989366E-2</v>
          </cell>
          <cell r="V13">
            <v>0.29486276909909559</v>
          </cell>
          <cell r="W13">
            <v>7.0209138999323156E-2</v>
          </cell>
          <cell r="X13">
            <v>1.5136605586763723</v>
          </cell>
          <cell r="Y13">
            <v>5.6085836703237808E-2</v>
          </cell>
          <cell r="Z13">
            <v>72052.353271212793</v>
          </cell>
          <cell r="AA13">
            <v>117026.19825747277</v>
          </cell>
          <cell r="AB13">
            <v>0</v>
          </cell>
          <cell r="AC13">
            <v>67914.273684454718</v>
          </cell>
          <cell r="AD13">
            <v>0</v>
          </cell>
          <cell r="AE13">
            <v>0</v>
          </cell>
          <cell r="AF13">
            <v>53455.555555555555</v>
          </cell>
          <cell r="AG13">
            <v>131907.42417671951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33021.102040816324</v>
          </cell>
          <cell r="AO13">
            <v>40539.29362929229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41423.482202344065</v>
          </cell>
          <cell r="AX13">
            <v>45416.588620337287</v>
          </cell>
          <cell r="AY13">
            <v>0</v>
          </cell>
          <cell r="AZ13">
            <v>0</v>
          </cell>
          <cell r="BA13">
            <v>46311.377761028903</v>
          </cell>
          <cell r="BB13">
            <v>0</v>
          </cell>
          <cell r="BC13">
            <v>49620.594785383997</v>
          </cell>
          <cell r="BD13">
            <v>38093.165287536744</v>
          </cell>
          <cell r="BE13">
            <v>40410.526315789473</v>
          </cell>
          <cell r="BF13">
            <v>37251.243231968059</v>
          </cell>
          <cell r="BG13">
            <v>22717.334880124985</v>
          </cell>
          <cell r="BH13">
            <v>43556.327965630728</v>
          </cell>
          <cell r="BI13">
            <v>25381.428571428572</v>
          </cell>
          <cell r="BJ13">
            <v>23444.833333333336</v>
          </cell>
          <cell r="BK13">
            <v>0</v>
          </cell>
          <cell r="BL13">
            <v>37511.068903385298</v>
          </cell>
          <cell r="BM13">
            <v>93123.892778139023</v>
          </cell>
          <cell r="BN13">
            <v>75161.12445450385</v>
          </cell>
          <cell r="BO13">
            <v>120235.51265104848</v>
          </cell>
          <cell r="BP13">
            <v>39356.546406253517</v>
          </cell>
          <cell r="BQ13">
            <v>41923.151828633563</v>
          </cell>
          <cell r="BR13">
            <v>34860.115494120335</v>
          </cell>
          <cell r="BS13">
            <v>39268.080811067135</v>
          </cell>
          <cell r="BT13">
            <v>163298.52298238172</v>
          </cell>
          <cell r="BU13">
            <v>0.30951402011544682</v>
          </cell>
          <cell r="BV13">
            <v>1049.4056009049723</v>
          </cell>
          <cell r="BW13">
            <v>163902.66960738285</v>
          </cell>
          <cell r="BX13">
            <v>33115.928829909841</v>
          </cell>
          <cell r="BY13">
            <v>128723.77509576856</v>
          </cell>
          <cell r="BZ13">
            <v>235075.35593657917</v>
          </cell>
          <cell r="CA13">
            <v>1129686.2829272412</v>
          </cell>
          <cell r="CB13">
            <v>0.26182901402968572</v>
          </cell>
          <cell r="CC13">
            <v>147377.24535193585</v>
          </cell>
          <cell r="CD13">
            <v>16435.075736089784</v>
          </cell>
          <cell r="CE13">
            <v>121361.9336843073</v>
          </cell>
          <cell r="CF13">
            <v>62410.420557716723</v>
          </cell>
          <cell r="CG13">
            <v>413661.7199804791</v>
          </cell>
          <cell r="CH13">
            <v>40855.207594883439</v>
          </cell>
          <cell r="CI13">
            <v>653868.68941315776</v>
          </cell>
          <cell r="CJ13">
            <v>163902.66960738285</v>
          </cell>
          <cell r="CK13">
            <v>142570.37624099589</v>
          </cell>
          <cell r="CL13">
            <v>128723.77509576856</v>
          </cell>
          <cell r="CM13">
            <v>42639.914939352835</v>
          </cell>
          <cell r="CN13">
            <v>235075.35593657917</v>
          </cell>
          <cell r="CO13">
            <v>1317205.4996263271</v>
          </cell>
          <cell r="CP13">
            <v>0.63910146780055677</v>
          </cell>
          <cell r="CQ13">
            <v>0.15684808047742871</v>
          </cell>
          <cell r="CR13">
            <v>0.13469498808628508</v>
          </cell>
          <cell r="CS13">
            <v>0.11500826593670618</v>
          </cell>
          <cell r="CT13">
            <v>4.1578822468167242E-2</v>
          </cell>
          <cell r="CU13">
            <v>0.2119868675623521</v>
          </cell>
          <cell r="CV13">
            <v>143.50182671064113</v>
          </cell>
          <cell r="CW13">
            <v>32.845811714322963</v>
          </cell>
          <cell r="CX13">
            <v>28.993534782884005</v>
          </cell>
          <cell r="CY13">
            <v>22.748648622541225</v>
          </cell>
          <cell r="CZ13">
            <v>4.0384890780000875</v>
          </cell>
          <cell r="DA13">
            <v>37.670291443995474</v>
          </cell>
          <cell r="DB13">
            <v>259.3154627933456</v>
          </cell>
        </row>
      </sheetData>
      <sheetData sheetId="8">
        <row r="4">
          <cell r="BO4">
            <v>1</v>
          </cell>
        </row>
      </sheetData>
      <sheetData sheetId="9">
        <row r="3">
          <cell r="A3" t="str">
            <v>Community Healthlink, Inc.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alImpact"/>
      <sheetName val="RateOptions"/>
      <sheetName val="GeogVar"/>
      <sheetName val="CostDrivers"/>
      <sheetName val="CostSummary"/>
      <sheetName val="CleanData"/>
      <sheetName val="CleanData (2)"/>
      <sheetName val="RawDataCalcs (2)"/>
      <sheetName val="Lookups"/>
      <sheetName val="RawDataCalcs"/>
      <sheetName val="Source"/>
      <sheetName val="FICurrentRate"/>
      <sheetName val="Model Budget"/>
      <sheetName val="Worksheet"/>
      <sheetName val="FamStabSala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6">
          <cell r="L16">
            <v>0</v>
          </cell>
          <cell r="M16">
            <v>1.2139698974996782E-2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17680</v>
          </cell>
          <cell r="AA16">
            <v>0</v>
          </cell>
          <cell r="AB16">
            <v>105576.11844574883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17680</v>
          </cell>
          <cell r="BE16">
            <v>0</v>
          </cell>
          <cell r="BF16">
            <v>0</v>
          </cell>
          <cell r="BG16">
            <v>0</v>
          </cell>
          <cell r="BH16">
            <v>17680</v>
          </cell>
          <cell r="BI16">
            <v>0</v>
          </cell>
          <cell r="BJ16">
            <v>0</v>
          </cell>
          <cell r="BK16">
            <v>0</v>
          </cell>
          <cell r="BL16">
            <v>17680</v>
          </cell>
          <cell r="BM16">
            <v>0</v>
          </cell>
          <cell r="BN16">
            <v>17680</v>
          </cell>
          <cell r="BO16">
            <v>0</v>
          </cell>
          <cell r="BP16">
            <v>0</v>
          </cell>
          <cell r="BQ16">
            <v>0</v>
          </cell>
          <cell r="BR16">
            <v>17680</v>
          </cell>
          <cell r="BS16">
            <v>17680</v>
          </cell>
          <cell r="BT16">
            <v>-39873.996502157926</v>
          </cell>
          <cell r="BU16">
            <v>6.2242076161676985E-2</v>
          </cell>
          <cell r="BV16">
            <v>-11.437455797342871</v>
          </cell>
          <cell r="BW16">
            <v>-39859.701549495061</v>
          </cell>
          <cell r="BX16">
            <v>0</v>
          </cell>
          <cell r="BY16">
            <v>-321.11111111111109</v>
          </cell>
          <cell r="BZ16">
            <v>-41042.440256691923</v>
          </cell>
          <cell r="CA16">
            <v>-251770.26943483832</v>
          </cell>
          <cell r="CB16">
            <v>8.8729109375923237E-2</v>
          </cell>
          <cell r="CC16">
            <v>-23544.303378043831</v>
          </cell>
          <cell r="CD16">
            <v>0</v>
          </cell>
          <cell r="CE16">
            <v>0</v>
          </cell>
          <cell r="CF16">
            <v>0</v>
          </cell>
          <cell r="CG16">
            <v>-159694.9032558178</v>
          </cell>
          <cell r="CH16">
            <v>-4130.6725103641575</v>
          </cell>
          <cell r="CI16">
            <v>-186781.66945053823</v>
          </cell>
          <cell r="CJ16">
            <v>-39859.701549495061</v>
          </cell>
          <cell r="CK16">
            <v>-25547.777777777781</v>
          </cell>
          <cell r="CL16">
            <v>-321.11111111111109</v>
          </cell>
          <cell r="CM16">
            <v>-6940</v>
          </cell>
          <cell r="CN16">
            <v>-41042.440256691923</v>
          </cell>
          <cell r="CO16">
            <v>-292811.73882543447</v>
          </cell>
          <cell r="CP16">
            <v>0.61656919283408007</v>
          </cell>
          <cell r="CQ16">
            <v>5.1803668216236075E-2</v>
          </cell>
          <cell r="CR16">
            <v>0</v>
          </cell>
          <cell r="CS16">
            <v>0</v>
          </cell>
          <cell r="CT16">
            <v>0</v>
          </cell>
          <cell r="CU16">
            <v>8.2503417604680995E-2</v>
          </cell>
          <cell r="CV16">
            <v>-136.37044168758831</v>
          </cell>
          <cell r="CW16">
            <v>-7.9673250520136634</v>
          </cell>
          <cell r="CX16">
            <v>-3.9756890410485179</v>
          </cell>
          <cell r="CY16">
            <v>-4.9970605526161088E-2</v>
          </cell>
          <cell r="CZ16">
            <v>-1.0799875505757857</v>
          </cell>
          <cell r="DA16">
            <v>-17.30948263843479</v>
          </cell>
          <cell r="DB16">
            <v>-163.89396590439674</v>
          </cell>
        </row>
        <row r="17">
          <cell r="L17">
            <v>13.715630301246565</v>
          </cell>
          <cell r="M17">
            <v>1.5606998071978428</v>
          </cell>
          <cell r="N17">
            <v>0.94922482111054507</v>
          </cell>
          <cell r="O17">
            <v>0</v>
          </cell>
          <cell r="P17">
            <v>0</v>
          </cell>
          <cell r="Q17">
            <v>0</v>
          </cell>
          <cell r="R17">
            <v>12.278325920854748</v>
          </cell>
          <cell r="S17">
            <v>0.26594159209584445</v>
          </cell>
          <cell r="T17">
            <v>9.3352270138168464E-2</v>
          </cell>
          <cell r="U17">
            <v>0</v>
          </cell>
          <cell r="V17">
            <v>0</v>
          </cell>
          <cell r="W17">
            <v>0</v>
          </cell>
          <cell r="X17">
            <v>3.5337729155301019</v>
          </cell>
          <cell r="Y17">
            <v>1.0843633294937423</v>
          </cell>
          <cell r="Z17">
            <v>635149.05965226574</v>
          </cell>
          <cell r="AA17">
            <v>0</v>
          </cell>
          <cell r="AB17">
            <v>289423.88155425119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95399.979722212971</v>
          </cell>
          <cell r="BE17">
            <v>0</v>
          </cell>
          <cell r="BF17">
            <v>0</v>
          </cell>
          <cell r="BG17">
            <v>0</v>
          </cell>
          <cell r="BH17">
            <v>149082.9837242121</v>
          </cell>
          <cell r="BI17">
            <v>0</v>
          </cell>
          <cell r="BJ17">
            <v>0</v>
          </cell>
          <cell r="BK17">
            <v>0</v>
          </cell>
          <cell r="BL17">
            <v>110054.81441723154</v>
          </cell>
          <cell r="BM17">
            <v>0</v>
          </cell>
          <cell r="BN17">
            <v>400007.34183446097</v>
          </cell>
          <cell r="BO17">
            <v>0</v>
          </cell>
          <cell r="BP17">
            <v>0</v>
          </cell>
          <cell r="BQ17">
            <v>0</v>
          </cell>
          <cell r="BR17">
            <v>87486.515622537816</v>
          </cell>
          <cell r="BS17">
            <v>149082.9837242121</v>
          </cell>
          <cell r="BT17">
            <v>64201.596502157932</v>
          </cell>
          <cell r="BU17">
            <v>0.23470344685741057</v>
          </cell>
          <cell r="BV17">
            <v>16.01243811628002</v>
          </cell>
          <cell r="BW17">
            <v>64179.066581320978</v>
          </cell>
          <cell r="BX17">
            <v>0</v>
          </cell>
          <cell r="BY17">
            <v>449.55555555555554</v>
          </cell>
          <cell r="BZ17">
            <v>58166.527683455301</v>
          </cell>
          <cell r="CA17">
            <v>358246.58334140829</v>
          </cell>
          <cell r="CB17">
            <v>0.18701432287169942</v>
          </cell>
          <cell r="CC17">
            <v>33444.303378043827</v>
          </cell>
          <cell r="CD17">
            <v>0</v>
          </cell>
          <cell r="CE17">
            <v>0</v>
          </cell>
          <cell r="CF17">
            <v>0</v>
          </cell>
          <cell r="CG17">
            <v>227049.79214470668</v>
          </cell>
          <cell r="CH17">
            <v>6717.7836214752688</v>
          </cell>
          <cell r="CI17">
            <v>266623.66945053823</v>
          </cell>
          <cell r="CJ17">
            <v>64179.066581320978</v>
          </cell>
          <cell r="CK17">
            <v>35766.888888888891</v>
          </cell>
          <cell r="CL17">
            <v>449.55555555555554</v>
          </cell>
          <cell r="CM17">
            <v>9716</v>
          </cell>
          <cell r="CN17">
            <v>58166.527683455301</v>
          </cell>
          <cell r="CO17">
            <v>416412.14015876781</v>
          </cell>
          <cell r="CP17">
            <v>0.87831108535723879</v>
          </cell>
          <cell r="CQ17">
            <v>0.16744893411282175</v>
          </cell>
          <cell r="CR17">
            <v>0</v>
          </cell>
          <cell r="CS17">
            <v>0</v>
          </cell>
          <cell r="CT17">
            <v>0</v>
          </cell>
          <cell r="CU17">
            <v>0.15916705613811943</v>
          </cell>
          <cell r="CV17">
            <v>243.99908573780101</v>
          </cell>
          <cell r="CW17">
            <v>32.103055682549908</v>
          </cell>
          <cell r="CX17">
            <v>5.5659646574679247</v>
          </cell>
          <cell r="CY17">
            <v>6.9958847736625515E-2</v>
          </cell>
          <cell r="CZ17">
            <v>1.5119825708061001</v>
          </cell>
          <cell r="DA17">
            <v>32.83724687471225</v>
          </cell>
          <cell r="DB17">
            <v>302.50137230893381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alImpact"/>
      <sheetName val="Total Expenses=YR1 rate"/>
      <sheetName val="RateOptions"/>
      <sheetName val="GeogVar"/>
      <sheetName val="CostDrivers"/>
      <sheetName val="CostSummary"/>
      <sheetName val="CleanData"/>
      <sheetName val="RawDataCalcs"/>
      <sheetName val="RawContractData"/>
      <sheetName val="Source"/>
      <sheetName val="Benchmark Statistics"/>
      <sheetName val="CleanData (2)"/>
      <sheetName val="RawDataCalcs (2)"/>
      <sheetName val="Lookups"/>
      <sheetName val="Sourc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2">
          <cell r="L12">
            <v>0</v>
          </cell>
          <cell r="M12">
            <v>0.47942206821686489</v>
          </cell>
          <cell r="N12">
            <v>0.59107516603638444</v>
          </cell>
          <cell r="O12">
            <v>0</v>
          </cell>
          <cell r="P12">
            <v>0.14716929384611976</v>
          </cell>
          <cell r="Q12">
            <v>0.77728942548679902</v>
          </cell>
          <cell r="R12">
            <v>3.9793460642052985</v>
          </cell>
          <cell r="S12">
            <v>0</v>
          </cell>
          <cell r="T12">
            <v>6.8799860627629245E-2</v>
          </cell>
          <cell r="U12">
            <v>0</v>
          </cell>
          <cell r="V12">
            <v>0</v>
          </cell>
          <cell r="W12">
            <v>5.5124194334010168E-2</v>
          </cell>
          <cell r="X12">
            <v>0.10885459283877919</v>
          </cell>
          <cell r="Y12">
            <v>2.6944466327065229E-2</v>
          </cell>
          <cell r="Z12">
            <v>37657.202763269961</v>
          </cell>
          <cell r="AA12">
            <v>41481.381742527206</v>
          </cell>
          <cell r="AB12">
            <v>0</v>
          </cell>
          <cell r="AC12">
            <v>23180.701871100842</v>
          </cell>
          <cell r="AD12">
            <v>0</v>
          </cell>
          <cell r="AE12">
            <v>0</v>
          </cell>
          <cell r="AF12">
            <v>17680</v>
          </cell>
          <cell r="AG12">
            <v>30932.575823280509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17680</v>
          </cell>
          <cell r="AO12">
            <v>34886.084346898184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29311.548012080879</v>
          </cell>
          <cell r="AX12">
            <v>24465.648402802188</v>
          </cell>
          <cell r="AY12">
            <v>0</v>
          </cell>
          <cell r="AZ12">
            <v>0</v>
          </cell>
          <cell r="BA12">
            <v>17680</v>
          </cell>
          <cell r="BB12">
            <v>0</v>
          </cell>
          <cell r="BC12">
            <v>19175.405214616003</v>
          </cell>
          <cell r="BD12">
            <v>30701.478943232476</v>
          </cell>
          <cell r="BE12">
            <v>17680</v>
          </cell>
          <cell r="BF12">
            <v>17680</v>
          </cell>
          <cell r="BG12">
            <v>20600.958294636763</v>
          </cell>
          <cell r="BH12">
            <v>17680</v>
          </cell>
          <cell r="BI12">
            <v>17680</v>
          </cell>
          <cell r="BJ12">
            <v>17680</v>
          </cell>
          <cell r="BK12">
            <v>0</v>
          </cell>
          <cell r="BL12">
            <v>26322.226006430636</v>
          </cell>
          <cell r="BM12">
            <v>17680</v>
          </cell>
          <cell r="BN12">
            <v>38685.831484193477</v>
          </cell>
          <cell r="BO12">
            <v>23961.524385988574</v>
          </cell>
          <cell r="BP12">
            <v>30587.443549548538</v>
          </cell>
          <cell r="BQ12">
            <v>30374.501516037635</v>
          </cell>
          <cell r="BR12">
            <v>24065.321450444375</v>
          </cell>
          <cell r="BS12">
            <v>17680</v>
          </cell>
          <cell r="BT12">
            <v>31503.545017618279</v>
          </cell>
          <cell r="BU12">
            <v>0.10875010040212529</v>
          </cell>
          <cell r="BV12">
            <v>-665.86045161233085</v>
          </cell>
          <cell r="BW12">
            <v>30515.853243324513</v>
          </cell>
          <cell r="BX12">
            <v>-16660.640829909837</v>
          </cell>
          <cell r="BY12">
            <v>-9135.1790957685735</v>
          </cell>
          <cell r="BZ12">
            <v>32296.395852713424</v>
          </cell>
          <cell r="CA12">
            <v>334845.21992346627</v>
          </cell>
          <cell r="CB12">
            <v>0.10234530988206607</v>
          </cell>
          <cell r="CC12">
            <v>28765.51864806415</v>
          </cell>
          <cell r="CD12">
            <v>-5284.7957360897844</v>
          </cell>
          <cell r="CE12">
            <v>-25513.097684307293</v>
          </cell>
          <cell r="CF12">
            <v>-18906.352557716724</v>
          </cell>
          <cell r="CG12">
            <v>104276.06801952093</v>
          </cell>
          <cell r="CH12">
            <v>-14888.551594883442</v>
          </cell>
          <cell r="CI12">
            <v>216681.70258684226</v>
          </cell>
          <cell r="CJ12">
            <v>30515.853243324513</v>
          </cell>
          <cell r="CK12">
            <v>37966.399759004111</v>
          </cell>
          <cell r="CL12">
            <v>-9135.1790957685735</v>
          </cell>
          <cell r="CM12">
            <v>-8350.2509393528308</v>
          </cell>
          <cell r="CN12">
            <v>32296.395852713424</v>
          </cell>
          <cell r="CO12">
            <v>349550.20301367302</v>
          </cell>
          <cell r="CP12">
            <v>0.42294613762647371</v>
          </cell>
          <cell r="CQ12">
            <v>7.35905594988258E-2</v>
          </cell>
          <cell r="CR12">
            <v>8.2962594909753024E-2</v>
          </cell>
          <cell r="CS12">
            <v>1.7892516626277867E-2</v>
          </cell>
          <cell r="CT12">
            <v>-2.4732885317140137E-3</v>
          </cell>
          <cell r="CU12">
            <v>0.10586298753888759</v>
          </cell>
          <cell r="CV12">
            <v>42.600838212563545</v>
          </cell>
          <cell r="CW12">
            <v>5.3071657252094475</v>
          </cell>
          <cell r="CX12">
            <v>9.4706980108063252</v>
          </cell>
          <cell r="CY12">
            <v>-1.1700110965968467</v>
          </cell>
          <cell r="CZ12">
            <v>0.97393317189613549</v>
          </cell>
          <cell r="DA12">
            <v>13.160797782723682</v>
          </cell>
          <cell r="DB12">
            <v>80.826561365641552</v>
          </cell>
        </row>
        <row r="13">
          <cell r="L13">
            <v>22.480065146407</v>
          </cell>
          <cell r="M13">
            <v>1.0747456362248122</v>
          </cell>
          <cell r="N13">
            <v>2.7329248339636161</v>
          </cell>
          <cell r="O13">
            <v>0.29078784028338911</v>
          </cell>
          <cell r="P13">
            <v>3.2028307061538803</v>
          </cell>
          <cell r="Q13">
            <v>1.222710574513201</v>
          </cell>
          <cell r="R13">
            <v>16.372653935794702</v>
          </cell>
          <cell r="S13">
            <v>1.8165771771769958</v>
          </cell>
          <cell r="T13">
            <v>0.2110486242208556</v>
          </cell>
          <cell r="U13">
            <v>3.4194407243989366E-2</v>
          </cell>
          <cell r="V13">
            <v>0.29486276909909559</v>
          </cell>
          <cell r="W13">
            <v>7.0209138999323156E-2</v>
          </cell>
          <cell r="X13">
            <v>1.5136605586763723</v>
          </cell>
          <cell r="Y13">
            <v>5.6085836703237808E-2</v>
          </cell>
          <cell r="Z13">
            <v>72052.353271212793</v>
          </cell>
          <cell r="AA13">
            <v>117026.19825747277</v>
          </cell>
          <cell r="AB13">
            <v>0</v>
          </cell>
          <cell r="AC13">
            <v>67914.273684454718</v>
          </cell>
          <cell r="AD13">
            <v>0</v>
          </cell>
          <cell r="AE13">
            <v>0</v>
          </cell>
          <cell r="AF13">
            <v>53455.555555555555</v>
          </cell>
          <cell r="AG13">
            <v>131907.42417671951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33021.102040816324</v>
          </cell>
          <cell r="AO13">
            <v>40539.29362929229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41423.482202344065</v>
          </cell>
          <cell r="AX13">
            <v>45416.588620337287</v>
          </cell>
          <cell r="AY13">
            <v>0</v>
          </cell>
          <cell r="AZ13">
            <v>0</v>
          </cell>
          <cell r="BA13">
            <v>46311.377761028903</v>
          </cell>
          <cell r="BB13">
            <v>0</v>
          </cell>
          <cell r="BC13">
            <v>49620.594785383997</v>
          </cell>
          <cell r="BD13">
            <v>38093.165287536744</v>
          </cell>
          <cell r="BE13">
            <v>40410.526315789473</v>
          </cell>
          <cell r="BF13">
            <v>37251.243231968059</v>
          </cell>
          <cell r="BG13">
            <v>22717.334880124985</v>
          </cell>
          <cell r="BH13">
            <v>43556.327965630728</v>
          </cell>
          <cell r="BI13">
            <v>25381.428571428572</v>
          </cell>
          <cell r="BJ13">
            <v>23444.833333333336</v>
          </cell>
          <cell r="BK13">
            <v>0</v>
          </cell>
          <cell r="BL13">
            <v>37511.068903385298</v>
          </cell>
          <cell r="BM13">
            <v>93123.892778139023</v>
          </cell>
          <cell r="BN13">
            <v>75161.12445450385</v>
          </cell>
          <cell r="BO13">
            <v>120235.51265104848</v>
          </cell>
          <cell r="BP13">
            <v>39356.546406253517</v>
          </cell>
          <cell r="BQ13">
            <v>41923.151828633563</v>
          </cell>
          <cell r="BR13">
            <v>34860.115494120335</v>
          </cell>
          <cell r="BS13">
            <v>39268.080811067135</v>
          </cell>
          <cell r="BT13">
            <v>163298.52298238172</v>
          </cell>
          <cell r="BU13">
            <v>0.30951402011544682</v>
          </cell>
          <cell r="BV13">
            <v>1049.4056009049723</v>
          </cell>
          <cell r="BW13">
            <v>163902.66960738285</v>
          </cell>
          <cell r="BX13">
            <v>33115.928829909841</v>
          </cell>
          <cell r="BY13">
            <v>128723.77509576856</v>
          </cell>
          <cell r="BZ13">
            <v>235075.35593657917</v>
          </cell>
          <cell r="CA13">
            <v>1129686.2829272412</v>
          </cell>
          <cell r="CB13">
            <v>0.26182901402968572</v>
          </cell>
          <cell r="CC13">
            <v>147377.24535193585</v>
          </cell>
          <cell r="CD13">
            <v>16435.075736089784</v>
          </cell>
          <cell r="CE13">
            <v>121361.9336843073</v>
          </cell>
          <cell r="CF13">
            <v>62410.420557716723</v>
          </cell>
          <cell r="CG13">
            <v>413661.7199804791</v>
          </cell>
          <cell r="CH13">
            <v>40855.207594883439</v>
          </cell>
          <cell r="CI13">
            <v>653868.68941315776</v>
          </cell>
          <cell r="CJ13">
            <v>163902.66960738285</v>
          </cell>
          <cell r="CK13">
            <v>142570.37624099589</v>
          </cell>
          <cell r="CL13">
            <v>128723.77509576856</v>
          </cell>
          <cell r="CM13">
            <v>42639.914939352835</v>
          </cell>
          <cell r="CN13">
            <v>235075.35593657917</v>
          </cell>
          <cell r="CO13">
            <v>1317205.4996263271</v>
          </cell>
          <cell r="CP13">
            <v>0.63910146780055677</v>
          </cell>
          <cell r="CQ13">
            <v>0.15684808047742871</v>
          </cell>
          <cell r="CR13">
            <v>0.13469498808628508</v>
          </cell>
          <cell r="CS13">
            <v>0.11500826593670618</v>
          </cell>
          <cell r="CT13">
            <v>4.1578822468167242E-2</v>
          </cell>
          <cell r="CU13">
            <v>0.2119868675623521</v>
          </cell>
          <cell r="CV13">
            <v>143.50182671064113</v>
          </cell>
          <cell r="CW13">
            <v>32.845811714322963</v>
          </cell>
          <cell r="CX13">
            <v>28.993534782884005</v>
          </cell>
          <cell r="CY13">
            <v>22.748648622541225</v>
          </cell>
          <cell r="CZ13">
            <v>4.0384890780000875</v>
          </cell>
          <cell r="DA13">
            <v>37.670291443995474</v>
          </cell>
          <cell r="DB13">
            <v>259.3154627933456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FR Staff Roster"/>
      <sheetName val="Complete UFR List"/>
      <sheetName val="List of Programs"/>
    </sheetNames>
    <sheetDataSet>
      <sheetData sheetId="0"/>
      <sheetData sheetId="1"/>
      <sheetData sheetId="2">
        <row r="3">
          <cell r="B3" t="str">
            <v>Adira Academy</v>
          </cell>
        </row>
        <row r="4">
          <cell r="B4" t="str">
            <v>Alliance House</v>
          </cell>
        </row>
        <row r="5">
          <cell r="B5" t="str">
            <v>Amesbury Assessment</v>
          </cell>
        </row>
        <row r="6">
          <cell r="B6" t="str">
            <v>Brewster Treatment Program</v>
          </cell>
        </row>
        <row r="7">
          <cell r="B7" t="str">
            <v>Brockton Boys Assessment and Stabilizaton</v>
          </cell>
        </row>
        <row r="8">
          <cell r="B8" t="str">
            <v>Brockton Revocation</v>
          </cell>
        </row>
        <row r="9">
          <cell r="B9" t="str">
            <v>Douglas Academy</v>
          </cell>
        </row>
        <row r="10">
          <cell r="B10" t="str">
            <v>Eliot Pearl Hill Academy</v>
          </cell>
        </row>
        <row r="11">
          <cell r="B11" t="str">
            <v>Eliot Short-term Treatment</v>
          </cell>
        </row>
        <row r="12">
          <cell r="B12" t="str">
            <v>Harvard House</v>
          </cell>
        </row>
        <row r="13">
          <cell r="B13" t="str">
            <v>Bright Futures</v>
          </cell>
        </row>
        <row r="14">
          <cell r="B14" t="str">
            <v>New River Academy</v>
          </cell>
        </row>
        <row r="15">
          <cell r="B15" t="str">
            <v xml:space="preserve">Our House </v>
          </cell>
        </row>
        <row r="16">
          <cell r="B16" t="str">
            <v>South Hadley Girls</v>
          </cell>
        </row>
        <row r="17">
          <cell r="B17" t="str">
            <v>Spectrum REACH</v>
          </cell>
        </row>
        <row r="18">
          <cell r="B18" t="str">
            <v>Strive</v>
          </cell>
        </row>
        <row r="19">
          <cell r="B19" t="str">
            <v>Teamworks</v>
          </cell>
        </row>
        <row r="24">
          <cell r="A24" t="str">
            <v>Eliot Community Human Services</v>
          </cell>
        </row>
        <row r="25">
          <cell r="A25" t="str">
            <v>Northeast Family Institute</v>
          </cell>
        </row>
        <row r="26">
          <cell r="A26" t="str">
            <v>Old Colony YMCA</v>
          </cell>
        </row>
        <row r="27">
          <cell r="A27" t="str">
            <v>Spectrum Health Systems, Inc.</v>
          </cell>
        </row>
        <row r="28">
          <cell r="A28" t="str">
            <v>Key Program, Inc.</v>
          </cell>
        </row>
        <row r="29">
          <cell r="A29" t="str">
            <v>RFK Girls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1. FY15 UFR - Aggregate"/>
      <sheetName val="1. FY15 UFR - Pivot"/>
      <sheetName val="2a. FY13 Units"/>
      <sheetName val="3. CAF Spring 2015"/>
      <sheetName val="2b. Staff %"/>
      <sheetName val="2c. Service Length"/>
      <sheetName val="2d. FTE"/>
      <sheetName val="2e. Volunteers"/>
      <sheetName val="Workspace 1"/>
      <sheetName val="Workspace 2"/>
      <sheetName val="4. Rate Calculations"/>
      <sheetName val="Complete UFR List"/>
      <sheetName val="5. Fiscal Impact"/>
      <sheetName val="BARCC"/>
      <sheetName val="Center for H&amp;H"/>
      <sheetName val="Eliz. F."/>
      <sheetName val="Health Imp."/>
      <sheetName val="Ind. House"/>
      <sheetName val="Marthas Vineyard CS"/>
      <sheetName val="NELCWIT"/>
      <sheetName val="New Hope"/>
      <sheetName val="Pathways for Change"/>
      <sheetName val="Safe Place"/>
      <sheetName val="South Middlesex"/>
      <sheetName val="Wayside Y&amp;F"/>
      <sheetName val="YWCA Lawrence"/>
      <sheetName val="YWCA Western MA"/>
    </sheetNames>
    <sheetDataSet>
      <sheetData sheetId="0"/>
      <sheetData sheetId="1"/>
      <sheetData sheetId="2"/>
      <sheetData sheetId="3"/>
      <sheetData sheetId="4"/>
      <sheetData sheetId="5"/>
      <sheetData sheetId="6">
        <row r="16">
          <cell r="C16">
            <v>1.25</v>
          </cell>
        </row>
      </sheetData>
      <sheetData sheetId="7"/>
      <sheetData sheetId="8"/>
      <sheetData sheetId="9"/>
      <sheetData sheetId="10"/>
      <sheetData sheetId="11"/>
      <sheetData sheetId="12">
        <row r="3">
          <cell r="A3">
            <v>102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opLeftCell="A2" workbookViewId="0">
      <selection activeCell="G36" sqref="G36"/>
    </sheetView>
  </sheetViews>
  <sheetFormatPr defaultColWidth="9.140625" defaultRowHeight="15"/>
  <cols>
    <col min="1" max="2" width="9.140625" style="227"/>
    <col min="3" max="3" width="16.140625" style="227" customWidth="1"/>
    <col min="4" max="4" width="16.7109375" style="227" customWidth="1"/>
    <col min="5" max="5" width="13.85546875" style="227" customWidth="1"/>
    <col min="6" max="6" width="9.140625" style="227"/>
    <col min="7" max="7" width="27.140625" style="227" customWidth="1"/>
    <col min="8" max="8" width="10.28515625" style="227" bestFit="1" customWidth="1"/>
    <col min="9" max="9" width="6.42578125" style="227" customWidth="1"/>
    <col min="10" max="11" width="9.140625" style="227"/>
    <col min="12" max="12" width="28" style="227" customWidth="1"/>
    <col min="13" max="13" width="27.85546875" style="227" customWidth="1"/>
    <col min="14" max="14" width="10.85546875" style="227" bestFit="1" customWidth="1"/>
    <col min="15" max="15" width="32" style="227" customWidth="1"/>
    <col min="16" max="16" width="15.140625" style="227" customWidth="1"/>
    <col min="17" max="17" width="13.28515625" style="227" customWidth="1"/>
    <col min="18" max="16384" width="9.140625" style="227"/>
  </cols>
  <sheetData>
    <row r="1" spans="1:18" ht="15.75">
      <c r="A1" s="226" t="s">
        <v>284</v>
      </c>
      <c r="B1" s="226" t="s">
        <v>285</v>
      </c>
      <c r="C1" s="226" t="s">
        <v>286</v>
      </c>
      <c r="D1" s="226" t="s">
        <v>287</v>
      </c>
      <c r="E1" s="226" t="s">
        <v>288</v>
      </c>
      <c r="F1" s="226" t="s">
        <v>289</v>
      </c>
      <c r="G1" s="226" t="s">
        <v>290</v>
      </c>
      <c r="H1" s="226" t="s">
        <v>291</v>
      </c>
      <c r="I1" s="226" t="s">
        <v>292</v>
      </c>
      <c r="J1" s="226" t="s">
        <v>293</v>
      </c>
      <c r="K1" s="226" t="s">
        <v>294</v>
      </c>
      <c r="L1" s="226" t="s">
        <v>295</v>
      </c>
      <c r="M1" s="226" t="s">
        <v>296</v>
      </c>
      <c r="N1" s="226" t="s">
        <v>297</v>
      </c>
      <c r="O1" s="226" t="s">
        <v>298</v>
      </c>
      <c r="P1" s="226" t="s">
        <v>299</v>
      </c>
      <c r="Q1" s="226" t="s">
        <v>300</v>
      </c>
      <c r="R1" s="226" t="s">
        <v>301</v>
      </c>
    </row>
    <row r="2" spans="1:18" ht="15.75">
      <c r="A2" s="228">
        <v>2016</v>
      </c>
      <c r="B2" s="228" t="s">
        <v>107</v>
      </c>
      <c r="C2" s="228" t="s">
        <v>302</v>
      </c>
      <c r="D2" s="228" t="s">
        <v>303</v>
      </c>
      <c r="E2" s="228" t="s">
        <v>304</v>
      </c>
      <c r="F2" s="228" t="s">
        <v>303</v>
      </c>
      <c r="G2" s="228" t="s">
        <v>305</v>
      </c>
      <c r="H2" s="228">
        <v>7</v>
      </c>
      <c r="I2" s="228">
        <v>1</v>
      </c>
      <c r="J2" s="228" t="s">
        <v>306</v>
      </c>
      <c r="K2" s="228" t="s">
        <v>307</v>
      </c>
      <c r="L2" s="229">
        <v>154550.44</v>
      </c>
      <c r="M2" s="229">
        <v>154550.44</v>
      </c>
      <c r="N2" s="229">
        <v>0</v>
      </c>
      <c r="O2" s="228" t="s">
        <v>308</v>
      </c>
      <c r="P2" s="230">
        <v>42186</v>
      </c>
      <c r="Q2" s="230">
        <v>42551</v>
      </c>
      <c r="R2" s="228" t="s">
        <v>277</v>
      </c>
    </row>
    <row r="3" spans="1:18" ht="15.75">
      <c r="A3" s="228">
        <v>2016</v>
      </c>
      <c r="B3" s="228" t="s">
        <v>107</v>
      </c>
      <c r="C3" s="228" t="s">
        <v>302</v>
      </c>
      <c r="D3" s="228" t="s">
        <v>303</v>
      </c>
      <c r="E3" s="228" t="s">
        <v>304</v>
      </c>
      <c r="F3" s="228" t="s">
        <v>303</v>
      </c>
      <c r="G3" s="228" t="s">
        <v>305</v>
      </c>
      <c r="H3" s="228">
        <v>8</v>
      </c>
      <c r="I3" s="228">
        <v>1</v>
      </c>
      <c r="J3" s="228" t="s">
        <v>306</v>
      </c>
      <c r="K3" s="228" t="s">
        <v>307</v>
      </c>
      <c r="L3" s="229">
        <v>41254.32</v>
      </c>
      <c r="M3" s="229">
        <v>41254.32</v>
      </c>
      <c r="N3" s="229">
        <v>0</v>
      </c>
      <c r="O3" s="228" t="s">
        <v>308</v>
      </c>
      <c r="P3" s="230">
        <v>42461</v>
      </c>
      <c r="Q3" s="230">
        <v>42551</v>
      </c>
      <c r="R3" s="228" t="s">
        <v>277</v>
      </c>
    </row>
    <row r="4" spans="1:18" ht="15.75">
      <c r="A4" s="228">
        <v>2016</v>
      </c>
      <c r="B4" s="228" t="s">
        <v>107</v>
      </c>
      <c r="C4" s="228" t="s">
        <v>302</v>
      </c>
      <c r="D4" s="228" t="s">
        <v>303</v>
      </c>
      <c r="E4" s="228" t="s">
        <v>304</v>
      </c>
      <c r="F4" s="228" t="s">
        <v>303</v>
      </c>
      <c r="G4" s="228" t="s">
        <v>305</v>
      </c>
      <c r="H4" s="228">
        <v>9</v>
      </c>
      <c r="I4" s="228">
        <v>1</v>
      </c>
      <c r="J4" s="228" t="s">
        <v>306</v>
      </c>
      <c r="K4" s="228" t="s">
        <v>307</v>
      </c>
      <c r="L4" s="229">
        <v>654.24</v>
      </c>
      <c r="M4" s="229">
        <v>654.24</v>
      </c>
      <c r="N4" s="229">
        <v>0</v>
      </c>
      <c r="O4" s="228" t="s">
        <v>308</v>
      </c>
      <c r="P4" s="230">
        <v>42461</v>
      </c>
      <c r="Q4" s="230">
        <v>42551</v>
      </c>
      <c r="R4" s="228" t="s">
        <v>277</v>
      </c>
    </row>
    <row r="5" spans="1:18" ht="15.75">
      <c r="A5" s="228">
        <v>2016</v>
      </c>
      <c r="B5" s="228" t="s">
        <v>107</v>
      </c>
      <c r="C5" s="228" t="s">
        <v>302</v>
      </c>
      <c r="D5" s="228" t="s">
        <v>303</v>
      </c>
      <c r="E5" s="228" t="s">
        <v>304</v>
      </c>
      <c r="F5" s="228" t="s">
        <v>303</v>
      </c>
      <c r="G5" s="228" t="s">
        <v>305</v>
      </c>
      <c r="H5" s="228">
        <v>10</v>
      </c>
      <c r="I5" s="228">
        <v>1</v>
      </c>
      <c r="J5" s="228" t="s">
        <v>306</v>
      </c>
      <c r="K5" s="228" t="s">
        <v>307</v>
      </c>
      <c r="L5" s="231">
        <v>11000</v>
      </c>
      <c r="M5" s="231">
        <v>11000</v>
      </c>
      <c r="N5" s="229">
        <v>0</v>
      </c>
      <c r="O5" s="228" t="s">
        <v>308</v>
      </c>
      <c r="P5" s="230">
        <v>42461</v>
      </c>
      <c r="Q5" s="230">
        <v>42551</v>
      </c>
      <c r="R5" s="228" t="s">
        <v>277</v>
      </c>
    </row>
    <row r="6" spans="1:18" ht="15.75">
      <c r="A6" s="228"/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32">
        <f>SUM(L2:L5)</f>
        <v>207459</v>
      </c>
      <c r="M6" s="233">
        <f>SUM(M2:M5)</f>
        <v>207459</v>
      </c>
      <c r="N6" s="229"/>
      <c r="O6" s="228"/>
      <c r="P6" s="230"/>
      <c r="Q6" s="230"/>
      <c r="R6" s="228"/>
    </row>
    <row r="7" spans="1:18" ht="15.75">
      <c r="A7" s="228"/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9"/>
      <c r="M7" s="229"/>
      <c r="N7" s="229"/>
      <c r="O7" s="228"/>
      <c r="P7" s="230"/>
      <c r="Q7" s="230"/>
      <c r="R7" s="228"/>
    </row>
    <row r="8" spans="1:18" ht="15.75">
      <c r="A8" s="228"/>
      <c r="B8" s="228"/>
      <c r="C8" s="228"/>
      <c r="D8" s="228"/>
      <c r="E8" s="228"/>
      <c r="F8" s="228"/>
      <c r="G8" s="228"/>
      <c r="H8" s="228"/>
      <c r="I8" s="228"/>
      <c r="J8" s="228"/>
      <c r="K8" s="228"/>
      <c r="L8" s="229"/>
      <c r="M8" s="229"/>
      <c r="N8" s="229"/>
      <c r="O8" s="228"/>
      <c r="P8" s="230"/>
      <c r="Q8" s="230"/>
      <c r="R8" s="228"/>
    </row>
    <row r="9" spans="1:18" ht="15.75">
      <c r="A9" s="228"/>
      <c r="B9" s="228"/>
      <c r="C9" s="228"/>
      <c r="D9" s="228"/>
      <c r="E9" s="228"/>
      <c r="F9" s="228"/>
      <c r="G9" s="228"/>
      <c r="H9" s="228"/>
      <c r="I9" s="228"/>
      <c r="J9" s="228"/>
      <c r="K9" s="228"/>
      <c r="L9" s="229"/>
      <c r="M9" s="229"/>
      <c r="N9" s="229"/>
      <c r="O9" s="228"/>
      <c r="P9" s="230"/>
      <c r="Q9" s="230"/>
      <c r="R9" s="228"/>
    </row>
    <row r="10" spans="1:18" ht="15.75">
      <c r="A10" s="228">
        <v>2016</v>
      </c>
      <c r="B10" s="228" t="s">
        <v>107</v>
      </c>
      <c r="C10" s="228" t="s">
        <v>302</v>
      </c>
      <c r="D10" s="228" t="s">
        <v>303</v>
      </c>
      <c r="E10" s="228" t="s">
        <v>304</v>
      </c>
      <c r="F10" s="228" t="s">
        <v>303</v>
      </c>
      <c r="G10" s="228" t="s">
        <v>309</v>
      </c>
      <c r="H10" s="228">
        <v>16</v>
      </c>
      <c r="I10" s="228">
        <v>1</v>
      </c>
      <c r="J10" s="228" t="s">
        <v>306</v>
      </c>
      <c r="K10" s="228" t="s">
        <v>307</v>
      </c>
      <c r="L10" s="333">
        <v>160619</v>
      </c>
      <c r="M10" s="229">
        <v>160617.94</v>
      </c>
      <c r="N10" s="229">
        <v>0</v>
      </c>
      <c r="O10" s="228" t="s">
        <v>310</v>
      </c>
      <c r="P10" s="230">
        <v>42186</v>
      </c>
      <c r="Q10" s="230">
        <v>42551</v>
      </c>
      <c r="R10" s="228" t="s">
        <v>311</v>
      </c>
    </row>
    <row r="11" spans="1:18" ht="15.75">
      <c r="A11" s="228">
        <v>2016</v>
      </c>
      <c r="B11" s="228" t="s">
        <v>107</v>
      </c>
      <c r="C11" s="228" t="s">
        <v>302</v>
      </c>
      <c r="D11" s="228" t="s">
        <v>303</v>
      </c>
      <c r="E11" s="228" t="s">
        <v>304</v>
      </c>
      <c r="F11" s="228" t="s">
        <v>303</v>
      </c>
      <c r="G11" s="228" t="s">
        <v>309</v>
      </c>
      <c r="H11" s="228">
        <v>17</v>
      </c>
      <c r="I11" s="228">
        <v>1</v>
      </c>
      <c r="J11" s="228" t="s">
        <v>306</v>
      </c>
      <c r="K11" s="228" t="s">
        <v>307</v>
      </c>
      <c r="L11" s="332">
        <v>158176.76999999999</v>
      </c>
      <c r="M11" s="229">
        <v>158176.76999999999</v>
      </c>
      <c r="N11" s="229">
        <v>0</v>
      </c>
      <c r="O11" s="228" t="s">
        <v>310</v>
      </c>
      <c r="P11" s="230">
        <v>42186</v>
      </c>
      <c r="Q11" s="230">
        <v>42551</v>
      </c>
      <c r="R11" s="228" t="s">
        <v>311</v>
      </c>
    </row>
    <row r="12" spans="1:18" ht="15.75">
      <c r="A12" s="228">
        <v>2016</v>
      </c>
      <c r="B12" s="228" t="s">
        <v>107</v>
      </c>
      <c r="C12" s="228" t="s">
        <v>302</v>
      </c>
      <c r="D12" s="228" t="s">
        <v>303</v>
      </c>
      <c r="E12" s="228" t="s">
        <v>304</v>
      </c>
      <c r="F12" s="228" t="s">
        <v>303</v>
      </c>
      <c r="G12" s="228" t="s">
        <v>309</v>
      </c>
      <c r="H12" s="228">
        <v>18</v>
      </c>
      <c r="I12" s="228">
        <v>1</v>
      </c>
      <c r="J12" s="228" t="s">
        <v>306</v>
      </c>
      <c r="K12" s="228" t="s">
        <v>307</v>
      </c>
      <c r="L12" s="331">
        <v>149911</v>
      </c>
      <c r="M12" s="229">
        <v>149909.59</v>
      </c>
      <c r="N12" s="229">
        <v>0</v>
      </c>
      <c r="O12" s="228" t="s">
        <v>310</v>
      </c>
      <c r="P12" s="230">
        <v>42186</v>
      </c>
      <c r="Q12" s="230">
        <v>42551</v>
      </c>
      <c r="R12" s="228" t="s">
        <v>311</v>
      </c>
    </row>
    <row r="13" spans="1:18" ht="15.75">
      <c r="A13" s="228">
        <v>2016</v>
      </c>
      <c r="B13" s="228" t="s">
        <v>107</v>
      </c>
      <c r="C13" s="228" t="s">
        <v>302</v>
      </c>
      <c r="D13" s="228" t="s">
        <v>303</v>
      </c>
      <c r="E13" s="228" t="s">
        <v>304</v>
      </c>
      <c r="F13" s="228" t="s">
        <v>303</v>
      </c>
      <c r="G13" s="228" t="s">
        <v>309</v>
      </c>
      <c r="H13" s="228">
        <v>19</v>
      </c>
      <c r="I13" s="228">
        <v>1</v>
      </c>
      <c r="J13" s="228" t="s">
        <v>306</v>
      </c>
      <c r="K13" s="228" t="s">
        <v>307</v>
      </c>
      <c r="L13" s="333">
        <v>36838.720000000001</v>
      </c>
      <c r="M13" s="229">
        <v>36838.720000000001</v>
      </c>
      <c r="N13" s="229">
        <v>0</v>
      </c>
      <c r="O13" s="228" t="s">
        <v>310</v>
      </c>
      <c r="P13" s="230">
        <v>42461</v>
      </c>
      <c r="Q13" s="230">
        <v>42551</v>
      </c>
      <c r="R13" s="228" t="s">
        <v>311</v>
      </c>
    </row>
    <row r="14" spans="1:18" ht="15.75">
      <c r="A14" s="228">
        <v>2016</v>
      </c>
      <c r="B14" s="228" t="s">
        <v>107</v>
      </c>
      <c r="C14" s="228" t="s">
        <v>302</v>
      </c>
      <c r="D14" s="228" t="s">
        <v>303</v>
      </c>
      <c r="E14" s="228" t="s">
        <v>304</v>
      </c>
      <c r="F14" s="228" t="s">
        <v>303</v>
      </c>
      <c r="G14" s="228" t="s">
        <v>309</v>
      </c>
      <c r="H14" s="228">
        <v>20</v>
      </c>
      <c r="I14" s="228">
        <v>1</v>
      </c>
      <c r="J14" s="228" t="s">
        <v>306</v>
      </c>
      <c r="K14" s="228" t="s">
        <v>307</v>
      </c>
      <c r="L14" s="332">
        <v>208.8</v>
      </c>
      <c r="M14" s="229">
        <v>208.8</v>
      </c>
      <c r="N14" s="229">
        <v>0</v>
      </c>
      <c r="O14" s="228" t="s">
        <v>310</v>
      </c>
      <c r="P14" s="230">
        <v>42461</v>
      </c>
      <c r="Q14" s="230">
        <v>42551</v>
      </c>
      <c r="R14" s="228" t="s">
        <v>311</v>
      </c>
    </row>
    <row r="15" spans="1:18" ht="15.75">
      <c r="A15" s="228">
        <v>2016</v>
      </c>
      <c r="B15" s="228" t="s">
        <v>107</v>
      </c>
      <c r="C15" s="228" t="s">
        <v>302</v>
      </c>
      <c r="D15" s="228" t="s">
        <v>303</v>
      </c>
      <c r="E15" s="228" t="s">
        <v>304</v>
      </c>
      <c r="F15" s="228" t="s">
        <v>303</v>
      </c>
      <c r="G15" s="228" t="s">
        <v>309</v>
      </c>
      <c r="H15" s="228">
        <v>21</v>
      </c>
      <c r="I15" s="228">
        <v>1</v>
      </c>
      <c r="J15" s="228" t="s">
        <v>306</v>
      </c>
      <c r="K15" s="228" t="s">
        <v>307</v>
      </c>
      <c r="L15" s="333">
        <v>9792.48</v>
      </c>
      <c r="M15" s="229">
        <v>9792.48</v>
      </c>
      <c r="N15" s="229">
        <v>0</v>
      </c>
      <c r="O15" s="228" t="s">
        <v>310</v>
      </c>
      <c r="P15" s="230">
        <v>42461</v>
      </c>
      <c r="Q15" s="230">
        <v>42551</v>
      </c>
      <c r="R15" s="228" t="s">
        <v>311</v>
      </c>
    </row>
    <row r="16" spans="1:18" ht="15.75">
      <c r="A16" s="228">
        <v>2016</v>
      </c>
      <c r="B16" s="228" t="s">
        <v>107</v>
      </c>
      <c r="C16" s="228" t="s">
        <v>302</v>
      </c>
      <c r="D16" s="228" t="s">
        <v>303</v>
      </c>
      <c r="E16" s="228" t="s">
        <v>304</v>
      </c>
      <c r="F16" s="228" t="s">
        <v>303</v>
      </c>
      <c r="G16" s="228" t="s">
        <v>309</v>
      </c>
      <c r="H16" s="228">
        <v>22</v>
      </c>
      <c r="I16" s="228">
        <v>1</v>
      </c>
      <c r="J16" s="228" t="s">
        <v>306</v>
      </c>
      <c r="K16" s="228" t="s">
        <v>307</v>
      </c>
      <c r="L16" s="332">
        <v>38604.959999999999</v>
      </c>
      <c r="M16" s="229">
        <v>38604.959999999999</v>
      </c>
      <c r="N16" s="229">
        <v>0</v>
      </c>
      <c r="O16" s="228" t="s">
        <v>310</v>
      </c>
      <c r="P16" s="230">
        <v>42461</v>
      </c>
      <c r="Q16" s="230">
        <v>42551</v>
      </c>
      <c r="R16" s="228" t="s">
        <v>311</v>
      </c>
    </row>
    <row r="17" spans="1:18" ht="15.75">
      <c r="A17" s="228">
        <v>2016</v>
      </c>
      <c r="B17" s="228" t="s">
        <v>107</v>
      </c>
      <c r="C17" s="228" t="s">
        <v>302</v>
      </c>
      <c r="D17" s="228" t="s">
        <v>303</v>
      </c>
      <c r="E17" s="228" t="s">
        <v>304</v>
      </c>
      <c r="F17" s="228" t="s">
        <v>303</v>
      </c>
      <c r="G17" s="228" t="s">
        <v>309</v>
      </c>
      <c r="H17" s="228">
        <v>23</v>
      </c>
      <c r="I17" s="228">
        <v>1</v>
      </c>
      <c r="J17" s="228" t="s">
        <v>306</v>
      </c>
      <c r="K17" s="228" t="s">
        <v>307</v>
      </c>
      <c r="L17" s="333">
        <v>208.8</v>
      </c>
      <c r="M17" s="229">
        <v>208.8</v>
      </c>
      <c r="N17" s="229">
        <v>0</v>
      </c>
      <c r="O17" s="228" t="s">
        <v>310</v>
      </c>
      <c r="P17" s="230">
        <v>42461</v>
      </c>
      <c r="Q17" s="230">
        <v>42551</v>
      </c>
      <c r="R17" s="228" t="s">
        <v>311</v>
      </c>
    </row>
    <row r="18" spans="1:18" ht="15.75">
      <c r="A18" s="228">
        <v>2016</v>
      </c>
      <c r="B18" s="228" t="s">
        <v>107</v>
      </c>
      <c r="C18" s="228" t="s">
        <v>302</v>
      </c>
      <c r="D18" s="228" t="s">
        <v>303</v>
      </c>
      <c r="E18" s="228" t="s">
        <v>304</v>
      </c>
      <c r="F18" s="228" t="s">
        <v>303</v>
      </c>
      <c r="G18" s="228" t="s">
        <v>309</v>
      </c>
      <c r="H18" s="228">
        <v>24</v>
      </c>
      <c r="I18" s="228">
        <v>1</v>
      </c>
      <c r="J18" s="228" t="s">
        <v>306</v>
      </c>
      <c r="K18" s="228" t="s">
        <v>307</v>
      </c>
      <c r="L18" s="332">
        <v>10468.469999999999</v>
      </c>
      <c r="M18" s="229">
        <v>10468.469999999999</v>
      </c>
      <c r="N18" s="229">
        <v>0</v>
      </c>
      <c r="O18" s="228" t="s">
        <v>310</v>
      </c>
      <c r="P18" s="230">
        <v>42461</v>
      </c>
      <c r="Q18" s="230">
        <v>42551</v>
      </c>
      <c r="R18" s="228" t="s">
        <v>311</v>
      </c>
    </row>
    <row r="19" spans="1:18" ht="15.75">
      <c r="A19" s="228">
        <v>2016</v>
      </c>
      <c r="B19" s="228" t="s">
        <v>107</v>
      </c>
      <c r="C19" s="228" t="s">
        <v>302</v>
      </c>
      <c r="D19" s="228" t="s">
        <v>303</v>
      </c>
      <c r="E19" s="228" t="s">
        <v>304</v>
      </c>
      <c r="F19" s="228" t="s">
        <v>303</v>
      </c>
      <c r="G19" s="228" t="s">
        <v>309</v>
      </c>
      <c r="H19" s="228">
        <v>25</v>
      </c>
      <c r="I19" s="228">
        <v>1</v>
      </c>
      <c r="J19" s="228" t="s">
        <v>306</v>
      </c>
      <c r="K19" s="228" t="s">
        <v>307</v>
      </c>
      <c r="L19" s="331">
        <v>45417.599999999999</v>
      </c>
      <c r="M19" s="229">
        <v>45417.599999999999</v>
      </c>
      <c r="N19" s="229">
        <v>0</v>
      </c>
      <c r="O19" s="228" t="s">
        <v>310</v>
      </c>
      <c r="P19" s="230">
        <v>42461</v>
      </c>
      <c r="Q19" s="230">
        <v>42551</v>
      </c>
      <c r="R19" s="228" t="s">
        <v>311</v>
      </c>
    </row>
    <row r="20" spans="1:18" ht="15.75">
      <c r="A20" s="228">
        <v>2016</v>
      </c>
      <c r="B20" s="228" t="s">
        <v>107</v>
      </c>
      <c r="C20" s="228" t="s">
        <v>302</v>
      </c>
      <c r="D20" s="228" t="s">
        <v>303</v>
      </c>
      <c r="E20" s="228" t="s">
        <v>304</v>
      </c>
      <c r="F20" s="228" t="s">
        <v>303</v>
      </c>
      <c r="G20" s="228" t="s">
        <v>309</v>
      </c>
      <c r="H20" s="228">
        <v>26</v>
      </c>
      <c r="I20" s="228">
        <v>1</v>
      </c>
      <c r="J20" s="228" t="s">
        <v>306</v>
      </c>
      <c r="K20" s="228" t="s">
        <v>307</v>
      </c>
      <c r="L20" s="331">
        <v>208.8</v>
      </c>
      <c r="M20" s="229">
        <v>208.8</v>
      </c>
      <c r="N20" s="229">
        <v>0</v>
      </c>
      <c r="O20" s="228" t="s">
        <v>310</v>
      </c>
      <c r="P20" s="230">
        <v>42461</v>
      </c>
      <c r="Q20" s="230">
        <v>42551</v>
      </c>
      <c r="R20" s="228" t="s">
        <v>311</v>
      </c>
    </row>
    <row r="21" spans="1:18" ht="15.75">
      <c r="A21" s="228">
        <v>2016</v>
      </c>
      <c r="B21" s="228" t="s">
        <v>107</v>
      </c>
      <c r="C21" s="228" t="s">
        <v>302</v>
      </c>
      <c r="D21" s="228" t="s">
        <v>303</v>
      </c>
      <c r="E21" s="228" t="s">
        <v>304</v>
      </c>
      <c r="F21" s="228" t="s">
        <v>303</v>
      </c>
      <c r="G21" s="228" t="s">
        <v>309</v>
      </c>
      <c r="H21" s="228">
        <v>27</v>
      </c>
      <c r="I21" s="228">
        <v>1</v>
      </c>
      <c r="J21" s="228" t="s">
        <v>306</v>
      </c>
      <c r="K21" s="228" t="s">
        <v>307</v>
      </c>
      <c r="L21" s="330">
        <v>11921.6</v>
      </c>
      <c r="M21" s="231">
        <v>11921.6</v>
      </c>
      <c r="N21" s="229">
        <v>0</v>
      </c>
      <c r="O21" s="228" t="s">
        <v>310</v>
      </c>
      <c r="P21" s="230">
        <v>42461</v>
      </c>
      <c r="Q21" s="230">
        <v>42551</v>
      </c>
      <c r="R21" s="228" t="s">
        <v>311</v>
      </c>
    </row>
    <row r="22" spans="1:18" ht="15.75">
      <c r="A22" s="228"/>
      <c r="B22" s="228"/>
      <c r="C22" s="228"/>
      <c r="D22" s="228"/>
      <c r="E22" s="228"/>
      <c r="F22" s="228"/>
      <c r="G22" s="228"/>
      <c r="H22" s="228"/>
      <c r="I22" s="228"/>
      <c r="J22" s="228"/>
      <c r="K22" s="228"/>
      <c r="L22" s="232">
        <f>SUM(L10:L21)</f>
        <v>622377</v>
      </c>
      <c r="M22" s="233">
        <f>SUM(M10:M21)</f>
        <v>622374.52999999991</v>
      </c>
      <c r="N22" s="229"/>
      <c r="O22" s="228"/>
      <c r="P22" s="230"/>
      <c r="Q22" s="230"/>
      <c r="R22" s="228"/>
    </row>
    <row r="23" spans="1:18" ht="15.75">
      <c r="A23" s="228"/>
      <c r="B23" s="228"/>
      <c r="C23" s="228"/>
      <c r="D23" s="228"/>
      <c r="E23" s="228"/>
      <c r="F23" s="228"/>
      <c r="G23" s="228"/>
      <c r="H23" s="228"/>
      <c r="I23" s="228"/>
      <c r="J23" s="228"/>
      <c r="K23" s="228"/>
      <c r="L23" s="229"/>
      <c r="M23" s="229"/>
      <c r="N23" s="229"/>
      <c r="O23" s="228"/>
      <c r="P23" s="230"/>
      <c r="Q23" s="230"/>
      <c r="R23" s="228"/>
    </row>
    <row r="24" spans="1:18" ht="15.75">
      <c r="A24" s="228"/>
      <c r="B24" s="228"/>
      <c r="C24" s="228"/>
      <c r="D24" s="228"/>
      <c r="E24" s="228"/>
      <c r="F24" s="228"/>
      <c r="G24" s="228"/>
      <c r="H24" s="228"/>
      <c r="I24" s="228"/>
      <c r="J24" s="228"/>
      <c r="K24" s="228"/>
      <c r="L24" s="229"/>
      <c r="M24" s="229"/>
      <c r="N24" s="229"/>
      <c r="O24" s="228"/>
      <c r="P24" s="230"/>
      <c r="Q24" s="230"/>
      <c r="R24" s="228"/>
    </row>
    <row r="25" spans="1:18" ht="15.75">
      <c r="A25" s="228">
        <v>2016</v>
      </c>
      <c r="B25" s="228" t="s">
        <v>107</v>
      </c>
      <c r="C25" s="228" t="s">
        <v>302</v>
      </c>
      <c r="D25" s="228" t="s">
        <v>303</v>
      </c>
      <c r="E25" s="228" t="s">
        <v>304</v>
      </c>
      <c r="F25" s="228" t="s">
        <v>312</v>
      </c>
      <c r="G25" s="228" t="s">
        <v>313</v>
      </c>
      <c r="H25" s="228">
        <v>4</v>
      </c>
      <c r="I25" s="228">
        <v>1</v>
      </c>
      <c r="J25" s="228" t="s">
        <v>306</v>
      </c>
      <c r="K25" s="228" t="s">
        <v>307</v>
      </c>
      <c r="L25" s="229">
        <v>114172.46</v>
      </c>
      <c r="M25" s="229">
        <v>114172.46</v>
      </c>
      <c r="N25" s="229">
        <v>0</v>
      </c>
      <c r="O25" s="228" t="s">
        <v>314</v>
      </c>
      <c r="P25" s="230">
        <v>42186</v>
      </c>
      <c r="Q25" s="230">
        <v>42551</v>
      </c>
      <c r="R25" s="228" t="s">
        <v>277</v>
      </c>
    </row>
    <row r="26" spans="1:18" ht="15.75">
      <c r="A26" s="228">
        <v>2016</v>
      </c>
      <c r="B26" s="228" t="s">
        <v>107</v>
      </c>
      <c r="C26" s="228" t="s">
        <v>302</v>
      </c>
      <c r="D26" s="228" t="s">
        <v>303</v>
      </c>
      <c r="E26" s="228" t="s">
        <v>304</v>
      </c>
      <c r="F26" s="228" t="s">
        <v>312</v>
      </c>
      <c r="G26" s="228" t="s">
        <v>313</v>
      </c>
      <c r="H26" s="228">
        <v>5</v>
      </c>
      <c r="I26" s="228">
        <v>1</v>
      </c>
      <c r="J26" s="228" t="s">
        <v>306</v>
      </c>
      <c r="K26" s="228" t="s">
        <v>307</v>
      </c>
      <c r="L26" s="229">
        <v>22791.68</v>
      </c>
      <c r="M26" s="229">
        <v>22791.68</v>
      </c>
      <c r="N26" s="229">
        <v>0</v>
      </c>
      <c r="O26" s="228" t="s">
        <v>314</v>
      </c>
      <c r="P26" s="230">
        <v>42461</v>
      </c>
      <c r="Q26" s="230">
        <v>42551</v>
      </c>
      <c r="R26" s="228" t="s">
        <v>277</v>
      </c>
    </row>
    <row r="27" spans="1:18" ht="15.75">
      <c r="A27" s="228">
        <v>2016</v>
      </c>
      <c r="B27" s="228" t="s">
        <v>107</v>
      </c>
      <c r="C27" s="228" t="s">
        <v>302</v>
      </c>
      <c r="D27" s="228" t="s">
        <v>303</v>
      </c>
      <c r="E27" s="228" t="s">
        <v>304</v>
      </c>
      <c r="F27" s="228" t="s">
        <v>312</v>
      </c>
      <c r="G27" s="228" t="s">
        <v>313</v>
      </c>
      <c r="H27" s="228">
        <v>6</v>
      </c>
      <c r="I27" s="228">
        <v>1</v>
      </c>
      <c r="J27" s="228" t="s">
        <v>306</v>
      </c>
      <c r="K27" s="228" t="s">
        <v>307</v>
      </c>
      <c r="L27" s="231">
        <v>70494.86</v>
      </c>
      <c r="M27" s="231">
        <v>70494.86</v>
      </c>
      <c r="N27" s="229">
        <v>0</v>
      </c>
      <c r="O27" s="228" t="s">
        <v>314</v>
      </c>
      <c r="P27" s="230">
        <v>42461</v>
      </c>
      <c r="Q27" s="230">
        <v>42551</v>
      </c>
      <c r="R27" s="228" t="s">
        <v>277</v>
      </c>
    </row>
    <row r="28" spans="1:18" ht="15.75">
      <c r="A28" s="228"/>
      <c r="B28" s="228"/>
      <c r="C28" s="228"/>
      <c r="D28" s="228"/>
      <c r="E28" s="228"/>
      <c r="F28" s="228"/>
      <c r="G28" s="228"/>
      <c r="H28" s="228"/>
      <c r="I28" s="228"/>
      <c r="J28" s="228"/>
      <c r="K28" s="228"/>
      <c r="L28" s="232">
        <f>SUM(L25:L27)</f>
        <v>207459</v>
      </c>
      <c r="M28" s="233">
        <f>SUM(M25:M27)</f>
        <v>207459</v>
      </c>
      <c r="N28" s="229"/>
      <c r="O28" s="228"/>
      <c r="P28" s="230"/>
      <c r="Q28" s="230"/>
      <c r="R28" s="228"/>
    </row>
    <row r="29" spans="1:18" ht="15.75">
      <c r="A29" s="228"/>
      <c r="B29" s="228"/>
      <c r="C29" s="228"/>
      <c r="D29" s="228"/>
      <c r="E29" s="228"/>
      <c r="F29" s="228"/>
      <c r="G29" s="228"/>
      <c r="H29" s="228"/>
      <c r="I29" s="228"/>
      <c r="J29" s="228"/>
      <c r="K29" s="228"/>
      <c r="L29" s="232"/>
      <c r="M29" s="232"/>
      <c r="N29" s="229"/>
      <c r="O29" s="228"/>
      <c r="P29" s="230"/>
      <c r="Q29" s="230"/>
      <c r="R29" s="228"/>
    </row>
    <row r="30" spans="1:18" ht="15.75">
      <c r="A30" s="228"/>
      <c r="B30" s="228"/>
      <c r="C30" s="228"/>
      <c r="D30" s="228"/>
      <c r="E30" s="228"/>
      <c r="F30" s="228"/>
      <c r="G30" s="228"/>
      <c r="H30" s="228"/>
      <c r="I30" s="228"/>
      <c r="J30" s="228"/>
      <c r="K30" s="228"/>
      <c r="L30" s="234"/>
      <c r="M30" s="232"/>
      <c r="N30" s="229"/>
      <c r="O30" s="228"/>
      <c r="P30" s="230"/>
      <c r="Q30" s="230"/>
      <c r="R30" s="228"/>
    </row>
    <row r="31" spans="1:18" ht="16.5" thickBot="1">
      <c r="A31" s="228"/>
      <c r="B31" s="228"/>
      <c r="C31" s="329">
        <v>158176.76999999999</v>
      </c>
      <c r="D31" s="328">
        <f>L10</f>
        <v>160619</v>
      </c>
      <c r="E31" s="327">
        <v>149911</v>
      </c>
      <c r="F31" s="228"/>
      <c r="G31" s="228"/>
      <c r="H31" s="228"/>
      <c r="I31" s="228"/>
      <c r="J31" s="228"/>
      <c r="K31" s="228"/>
      <c r="L31" s="235"/>
      <c r="M31" s="233">
        <f>SUM(M6,M28)</f>
        <v>414918</v>
      </c>
      <c r="N31" s="236">
        <v>2218</v>
      </c>
      <c r="O31" s="228"/>
      <c r="P31" s="230"/>
      <c r="Q31" s="230"/>
      <c r="R31" s="228"/>
    </row>
    <row r="32" spans="1:18" ht="16.5" thickBot="1">
      <c r="A32" s="228"/>
      <c r="B32" s="228" t="s">
        <v>341</v>
      </c>
      <c r="C32" s="326">
        <f>L16</f>
        <v>38604.959999999999</v>
      </c>
      <c r="D32" s="325">
        <f>L13</f>
        <v>36838.720000000001</v>
      </c>
      <c r="E32" s="324">
        <f>L19</f>
        <v>45417.599999999999</v>
      </c>
      <c r="F32" s="228"/>
      <c r="G32" s="228"/>
      <c r="H32" s="228"/>
      <c r="I32" s="228"/>
      <c r="J32" s="228"/>
      <c r="K32" s="228"/>
      <c r="L32" s="237"/>
      <c r="M32" s="238">
        <f>M22</f>
        <v>622374.52999999991</v>
      </c>
      <c r="N32" s="239">
        <v>2223</v>
      </c>
      <c r="O32" s="228"/>
      <c r="P32" s="230"/>
      <c r="Q32" s="230"/>
      <c r="R32" s="228"/>
    </row>
    <row r="33" spans="1:18" ht="16.5" thickBot="1">
      <c r="A33" s="228"/>
      <c r="B33" s="228"/>
      <c r="C33" s="323">
        <f>L18</f>
        <v>10468.469999999999</v>
      </c>
      <c r="D33" s="315">
        <f>L15</f>
        <v>9792.48</v>
      </c>
      <c r="E33" s="322">
        <f>L21</f>
        <v>11921.6</v>
      </c>
      <c r="F33" s="228"/>
      <c r="G33" s="228"/>
      <c r="H33" s="321"/>
      <c r="I33" s="228"/>
      <c r="J33" s="228"/>
      <c r="K33" s="228"/>
      <c r="L33" s="232"/>
      <c r="M33" s="240">
        <f>SUM(M6,M22,M28)</f>
        <v>1037292.5299999999</v>
      </c>
      <c r="N33" s="241" t="s">
        <v>109</v>
      </c>
      <c r="O33" s="228"/>
      <c r="P33" s="230"/>
      <c r="Q33" s="230"/>
      <c r="R33" s="228"/>
    </row>
    <row r="34" spans="1:18" ht="16.5" thickTop="1">
      <c r="A34" s="228"/>
      <c r="B34" s="228" t="s">
        <v>340</v>
      </c>
      <c r="C34" s="320">
        <f>L20</f>
        <v>208.8</v>
      </c>
      <c r="D34" s="319">
        <f>L17</f>
        <v>208.8</v>
      </c>
      <c r="E34" s="318">
        <f>L14</f>
        <v>208.8</v>
      </c>
      <c r="F34" s="228"/>
      <c r="G34" s="228"/>
      <c r="H34" s="317"/>
      <c r="I34" s="228"/>
      <c r="J34" s="228"/>
      <c r="K34" s="228"/>
      <c r="L34" s="232"/>
      <c r="M34" s="242"/>
      <c r="O34" s="228"/>
      <c r="P34" s="230"/>
      <c r="Q34" s="230"/>
      <c r="R34" s="228"/>
    </row>
    <row r="35" spans="1:18" ht="15.75">
      <c r="A35" s="228"/>
      <c r="B35" s="228"/>
      <c r="C35" s="316">
        <f>SUM(C31:C34)</f>
        <v>207458.99999999997</v>
      </c>
      <c r="D35" s="315">
        <f>SUM(D31:D34)</f>
        <v>207459</v>
      </c>
      <c r="E35" s="314">
        <f>SUM(E31:E33)</f>
        <v>207250.2</v>
      </c>
      <c r="F35" s="228"/>
      <c r="G35" s="228"/>
      <c r="H35" s="228"/>
      <c r="I35" s="228"/>
      <c r="J35" s="228"/>
      <c r="K35" s="228"/>
      <c r="L35" s="229"/>
      <c r="M35" s="232"/>
      <c r="O35" s="228"/>
      <c r="P35" s="230"/>
      <c r="Q35" s="230"/>
      <c r="R35" s="228"/>
    </row>
    <row r="36" spans="1:18" ht="15.75">
      <c r="E36" s="313"/>
      <c r="M36" s="232"/>
    </row>
    <row r="37" spans="1:18" ht="15.75">
      <c r="M37" s="22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0"/>
  <sheetViews>
    <sheetView topLeftCell="E16" zoomScaleNormal="100" workbookViewId="0">
      <selection activeCell="M31" sqref="M31"/>
    </sheetView>
  </sheetViews>
  <sheetFormatPr defaultColWidth="9.140625" defaultRowHeight="15.75"/>
  <cols>
    <col min="1" max="1" width="4.28515625" style="38" hidden="1" customWidth="1"/>
    <col min="2" max="2" width="41" style="38" hidden="1" customWidth="1"/>
    <col min="3" max="3" width="12.140625" style="39" hidden="1" customWidth="1"/>
    <col min="4" max="4" width="68.85546875" style="38" hidden="1" customWidth="1"/>
    <col min="5" max="5" width="4.42578125" style="38" customWidth="1"/>
    <col min="6" max="6" width="27" style="38" bestFit="1" customWidth="1"/>
    <col min="7" max="7" width="9.5703125" style="39" bestFit="1" customWidth="1"/>
    <col min="8" max="8" width="12.140625" style="38" bestFit="1" customWidth="1"/>
    <col min="9" max="9" width="9.5703125" style="38" bestFit="1" customWidth="1"/>
    <col min="10" max="10" width="14" style="38" customWidth="1"/>
    <col min="11" max="11" width="15.7109375" style="38" customWidth="1"/>
    <col min="12" max="12" width="12" style="39" customWidth="1"/>
    <col min="13" max="13" width="13.42578125" style="38" customWidth="1"/>
    <col min="14" max="14" width="14.7109375" style="38" customWidth="1"/>
    <col min="15" max="16384" width="9.140625" style="38"/>
  </cols>
  <sheetData>
    <row r="1" spans="1:13" ht="16.5" thickBot="1">
      <c r="A1" s="534"/>
      <c r="B1" s="535"/>
      <c r="C1" s="536"/>
      <c r="D1" s="535"/>
      <c r="E1" s="537"/>
      <c r="F1" s="534"/>
      <c r="G1" s="538"/>
      <c r="H1" s="534"/>
      <c r="I1" s="538"/>
      <c r="J1" s="534"/>
      <c r="K1" s="534"/>
      <c r="L1" s="534"/>
      <c r="M1" s="534"/>
    </row>
    <row r="2" spans="1:13" ht="23.25" customHeight="1" thickBot="1">
      <c r="A2" s="539"/>
      <c r="B2" s="939" t="s">
        <v>0</v>
      </c>
      <c r="C2" s="940"/>
      <c r="D2" s="941"/>
      <c r="E2" s="537"/>
      <c r="F2" s="942" t="s">
        <v>280</v>
      </c>
      <c r="G2" s="943"/>
      <c r="H2" s="943"/>
      <c r="I2" s="944"/>
      <c r="J2" s="534"/>
      <c r="K2" s="534"/>
      <c r="L2" s="534"/>
      <c r="M2" s="534"/>
    </row>
    <row r="3" spans="1:13">
      <c r="A3" s="540"/>
      <c r="B3" s="945" t="s">
        <v>1</v>
      </c>
      <c r="C3" s="946"/>
      <c r="D3" s="541" t="s">
        <v>2</v>
      </c>
      <c r="E3" s="542"/>
      <c r="F3" s="543" t="s">
        <v>46</v>
      </c>
      <c r="G3" s="544">
        <v>12</v>
      </c>
      <c r="H3" s="544" t="s">
        <v>41</v>
      </c>
      <c r="I3" s="545">
        <f>(44*4)</f>
        <v>176</v>
      </c>
      <c r="J3" s="534"/>
      <c r="K3" s="534"/>
      <c r="L3" s="534"/>
      <c r="M3" s="534"/>
    </row>
    <row r="4" spans="1:13">
      <c r="A4" s="534"/>
      <c r="B4" s="546" t="s">
        <v>8</v>
      </c>
      <c r="C4" s="547"/>
      <c r="D4" s="548"/>
      <c r="E4" s="542"/>
      <c r="F4" s="549"/>
      <c r="G4" s="550" t="s">
        <v>5</v>
      </c>
      <c r="H4" s="550" t="s">
        <v>6</v>
      </c>
      <c r="I4" s="551" t="s">
        <v>7</v>
      </c>
      <c r="J4" s="534"/>
      <c r="K4" s="534"/>
      <c r="L4" s="534"/>
      <c r="M4" s="534"/>
    </row>
    <row r="5" spans="1:13">
      <c r="A5" s="534"/>
      <c r="B5" s="552" t="s">
        <v>9</v>
      </c>
      <c r="C5" s="553">
        <f>54411.784375*(C28+1)</f>
        <v>55891.784909999995</v>
      </c>
      <c r="D5" s="554" t="s">
        <v>263</v>
      </c>
      <c r="E5" s="542"/>
      <c r="F5" s="555" t="str">
        <f>$B$4</f>
        <v>Management</v>
      </c>
      <c r="G5" s="556"/>
      <c r="H5" s="556"/>
      <c r="I5" s="557"/>
      <c r="J5" s="534"/>
      <c r="K5" s="534"/>
      <c r="L5" s="534"/>
      <c r="M5" s="534"/>
    </row>
    <row r="6" spans="1:13">
      <c r="A6" s="534"/>
      <c r="B6" s="558" t="s">
        <v>42</v>
      </c>
      <c r="C6" s="553"/>
      <c r="D6" s="554"/>
      <c r="E6" s="542"/>
      <c r="F6" s="559" t="str">
        <f>$B$5</f>
        <v xml:space="preserve">  Program Director</v>
      </c>
      <c r="G6" s="560">
        <f>'CMR 422 Master Lookup'!C15</f>
        <v>55891.784909999995</v>
      </c>
      <c r="H6" s="561">
        <f>C14</f>
        <v>0.8</v>
      </c>
      <c r="I6" s="562">
        <f t="shared" ref="I6:I12" si="0">G6*H6</f>
        <v>44713.427927999997</v>
      </c>
      <c r="J6" s="534"/>
      <c r="K6" s="534"/>
      <c r="L6" s="534"/>
      <c r="M6" s="534"/>
    </row>
    <row r="7" spans="1:13">
      <c r="A7" s="534"/>
      <c r="B7" s="552" t="s">
        <v>47</v>
      </c>
      <c r="C7" s="553">
        <f>126341.726875*(C28+1)</f>
        <v>129778.22184599999</v>
      </c>
      <c r="D7" s="554" t="s">
        <v>263</v>
      </c>
      <c r="E7" s="542"/>
      <c r="F7" s="555" t="str">
        <f>$B$6</f>
        <v>Medical</v>
      </c>
      <c r="G7" s="560"/>
      <c r="H7" s="561"/>
      <c r="I7" s="562"/>
      <c r="J7" s="534"/>
      <c r="K7" s="534"/>
      <c r="L7" s="534"/>
      <c r="M7" s="534"/>
    </row>
    <row r="8" spans="1:13">
      <c r="A8" s="534"/>
      <c r="B8" s="552" t="s">
        <v>48</v>
      </c>
      <c r="C8" s="553">
        <f>51985.0464218224*(C28+1)</f>
        <v>53399.039684495961</v>
      </c>
      <c r="D8" s="554" t="s">
        <v>263</v>
      </c>
      <c r="E8" s="542"/>
      <c r="F8" s="559" t="str">
        <f>$B$7</f>
        <v xml:space="preserve">  Physician</v>
      </c>
      <c r="G8" s="560">
        <f>'CMR 422 Master Lookup'!C21</f>
        <v>129778.22184599999</v>
      </c>
      <c r="H8" s="561">
        <f>C16</f>
        <v>0.8</v>
      </c>
      <c r="I8" s="562">
        <f t="shared" si="0"/>
        <v>103822.5774768</v>
      </c>
      <c r="J8" s="534"/>
      <c r="K8" s="534"/>
      <c r="L8" s="534"/>
      <c r="M8" s="534"/>
    </row>
    <row r="9" spans="1:13">
      <c r="A9" s="534"/>
      <c r="B9" s="558" t="s">
        <v>12</v>
      </c>
      <c r="C9" s="553"/>
      <c r="D9" s="554"/>
      <c r="E9" s="542"/>
      <c r="F9" s="559" t="str">
        <f>$B$8</f>
        <v xml:space="preserve">  Optician </v>
      </c>
      <c r="G9" s="560">
        <f>'CMR 422 Master Lookup'!C14</f>
        <v>53399.039684495961</v>
      </c>
      <c r="H9" s="561">
        <f>C18</f>
        <v>0.8</v>
      </c>
      <c r="I9" s="562">
        <f t="shared" si="0"/>
        <v>42719.231747596772</v>
      </c>
      <c r="J9" s="534"/>
      <c r="K9" s="534"/>
      <c r="L9" s="534"/>
      <c r="M9" s="534"/>
    </row>
    <row r="10" spans="1:13">
      <c r="A10" s="534"/>
      <c r="B10" s="552" t="s">
        <v>43</v>
      </c>
      <c r="C10" s="553">
        <f>46459.538125*(C28+1)</f>
        <v>47723.237561999995</v>
      </c>
      <c r="D10" s="554" t="s">
        <v>263</v>
      </c>
      <c r="E10" s="563"/>
      <c r="F10" s="555" t="str">
        <f>$B$9</f>
        <v>Direct Care</v>
      </c>
      <c r="G10" s="560"/>
      <c r="H10" s="561"/>
      <c r="I10" s="562"/>
      <c r="J10" s="534"/>
      <c r="K10" s="534"/>
      <c r="L10" s="534"/>
      <c r="M10" s="534"/>
    </row>
    <row r="11" spans="1:13">
      <c r="A11" s="534"/>
      <c r="B11" s="564" t="s">
        <v>49</v>
      </c>
      <c r="C11" s="565">
        <f>46968.5125*(C28+1)</f>
        <v>48246.056039999989</v>
      </c>
      <c r="D11" s="566" t="s">
        <v>263</v>
      </c>
      <c r="E11" s="567"/>
      <c r="F11" s="559" t="str">
        <f>$B$10</f>
        <v xml:space="preserve">  Support/Maintenance</v>
      </c>
      <c r="G11" s="560">
        <f>'CMR 422 Master Lookup'!C11</f>
        <v>47723.237561999995</v>
      </c>
      <c r="H11" s="561">
        <f>C18</f>
        <v>0.8</v>
      </c>
      <c r="I11" s="562">
        <f t="shared" si="0"/>
        <v>38178.590049599996</v>
      </c>
      <c r="J11" s="534"/>
      <c r="K11" s="534"/>
      <c r="L11" s="534"/>
      <c r="M11" s="534"/>
    </row>
    <row r="12" spans="1:13">
      <c r="A12" s="534"/>
      <c r="B12" s="568" t="s">
        <v>14</v>
      </c>
      <c r="C12" s="569"/>
      <c r="D12" s="570"/>
      <c r="E12" s="571"/>
      <c r="F12" s="559" t="str">
        <f>$B$11</f>
        <v xml:space="preserve">  Driver</v>
      </c>
      <c r="G12" s="560">
        <f>'CMR 422 Master Lookup'!C13</f>
        <v>48246.056039999989</v>
      </c>
      <c r="H12" s="561">
        <f>C19</f>
        <v>0.8</v>
      </c>
      <c r="I12" s="562">
        <f t="shared" si="0"/>
        <v>38596.844831999995</v>
      </c>
      <c r="J12" s="534"/>
      <c r="K12" s="534"/>
      <c r="L12" s="534"/>
      <c r="M12" s="534"/>
    </row>
    <row r="13" spans="1:13">
      <c r="A13" s="534"/>
      <c r="B13" s="546" t="str">
        <f t="shared" ref="B13:B14" si="1">B4</f>
        <v>Management</v>
      </c>
      <c r="C13" s="572"/>
      <c r="D13" s="570"/>
      <c r="E13" s="571"/>
      <c r="F13" s="573" t="s">
        <v>15</v>
      </c>
      <c r="G13" s="574"/>
      <c r="H13" s="575">
        <f>SUM(H6:H12)</f>
        <v>4</v>
      </c>
      <c r="I13" s="576">
        <f>SUM(I6:I12)</f>
        <v>268030.67203399673</v>
      </c>
      <c r="J13" s="534"/>
      <c r="K13" s="534"/>
      <c r="L13" s="534"/>
      <c r="M13" s="534"/>
    </row>
    <row r="14" spans="1:13">
      <c r="A14" s="534"/>
      <c r="B14" s="552" t="str">
        <f t="shared" si="1"/>
        <v xml:space="preserve">  Program Director</v>
      </c>
      <c r="C14" s="577">
        <v>0.8</v>
      </c>
      <c r="D14" s="554" t="s">
        <v>10</v>
      </c>
      <c r="E14" s="578"/>
      <c r="F14" s="579"/>
      <c r="G14" s="580"/>
      <c r="H14" s="581"/>
      <c r="I14" s="582"/>
      <c r="J14" s="534"/>
      <c r="K14" s="534"/>
      <c r="L14" s="534"/>
      <c r="M14" s="534"/>
    </row>
    <row r="15" spans="1:13">
      <c r="A15" s="534"/>
      <c r="B15" s="552" t="str">
        <f>B7</f>
        <v xml:space="preserve">  Physician</v>
      </c>
      <c r="C15" s="577">
        <v>0.8</v>
      </c>
      <c r="D15" s="554" t="s">
        <v>10</v>
      </c>
      <c r="E15" s="578"/>
      <c r="F15" s="579" t="s">
        <v>16</v>
      </c>
      <c r="G15" s="583">
        <f>'CMR 422 Master Lookup'!G3</f>
        <v>0.21709999999999999</v>
      </c>
      <c r="H15" s="581"/>
      <c r="I15" s="562">
        <f>G15*I13</f>
        <v>58189.458898580684</v>
      </c>
      <c r="J15" s="534"/>
      <c r="K15" s="534"/>
      <c r="L15" s="534"/>
      <c r="M15" s="534"/>
    </row>
    <row r="16" spans="1:13" ht="16.5" thickBot="1">
      <c r="A16" s="534"/>
      <c r="B16" s="552" t="str">
        <f>B8</f>
        <v xml:space="preserve">  Optician </v>
      </c>
      <c r="C16" s="577">
        <v>0.8</v>
      </c>
      <c r="D16" s="554" t="s">
        <v>25</v>
      </c>
      <c r="E16" s="578"/>
      <c r="F16" s="584" t="s">
        <v>17</v>
      </c>
      <c r="G16" s="585"/>
      <c r="H16" s="586"/>
      <c r="I16" s="587">
        <f>SUM(I13:I15)</f>
        <v>326220.13093257742</v>
      </c>
      <c r="J16" s="534"/>
      <c r="K16" s="534"/>
      <c r="L16" s="534"/>
      <c r="M16" s="534"/>
    </row>
    <row r="17" spans="1:13" ht="16.5" thickTop="1">
      <c r="A17" s="534"/>
      <c r="B17" s="558" t="str">
        <f>B9</f>
        <v>Direct Care</v>
      </c>
      <c r="C17" s="588"/>
      <c r="D17" s="554"/>
      <c r="E17" s="578"/>
      <c r="F17" s="579"/>
      <c r="G17" s="580"/>
      <c r="H17" s="556" t="s">
        <v>50</v>
      </c>
      <c r="I17" s="582"/>
      <c r="J17" s="534"/>
      <c r="K17" s="534"/>
      <c r="L17" s="534"/>
      <c r="M17" s="534"/>
    </row>
    <row r="18" spans="1:13">
      <c r="A18" s="534"/>
      <c r="B18" s="552" t="str">
        <f>B10</f>
        <v xml:space="preserve">  Support/Maintenance</v>
      </c>
      <c r="C18" s="577">
        <v>0.8</v>
      </c>
      <c r="D18" s="554" t="s">
        <v>10</v>
      </c>
      <c r="E18" s="578"/>
      <c r="F18" s="579" t="str">
        <f>$B$22</f>
        <v>Transportation</v>
      </c>
      <c r="G18" s="580"/>
      <c r="H18" s="589"/>
      <c r="I18" s="590">
        <f>'CMR 422 Master Lookup'!C34</f>
        <v>41403.030427199992</v>
      </c>
      <c r="J18" s="534"/>
      <c r="K18" s="534"/>
      <c r="L18" s="534"/>
      <c r="M18" s="534"/>
    </row>
    <row r="19" spans="1:13">
      <c r="A19" s="534"/>
      <c r="B19" s="564" t="str">
        <f>B11</f>
        <v xml:space="preserve">  Driver</v>
      </c>
      <c r="C19" s="591">
        <v>0.8</v>
      </c>
      <c r="D19" s="566" t="s">
        <v>10</v>
      </c>
      <c r="E19" s="592"/>
      <c r="F19" s="579" t="str">
        <f>$B$24</f>
        <v>Program Supplies and Materials</v>
      </c>
      <c r="G19" s="580"/>
      <c r="H19" s="589"/>
      <c r="I19" s="590">
        <f>'CMR 422 Master Lookup'!C36</f>
        <v>12379.922255999998</v>
      </c>
      <c r="J19" s="534"/>
      <c r="K19" s="534"/>
      <c r="L19" s="534"/>
      <c r="M19" s="534"/>
    </row>
    <row r="20" spans="1:13">
      <c r="A20" s="534"/>
      <c r="B20" s="593" t="s">
        <v>18</v>
      </c>
      <c r="C20" s="594"/>
      <c r="D20" s="595"/>
      <c r="E20" s="592"/>
      <c r="F20" s="596" t="s">
        <v>51</v>
      </c>
      <c r="G20" s="581"/>
      <c r="H20" s="589">
        <f>'CMR 422 Master Lookup'!C35/22</f>
        <v>381.18458181818181</v>
      </c>
      <c r="I20" s="590">
        <f>I3*H20</f>
        <v>67088.486399999994</v>
      </c>
      <c r="J20" s="534"/>
      <c r="K20" s="534"/>
      <c r="L20" s="534"/>
      <c r="M20" s="534"/>
    </row>
    <row r="21" spans="1:13">
      <c r="A21" s="534"/>
      <c r="B21" s="597" t="s">
        <v>20</v>
      </c>
      <c r="C21" s="598">
        <v>0.21709999999999999</v>
      </c>
      <c r="D21" s="599" t="s">
        <v>44</v>
      </c>
      <c r="E21" s="600"/>
      <c r="F21" s="579"/>
      <c r="G21" s="580"/>
      <c r="H21" s="581"/>
      <c r="I21" s="582"/>
      <c r="J21" s="534"/>
      <c r="K21" s="534"/>
      <c r="L21" s="534"/>
      <c r="M21" s="534"/>
    </row>
    <row r="22" spans="1:13">
      <c r="A22" s="534"/>
      <c r="B22" s="601" t="s">
        <v>26</v>
      </c>
      <c r="C22" s="553">
        <f>40306.6885*(C28+1)</f>
        <v>41403.030427199992</v>
      </c>
      <c r="D22" s="602" t="s">
        <v>264</v>
      </c>
      <c r="E22" s="603"/>
      <c r="F22" s="573" t="s">
        <v>33</v>
      </c>
      <c r="G22" s="574"/>
      <c r="H22" s="604"/>
      <c r="I22" s="576">
        <f>SUM(I16:I20)</f>
        <v>447091.57001577743</v>
      </c>
      <c r="J22" s="534"/>
      <c r="K22" s="534"/>
      <c r="L22" s="534"/>
      <c r="M22" s="534"/>
    </row>
    <row r="23" spans="1:13">
      <c r="A23" s="534"/>
      <c r="B23" s="601" t="s">
        <v>52</v>
      </c>
      <c r="C23" s="553">
        <f>8164*(C28+1)</f>
        <v>8386.0607999999993</v>
      </c>
      <c r="D23" s="602" t="s">
        <v>264</v>
      </c>
      <c r="E23" s="605"/>
      <c r="F23" s="579" t="s">
        <v>36</v>
      </c>
      <c r="G23" s="583">
        <f>'CMR 422 Master Lookup'!G4</f>
        <v>0.12</v>
      </c>
      <c r="H23" s="581"/>
      <c r="I23" s="562">
        <f>G23*I22</f>
        <v>53650.988401893286</v>
      </c>
      <c r="J23" s="534"/>
      <c r="K23" s="534"/>
      <c r="L23" s="534"/>
      <c r="M23" s="534"/>
    </row>
    <row r="24" spans="1:13">
      <c r="A24" s="534"/>
      <c r="B24" s="601" t="s">
        <v>45</v>
      </c>
      <c r="C24" s="553">
        <f>12052.105*(C28+1)</f>
        <v>12379.922255999998</v>
      </c>
      <c r="D24" s="602" t="s">
        <v>264</v>
      </c>
      <c r="E24" s="605"/>
      <c r="F24" s="606" t="str">
        <f>B26</f>
        <v>PFMLA Trust Contribution</v>
      </c>
      <c r="G24" s="607">
        <f>'CMR 422 Master Lookup'!G5</f>
        <v>6.3E-3</v>
      </c>
      <c r="H24" s="608"/>
      <c r="I24" s="609">
        <f>G24*I13</f>
        <v>1688.5932338141795</v>
      </c>
      <c r="J24" s="534"/>
      <c r="K24" s="534"/>
      <c r="L24" s="534"/>
      <c r="M24" s="534"/>
    </row>
    <row r="25" spans="1:13">
      <c r="A25" s="534"/>
      <c r="B25" s="601" t="s">
        <v>36</v>
      </c>
      <c r="C25" s="598">
        <v>0.12</v>
      </c>
      <c r="D25" s="554" t="s">
        <v>265</v>
      </c>
      <c r="E25" s="605"/>
      <c r="F25" s="579"/>
      <c r="G25" s="580"/>
      <c r="H25" s="581"/>
      <c r="I25" s="582"/>
      <c r="J25" s="534"/>
      <c r="K25" s="534"/>
      <c r="L25" s="534"/>
      <c r="M25" s="534"/>
    </row>
    <row r="26" spans="1:13" ht="16.5" thickBot="1">
      <c r="A26" s="534"/>
      <c r="B26" s="610" t="str">
        <f>'1. O&amp;M Model Budget'!B24</f>
        <v>PFMLA Trust Contribution</v>
      </c>
      <c r="C26" s="611">
        <f>'1. O&amp;M Model Budget'!C24</f>
        <v>6.3E-3</v>
      </c>
      <c r="D26" s="612" t="str">
        <f>'1. O&amp;M Model Budget'!D24</f>
        <v>Effective 7/1/19</v>
      </c>
      <c r="E26" s="605"/>
      <c r="F26" s="613" t="s">
        <v>38</v>
      </c>
      <c r="G26" s="614"/>
      <c r="H26" s="615"/>
      <c r="I26" s="616">
        <f>SUM(I22:I25)</f>
        <v>502431.15165148489</v>
      </c>
      <c r="J26" s="534"/>
      <c r="K26" s="534"/>
      <c r="L26" s="534"/>
      <c r="M26" s="534"/>
    </row>
    <row r="27" spans="1:13" ht="17.25" thickTop="1" thickBot="1">
      <c r="A27" s="534"/>
      <c r="B27" s="617" t="s">
        <v>37</v>
      </c>
      <c r="C27" s="618">
        <f>'Fall 2018'!BQ26</f>
        <v>2.5376928471248276E-2</v>
      </c>
      <c r="D27" s="619" t="s">
        <v>363</v>
      </c>
      <c r="E27" s="605"/>
      <c r="F27" s="579"/>
      <c r="G27" s="580"/>
      <c r="H27" s="581"/>
      <c r="I27" s="582"/>
      <c r="J27" s="534"/>
      <c r="K27" s="534"/>
      <c r="L27" s="534"/>
      <c r="M27" s="534"/>
    </row>
    <row r="28" spans="1:13">
      <c r="A28" s="534"/>
      <c r="B28" s="620" t="s">
        <v>362</v>
      </c>
      <c r="C28" s="621">
        <v>2.7199999999999998E-2</v>
      </c>
      <c r="D28" s="620"/>
      <c r="E28" s="622"/>
      <c r="F28" s="579" t="s">
        <v>39</v>
      </c>
      <c r="G28" s="623">
        <f>'CMR 422 Master Lookup'!G6</f>
        <v>1.8120393120392975E-2</v>
      </c>
      <c r="H28" s="581"/>
      <c r="I28" s="624">
        <f>I26*(1+G28)</f>
        <v>511535.40163534164</v>
      </c>
      <c r="J28" s="534"/>
      <c r="K28" s="534"/>
      <c r="L28" s="534"/>
      <c r="M28" s="534"/>
    </row>
    <row r="29" spans="1:13">
      <c r="A29" s="534"/>
      <c r="B29" s="625"/>
      <c r="C29" s="626"/>
      <c r="D29" s="627"/>
      <c r="E29" s="622"/>
      <c r="F29" s="579"/>
      <c r="G29" s="580"/>
      <c r="H29" s="581"/>
      <c r="I29" s="582"/>
      <c r="J29" s="534"/>
      <c r="K29" s="534"/>
      <c r="L29" s="534"/>
      <c r="M29" s="534"/>
    </row>
    <row r="30" spans="1:13" ht="16.5" thickBot="1">
      <c r="A30" s="534"/>
      <c r="B30" s="539"/>
      <c r="C30" s="581"/>
      <c r="D30" s="580"/>
      <c r="E30" s="603"/>
      <c r="F30" s="628" t="s">
        <v>40</v>
      </c>
      <c r="G30" s="629"/>
      <c r="H30" s="630"/>
      <c r="I30" s="631">
        <f>I28/I3</f>
        <v>2906.45114565535</v>
      </c>
      <c r="J30" s="632"/>
      <c r="K30" s="633"/>
      <c r="L30" s="534"/>
      <c r="M30" s="534"/>
    </row>
    <row r="31" spans="1:13">
      <c r="A31" s="534"/>
      <c r="B31" s="534"/>
      <c r="C31" s="538"/>
      <c r="D31" s="534"/>
      <c r="E31" s="634"/>
      <c r="F31" s="534"/>
      <c r="G31" s="534"/>
      <c r="H31" s="534"/>
      <c r="I31" s="534"/>
      <c r="J31" s="635"/>
      <c r="K31" s="534"/>
      <c r="L31" s="534"/>
      <c r="M31" s="534"/>
    </row>
    <row r="32" spans="1:13">
      <c r="A32" s="534"/>
      <c r="B32" s="534"/>
      <c r="C32" s="538"/>
      <c r="D32" s="534"/>
      <c r="E32" s="627"/>
      <c r="F32" s="534"/>
      <c r="G32" s="534"/>
      <c r="H32" s="534"/>
      <c r="I32" s="635"/>
      <c r="J32" s="534"/>
      <c r="K32" s="534"/>
      <c r="L32" s="534"/>
      <c r="M32" s="534"/>
    </row>
    <row r="33" spans="1:13">
      <c r="A33" s="534"/>
      <c r="B33" s="534"/>
      <c r="C33" s="538"/>
      <c r="D33" s="534"/>
      <c r="E33" s="627"/>
      <c r="F33" s="534"/>
      <c r="G33" s="538"/>
      <c r="H33" s="534"/>
      <c r="I33" s="534"/>
      <c r="J33" s="534"/>
      <c r="K33" s="534"/>
      <c r="L33" s="534"/>
      <c r="M33" s="534"/>
    </row>
    <row r="34" spans="1:13">
      <c r="E34" s="40"/>
      <c r="L34" s="38"/>
    </row>
    <row r="35" spans="1:13">
      <c r="E35" s="40"/>
      <c r="L35" s="38"/>
    </row>
    <row r="36" spans="1:13">
      <c r="F36" s="40"/>
      <c r="G36" s="38"/>
      <c r="H36" s="42"/>
      <c r="I36" s="41"/>
      <c r="J36" s="40"/>
      <c r="K36" s="39"/>
      <c r="L36" s="38"/>
    </row>
    <row r="37" spans="1:13">
      <c r="G37" s="38"/>
      <c r="L37" s="38"/>
    </row>
    <row r="38" spans="1:13" ht="23.25" customHeight="1">
      <c r="B38" s="39"/>
      <c r="C38" s="43"/>
      <c r="D38" s="28"/>
      <c r="G38" s="38"/>
      <c r="L38" s="38"/>
    </row>
    <row r="39" spans="1:13">
      <c r="B39" s="39"/>
      <c r="C39" s="44"/>
      <c r="D39" s="28"/>
      <c r="G39" s="38"/>
      <c r="L39" s="38"/>
    </row>
    <row r="40" spans="1:13">
      <c r="B40" s="39"/>
      <c r="C40" s="45"/>
      <c r="D40" s="28"/>
      <c r="E40" s="28"/>
      <c r="G40" s="38"/>
      <c r="L40" s="38"/>
    </row>
    <row r="41" spans="1:13">
      <c r="C41" s="38"/>
      <c r="D41" s="39"/>
      <c r="E41" s="28"/>
      <c r="G41" s="38"/>
      <c r="L41" s="38"/>
    </row>
    <row r="42" spans="1:13">
      <c r="C42" s="38"/>
      <c r="D42" s="39"/>
      <c r="G42" s="38"/>
      <c r="L42" s="38"/>
    </row>
    <row r="43" spans="1:13">
      <c r="C43" s="38"/>
      <c r="D43" s="39"/>
      <c r="G43" s="38"/>
      <c r="L43" s="38"/>
    </row>
    <row r="44" spans="1:13">
      <c r="C44" s="38"/>
      <c r="D44" s="39"/>
      <c r="G44" s="38"/>
      <c r="L44" s="38"/>
    </row>
    <row r="45" spans="1:13">
      <c r="C45" s="38"/>
      <c r="D45" s="39"/>
      <c r="G45" s="38"/>
      <c r="L45" s="38"/>
    </row>
    <row r="46" spans="1:13">
      <c r="C46" s="38"/>
      <c r="D46" s="39"/>
      <c r="G46" s="38"/>
      <c r="L46" s="38"/>
    </row>
    <row r="47" spans="1:13">
      <c r="C47" s="38"/>
      <c r="G47" s="38"/>
      <c r="L47" s="38"/>
    </row>
    <row r="48" spans="1:13">
      <c r="C48" s="38"/>
      <c r="G48" s="38"/>
      <c r="L48" s="38"/>
    </row>
    <row r="49" spans="3:12">
      <c r="C49" s="38"/>
      <c r="G49" s="38"/>
      <c r="L49" s="38"/>
    </row>
    <row r="50" spans="3:12">
      <c r="C50" s="38"/>
      <c r="G50" s="38"/>
      <c r="L50" s="38"/>
    </row>
    <row r="51" spans="3:12">
      <c r="C51" s="38"/>
      <c r="G51" s="38"/>
      <c r="L51" s="38"/>
    </row>
    <row r="52" spans="3:12">
      <c r="C52" s="38"/>
      <c r="G52" s="38"/>
      <c r="L52" s="38"/>
    </row>
    <row r="53" spans="3:12">
      <c r="C53" s="38"/>
      <c r="G53" s="38"/>
      <c r="L53" s="38"/>
    </row>
    <row r="54" spans="3:12">
      <c r="C54" s="38"/>
      <c r="G54" s="38"/>
      <c r="L54" s="38"/>
    </row>
    <row r="55" spans="3:12">
      <c r="C55" s="38"/>
      <c r="G55" s="38"/>
      <c r="L55" s="38"/>
    </row>
    <row r="56" spans="3:12">
      <c r="C56" s="38"/>
      <c r="G56" s="38"/>
      <c r="L56" s="38"/>
    </row>
    <row r="57" spans="3:12">
      <c r="C57" s="38"/>
      <c r="G57" s="38"/>
      <c r="L57" s="38"/>
    </row>
    <row r="58" spans="3:12">
      <c r="C58" s="38"/>
      <c r="G58" s="38"/>
      <c r="L58" s="38"/>
    </row>
    <row r="59" spans="3:12">
      <c r="C59" s="38"/>
      <c r="G59" s="38"/>
      <c r="L59" s="38"/>
    </row>
    <row r="60" spans="3:12">
      <c r="C60" s="38"/>
      <c r="G60" s="38"/>
      <c r="L60" s="38"/>
    </row>
    <row r="61" spans="3:12">
      <c r="C61" s="38"/>
      <c r="G61" s="38"/>
      <c r="L61" s="38"/>
    </row>
    <row r="62" spans="3:12">
      <c r="C62" s="38"/>
      <c r="G62" s="38"/>
      <c r="L62" s="38"/>
    </row>
    <row r="63" spans="3:12">
      <c r="C63" s="38"/>
      <c r="G63" s="38"/>
      <c r="L63" s="38"/>
    </row>
    <row r="64" spans="3:12">
      <c r="C64" s="38"/>
      <c r="G64" s="38"/>
      <c r="L64" s="38"/>
    </row>
    <row r="65" spans="3:12">
      <c r="C65" s="38"/>
      <c r="G65" s="38"/>
      <c r="L65" s="38"/>
    </row>
    <row r="66" spans="3:12">
      <c r="C66" s="38"/>
      <c r="G66" s="38"/>
      <c r="L66" s="38"/>
    </row>
    <row r="67" spans="3:12">
      <c r="C67" s="38"/>
      <c r="G67" s="38"/>
      <c r="L67" s="38"/>
    </row>
    <row r="68" spans="3:12">
      <c r="C68" s="38"/>
      <c r="G68" s="38"/>
      <c r="L68" s="38"/>
    </row>
    <row r="69" spans="3:12">
      <c r="C69" s="38"/>
      <c r="G69" s="38"/>
      <c r="L69" s="38"/>
    </row>
    <row r="70" spans="3:12">
      <c r="C70" s="38"/>
      <c r="G70" s="38"/>
      <c r="L70" s="38"/>
    </row>
    <row r="71" spans="3:12">
      <c r="C71" s="38"/>
      <c r="G71" s="38"/>
      <c r="L71" s="38"/>
    </row>
    <row r="72" spans="3:12">
      <c r="C72" s="38"/>
      <c r="G72" s="38"/>
      <c r="L72" s="38"/>
    </row>
    <row r="73" spans="3:12">
      <c r="C73" s="38"/>
      <c r="G73" s="38"/>
      <c r="L73" s="38"/>
    </row>
    <row r="74" spans="3:12">
      <c r="C74" s="38"/>
      <c r="G74" s="38"/>
      <c r="I74" s="46"/>
      <c r="L74" s="38"/>
    </row>
    <row r="75" spans="3:12">
      <c r="G75" s="38"/>
      <c r="I75" s="46"/>
      <c r="L75" s="38"/>
    </row>
    <row r="76" spans="3:12">
      <c r="G76" s="38"/>
      <c r="I76" s="47"/>
      <c r="L76" s="38"/>
    </row>
    <row r="77" spans="3:12">
      <c r="G77" s="38"/>
      <c r="I77" s="46"/>
      <c r="L77" s="38"/>
    </row>
    <row r="78" spans="3:12">
      <c r="G78" s="38"/>
      <c r="I78" s="39"/>
      <c r="L78" s="38"/>
    </row>
    <row r="79" spans="3:12">
      <c r="G79" s="38"/>
      <c r="I79" s="39"/>
      <c r="L79" s="38"/>
    </row>
    <row r="80" spans="3:12">
      <c r="G80" s="38"/>
      <c r="I80" s="39"/>
      <c r="L80" s="38"/>
    </row>
    <row r="81" spans="7:12">
      <c r="G81" s="38"/>
      <c r="I81" s="39"/>
      <c r="L81" s="38"/>
    </row>
    <row r="82" spans="7:12">
      <c r="G82" s="38"/>
      <c r="I82" s="39"/>
      <c r="L82" s="38"/>
    </row>
    <row r="83" spans="7:12">
      <c r="G83" s="38"/>
      <c r="I83" s="39"/>
      <c r="L83" s="38"/>
    </row>
    <row r="84" spans="7:12">
      <c r="G84" s="38"/>
      <c r="I84" s="39"/>
      <c r="L84" s="38"/>
    </row>
    <row r="85" spans="7:12">
      <c r="G85" s="38"/>
      <c r="I85" s="39"/>
      <c r="L85" s="38"/>
    </row>
    <row r="86" spans="7:12">
      <c r="G86" s="38"/>
      <c r="I86" s="39"/>
      <c r="L86" s="38"/>
    </row>
    <row r="87" spans="7:12">
      <c r="L87" s="38"/>
    </row>
    <row r="88" spans="7:12">
      <c r="L88" s="38"/>
    </row>
    <row r="89" spans="7:12">
      <c r="L89" s="38"/>
    </row>
    <row r="90" spans="7:12">
      <c r="L90" s="38"/>
    </row>
    <row r="91" spans="7:12">
      <c r="L91" s="38"/>
    </row>
    <row r="92" spans="7:12">
      <c r="L92" s="38"/>
    </row>
    <row r="93" spans="7:12">
      <c r="L93" s="38"/>
    </row>
    <row r="94" spans="7:12">
      <c r="L94" s="38"/>
    </row>
    <row r="95" spans="7:12">
      <c r="L95" s="38"/>
    </row>
    <row r="96" spans="7:12">
      <c r="L96" s="38"/>
    </row>
    <row r="97" spans="12:12">
      <c r="L97" s="38"/>
    </row>
    <row r="98" spans="12:12">
      <c r="L98" s="38"/>
    </row>
    <row r="99" spans="12:12">
      <c r="L99" s="38"/>
    </row>
    <row r="100" spans="12:12">
      <c r="L100" s="38"/>
    </row>
    <row r="101" spans="12:12">
      <c r="L101" s="38"/>
    </row>
    <row r="102" spans="12:12">
      <c r="L102" s="38"/>
    </row>
    <row r="103" spans="12:12">
      <c r="L103" s="38"/>
    </row>
    <row r="104" spans="12:12">
      <c r="L104" s="38"/>
    </row>
    <row r="105" spans="12:12">
      <c r="L105" s="38"/>
    </row>
    <row r="106" spans="12:12">
      <c r="L106" s="38"/>
    </row>
    <row r="107" spans="12:12">
      <c r="L107" s="38"/>
    </row>
    <row r="108" spans="12:12">
      <c r="L108" s="38"/>
    </row>
    <row r="109" spans="12:12">
      <c r="L109" s="38"/>
    </row>
    <row r="110" spans="12:12">
      <c r="L110" s="38"/>
    </row>
  </sheetData>
  <mergeCells count="3">
    <mergeCell ref="B2:D2"/>
    <mergeCell ref="F2:I2"/>
    <mergeCell ref="B3:C3"/>
  </mergeCells>
  <pageMargins left="0.25" right="0.25" top="0.75" bottom="0.75" header="0.3" footer="0.3"/>
  <pageSetup scale="59" orientation="landscape" cellComments="asDisplayed" horizontalDpi="300" verticalDpi="300" r:id="rId1"/>
  <headerFooter>
    <oddHeader>&amp;CMobile Eye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topLeftCell="G13" zoomScaleNormal="100" workbookViewId="0">
      <selection activeCell="M31" sqref="M31"/>
    </sheetView>
  </sheetViews>
  <sheetFormatPr defaultColWidth="9.140625" defaultRowHeight="15.75"/>
  <cols>
    <col min="1" max="1" width="0" style="1" hidden="1" customWidth="1"/>
    <col min="2" max="2" width="41" style="1" hidden="1" customWidth="1"/>
    <col min="3" max="3" width="12.140625" style="30" hidden="1" customWidth="1"/>
    <col min="4" max="4" width="19.7109375" style="1" hidden="1" customWidth="1"/>
    <col min="5" max="5" width="13.5703125" style="38" hidden="1" customWidth="1"/>
    <col min="6" max="6" width="32.85546875" style="38" hidden="1" customWidth="1"/>
    <col min="7" max="7" width="4.42578125" style="1" customWidth="1"/>
    <col min="8" max="8" width="25.140625" style="1" bestFit="1" customWidth="1"/>
    <col min="9" max="9" width="10.28515625" style="1" customWidth="1"/>
    <col min="10" max="10" width="10.42578125" style="30" bestFit="1" customWidth="1"/>
    <col min="11" max="11" width="9.5703125" style="1" bestFit="1" customWidth="1"/>
    <col min="12" max="12" width="13.140625" style="1" customWidth="1"/>
    <col min="13" max="16384" width="9.140625" style="1"/>
  </cols>
  <sheetData>
    <row r="1" spans="1:15">
      <c r="A1" s="417"/>
      <c r="B1" s="417"/>
      <c r="C1" s="432"/>
      <c r="D1" s="417"/>
      <c r="E1" s="534"/>
      <c r="F1" s="534"/>
      <c r="G1" s="417"/>
      <c r="H1" s="417"/>
      <c r="I1" s="417"/>
      <c r="J1" s="432"/>
      <c r="K1" s="417"/>
      <c r="L1" s="417"/>
      <c r="M1" s="417"/>
      <c r="N1" s="417"/>
      <c r="O1" s="417"/>
    </row>
    <row r="2" spans="1:15" ht="16.5" thickBot="1">
      <c r="A2" s="417"/>
      <c r="B2" s="679"/>
      <c r="C2" s="680"/>
      <c r="D2" s="681"/>
      <c r="E2" s="681"/>
      <c r="F2" s="681"/>
      <c r="G2" s="636"/>
      <c r="H2" s="417"/>
      <c r="I2" s="417"/>
      <c r="J2" s="432"/>
      <c r="K2" s="417"/>
      <c r="L2" s="417"/>
      <c r="M2" s="417"/>
      <c r="N2" s="417"/>
      <c r="O2" s="417"/>
    </row>
    <row r="3" spans="1:15" ht="22.5" customHeight="1" thickBot="1">
      <c r="A3" s="417"/>
      <c r="B3" s="950" t="s">
        <v>0</v>
      </c>
      <c r="C3" s="951"/>
      <c r="D3" s="951"/>
      <c r="E3" s="951"/>
      <c r="F3" s="952"/>
      <c r="G3" s="636"/>
      <c r="H3" s="947" t="s">
        <v>269</v>
      </c>
      <c r="I3" s="948"/>
      <c r="J3" s="948"/>
      <c r="K3" s="949"/>
      <c r="L3" s="417"/>
      <c r="M3" s="417"/>
      <c r="N3" s="417"/>
      <c r="O3" s="417"/>
    </row>
    <row r="4" spans="1:15">
      <c r="A4" s="417"/>
      <c r="B4" s="682" t="s">
        <v>1</v>
      </c>
      <c r="C4" s="683"/>
      <c r="D4" s="953" t="s">
        <v>2</v>
      </c>
      <c r="E4" s="954"/>
      <c r="F4" s="955"/>
      <c r="G4" s="636"/>
      <c r="H4" s="637" t="s">
        <v>3</v>
      </c>
      <c r="I4" s="638">
        <v>70</v>
      </c>
      <c r="J4" s="639" t="s">
        <v>4</v>
      </c>
      <c r="K4" s="640">
        <f>I4*16*12</f>
        <v>13440</v>
      </c>
      <c r="L4" s="417"/>
      <c r="M4" s="417"/>
      <c r="N4" s="417"/>
      <c r="O4" s="417"/>
    </row>
    <row r="5" spans="1:15">
      <c r="A5" s="417"/>
      <c r="B5" s="684"/>
      <c r="C5" s="547"/>
      <c r="D5" s="685"/>
      <c r="E5" s="685"/>
      <c r="F5" s="686"/>
      <c r="G5" s="636"/>
      <c r="H5" s="641"/>
      <c r="I5" s="642" t="s">
        <v>5</v>
      </c>
      <c r="J5" s="642" t="s">
        <v>6</v>
      </c>
      <c r="K5" s="643" t="s">
        <v>7</v>
      </c>
      <c r="L5" s="417"/>
      <c r="M5" s="417"/>
      <c r="N5" s="417"/>
      <c r="O5" s="417"/>
    </row>
    <row r="6" spans="1:15">
      <c r="A6" s="417"/>
      <c r="B6" s="546" t="s">
        <v>8</v>
      </c>
      <c r="C6" s="687"/>
      <c r="D6" s="685"/>
      <c r="E6" s="685"/>
      <c r="F6" s="686"/>
      <c r="G6" s="636"/>
      <c r="H6" s="644" t="str">
        <f>$B$6</f>
        <v>Management</v>
      </c>
      <c r="I6" s="645"/>
      <c r="J6" s="645"/>
      <c r="K6" s="646"/>
      <c r="L6" s="417"/>
      <c r="M6" s="417"/>
      <c r="N6" s="417"/>
      <c r="O6" s="417"/>
    </row>
    <row r="7" spans="1:15">
      <c r="A7" s="417"/>
      <c r="B7" s="552" t="s">
        <v>9</v>
      </c>
      <c r="C7" s="553">
        <f>41939.4885*(1+C29)</f>
        <v>43080.242587199995</v>
      </c>
      <c r="D7" s="688" t="s">
        <v>263</v>
      </c>
      <c r="E7" s="688"/>
      <c r="F7" s="689"/>
      <c r="G7" s="636"/>
      <c r="H7" s="647" t="str">
        <f>$B$7</f>
        <v xml:space="preserve">  Program Director</v>
      </c>
      <c r="I7" s="648">
        <f>'CMR 422 Master Lookup'!C10</f>
        <v>43080.242587199995</v>
      </c>
      <c r="J7" s="649">
        <f>$C$13</f>
        <v>1</v>
      </c>
      <c r="K7" s="650">
        <f>I7*J7</f>
        <v>43080.242587199995</v>
      </c>
      <c r="L7" s="417"/>
      <c r="M7" s="417"/>
      <c r="N7" s="417"/>
      <c r="O7" s="417"/>
    </row>
    <row r="8" spans="1:15">
      <c r="A8" s="417"/>
      <c r="B8" s="552" t="s">
        <v>11</v>
      </c>
      <c r="C8" s="553">
        <f>33366.7901162791*(1+C29)</f>
        <v>34274.366807441889</v>
      </c>
      <c r="D8" s="688" t="s">
        <v>263</v>
      </c>
      <c r="E8" s="688"/>
      <c r="F8" s="689"/>
      <c r="G8" s="636"/>
      <c r="H8" s="647" t="str">
        <f>$B$8</f>
        <v xml:space="preserve">  Assistant Program Director</v>
      </c>
      <c r="I8" s="648">
        <f>'CMR 422 Master Lookup'!C6</f>
        <v>34274.366807441889</v>
      </c>
      <c r="J8" s="649">
        <f>$C$14</f>
        <v>1</v>
      </c>
      <c r="K8" s="650">
        <f>I8*J8</f>
        <v>34274.366807441889</v>
      </c>
      <c r="L8" s="417"/>
      <c r="M8" s="417"/>
      <c r="N8" s="417"/>
      <c r="O8" s="417"/>
    </row>
    <row r="9" spans="1:15">
      <c r="A9" s="417"/>
      <c r="B9" s="558" t="s">
        <v>12</v>
      </c>
      <c r="C9" s="553"/>
      <c r="D9" s="688"/>
      <c r="E9" s="688"/>
      <c r="F9" s="689"/>
      <c r="G9" s="636"/>
      <c r="H9" s="644" t="str">
        <f>$B$9</f>
        <v>Direct Care</v>
      </c>
      <c r="I9" s="648"/>
      <c r="J9" s="649"/>
      <c r="K9" s="650"/>
      <c r="L9" s="417"/>
      <c r="M9" s="417"/>
      <c r="N9" s="417"/>
      <c r="O9" s="417"/>
    </row>
    <row r="10" spans="1:15">
      <c r="A10" s="417"/>
      <c r="B10" s="564" t="s">
        <v>13</v>
      </c>
      <c r="C10" s="690">
        <v>30700</v>
      </c>
      <c r="D10" s="691" t="s">
        <v>365</v>
      </c>
      <c r="E10" s="692"/>
      <c r="F10" s="693"/>
      <c r="G10" s="636"/>
      <c r="H10" s="647" t="str">
        <f>$B$10</f>
        <v xml:space="preserve">  Program Assistant</v>
      </c>
      <c r="I10" s="648">
        <f>'CMR 422 Master Lookup'!C4</f>
        <v>30700</v>
      </c>
      <c r="J10" s="649">
        <f>$C$16</f>
        <v>0.4</v>
      </c>
      <c r="K10" s="650">
        <f>I10*J10</f>
        <v>12280</v>
      </c>
      <c r="L10" s="417"/>
      <c r="M10" s="417"/>
      <c r="N10" s="417"/>
      <c r="O10" s="417"/>
    </row>
    <row r="11" spans="1:15">
      <c r="A11" s="417"/>
      <c r="B11" s="956" t="s">
        <v>14</v>
      </c>
      <c r="C11" s="957"/>
      <c r="D11" s="694"/>
      <c r="E11" s="694"/>
      <c r="F11" s="695"/>
      <c r="G11" s="636"/>
      <c r="H11" s="651" t="s">
        <v>15</v>
      </c>
      <c r="I11" s="652"/>
      <c r="J11" s="653">
        <f>SUM(J7:J10)</f>
        <v>2.4</v>
      </c>
      <c r="K11" s="654">
        <f>SUM(K7:K10)</f>
        <v>89634.609394641884</v>
      </c>
      <c r="L11" s="417"/>
      <c r="M11" s="417"/>
      <c r="N11" s="417"/>
      <c r="O11" s="417"/>
    </row>
    <row r="12" spans="1:15">
      <c r="A12" s="417"/>
      <c r="B12" s="546" t="str">
        <f>B6</f>
        <v>Management</v>
      </c>
      <c r="C12" s="572"/>
      <c r="D12" s="696"/>
      <c r="E12" s="696"/>
      <c r="F12" s="697"/>
      <c r="G12" s="636"/>
      <c r="H12" s="655"/>
      <c r="I12" s="656"/>
      <c r="J12" s="645"/>
      <c r="K12" s="657"/>
      <c r="L12" s="417"/>
      <c r="M12" s="417"/>
      <c r="N12" s="417"/>
      <c r="O12" s="417"/>
    </row>
    <row r="13" spans="1:15">
      <c r="A13" s="417"/>
      <c r="B13" s="552" t="str">
        <f>B7</f>
        <v xml:space="preserve">  Program Director</v>
      </c>
      <c r="C13" s="577">
        <v>1</v>
      </c>
      <c r="D13" s="688" t="s">
        <v>10</v>
      </c>
      <c r="E13" s="688"/>
      <c r="F13" s="689"/>
      <c r="G13" s="636"/>
      <c r="H13" s="658" t="s">
        <v>16</v>
      </c>
      <c r="I13" s="659">
        <f>'CMR 422 Master Lookup'!G3</f>
        <v>0.21709999999999999</v>
      </c>
      <c r="J13" s="660"/>
      <c r="K13" s="650">
        <f>I13*K11</f>
        <v>19459.673699576753</v>
      </c>
      <c r="L13" s="417"/>
      <c r="M13" s="417"/>
      <c r="N13" s="417"/>
      <c r="O13" s="417"/>
    </row>
    <row r="14" spans="1:15">
      <c r="A14" s="417"/>
      <c r="B14" s="552" t="str">
        <f>B8</f>
        <v xml:space="preserve">  Assistant Program Director</v>
      </c>
      <c r="C14" s="577">
        <v>1</v>
      </c>
      <c r="D14" s="688" t="s">
        <v>10</v>
      </c>
      <c r="E14" s="688"/>
      <c r="F14" s="689"/>
      <c r="G14" s="636"/>
      <c r="H14" s="651" t="s">
        <v>17</v>
      </c>
      <c r="I14" s="652"/>
      <c r="J14" s="661"/>
      <c r="K14" s="576">
        <f>SUM(K11:K13)</f>
        <v>109094.28309421864</v>
      </c>
      <c r="L14" s="417"/>
      <c r="M14" s="417"/>
      <c r="N14" s="417"/>
      <c r="O14" s="417"/>
    </row>
    <row r="15" spans="1:15">
      <c r="A15" s="417"/>
      <c r="B15" s="558" t="str">
        <f>B9</f>
        <v>Direct Care</v>
      </c>
      <c r="C15" s="577"/>
      <c r="D15" s="698"/>
      <c r="E15" s="699"/>
      <c r="F15" s="700"/>
      <c r="G15" s="636"/>
      <c r="H15" s="658"/>
      <c r="I15" s="656"/>
      <c r="J15" s="660"/>
      <c r="K15" s="657"/>
      <c r="L15" s="417"/>
      <c r="M15" s="417"/>
      <c r="N15" s="417"/>
      <c r="O15" s="417"/>
    </row>
    <row r="16" spans="1:15">
      <c r="A16" s="417"/>
      <c r="B16" s="564" t="str">
        <f>B10</f>
        <v xml:space="preserve">  Program Assistant</v>
      </c>
      <c r="C16" s="591">
        <v>0.4</v>
      </c>
      <c r="D16" s="701" t="s">
        <v>10</v>
      </c>
      <c r="E16" s="692"/>
      <c r="F16" s="693"/>
      <c r="G16" s="636"/>
      <c r="H16" s="658" t="str">
        <f>$B$19</f>
        <v>Occupancy</v>
      </c>
      <c r="I16" s="656"/>
      <c r="J16" s="662"/>
      <c r="K16" s="663">
        <f>'CMR 422 Master Lookup'!C37</f>
        <v>69130.492204799986</v>
      </c>
      <c r="L16" s="417"/>
      <c r="M16" s="417"/>
      <c r="N16" s="417"/>
      <c r="O16" s="417"/>
    </row>
    <row r="17" spans="1:15">
      <c r="A17" s="417"/>
      <c r="B17" s="958" t="s">
        <v>18</v>
      </c>
      <c r="C17" s="959"/>
      <c r="D17" s="702"/>
      <c r="E17" s="702"/>
      <c r="F17" s="703"/>
      <c r="G17" s="636"/>
      <c r="H17" s="658" t="s">
        <v>19</v>
      </c>
      <c r="I17" s="656"/>
      <c r="J17" s="662"/>
      <c r="K17" s="663">
        <f>'CMR 422 Master Lookup'!C38*'5. DBCAN Model Budget'!K4</f>
        <v>253594.47859199997</v>
      </c>
      <c r="L17" s="417"/>
      <c r="M17" s="417"/>
      <c r="N17" s="417"/>
      <c r="O17" s="417"/>
    </row>
    <row r="18" spans="1:15">
      <c r="A18" s="417"/>
      <c r="B18" s="597" t="s">
        <v>20</v>
      </c>
      <c r="C18" s="704">
        <v>0.21709999999999999</v>
      </c>
      <c r="D18" s="705" t="s">
        <v>44</v>
      </c>
      <c r="E18" s="705"/>
      <c r="F18" s="706"/>
      <c r="G18" s="636"/>
      <c r="H18" s="658" t="s">
        <v>21</v>
      </c>
      <c r="I18" s="656"/>
      <c r="J18" s="662"/>
      <c r="K18" s="663">
        <f>'CMR 422 Master Lookup'!C39*4*50</f>
        <v>11225.5</v>
      </c>
      <c r="L18" s="417"/>
      <c r="M18" s="417"/>
      <c r="N18" s="417"/>
      <c r="O18" s="417"/>
    </row>
    <row r="19" spans="1:15">
      <c r="A19" s="417"/>
      <c r="B19" s="601" t="s">
        <v>22</v>
      </c>
      <c r="C19" s="553">
        <f>67299.934*(1+C29)</f>
        <v>69130.492204799986</v>
      </c>
      <c r="D19" s="707" t="s">
        <v>264</v>
      </c>
      <c r="E19" s="707"/>
      <c r="F19" s="708"/>
      <c r="G19" s="656"/>
      <c r="H19" s="664" t="s">
        <v>23</v>
      </c>
      <c r="I19" s="656"/>
      <c r="J19" s="662"/>
      <c r="K19" s="663">
        <f>'CMR 422 Master Lookup'!C40*48</f>
        <v>6123</v>
      </c>
      <c r="L19" s="417"/>
      <c r="M19" s="417"/>
      <c r="N19" s="417"/>
      <c r="O19" s="417"/>
    </row>
    <row r="20" spans="1:15">
      <c r="A20" s="417"/>
      <c r="B20" s="601" t="s">
        <v>24</v>
      </c>
      <c r="C20" s="709">
        <f>18.369*(1+C29)</f>
        <v>18.868636799999997</v>
      </c>
      <c r="D20" s="707" t="s">
        <v>264</v>
      </c>
      <c r="E20" s="707"/>
      <c r="F20" s="708"/>
      <c r="G20" s="636"/>
      <c r="H20" s="658" t="s">
        <v>26</v>
      </c>
      <c r="I20" s="656"/>
      <c r="J20" s="662"/>
      <c r="K20" s="663">
        <f>'CMR 422 Master Lookup'!C41*I4</f>
        <v>38961.363349999992</v>
      </c>
      <c r="L20" s="417"/>
      <c r="M20" s="417"/>
      <c r="N20" s="417"/>
      <c r="O20" s="417"/>
    </row>
    <row r="21" spans="1:15">
      <c r="A21" s="417"/>
      <c r="B21" s="601" t="s">
        <v>27</v>
      </c>
      <c r="C21" s="709">
        <v>56.127499999999998</v>
      </c>
      <c r="D21" s="707" t="s">
        <v>28</v>
      </c>
      <c r="E21" s="707"/>
      <c r="F21" s="708"/>
      <c r="G21" s="636"/>
      <c r="H21" s="658" t="str">
        <f>$B$24</f>
        <v>Program Supplies &amp; Materials</v>
      </c>
      <c r="I21" s="656"/>
      <c r="J21" s="662"/>
      <c r="K21" s="663">
        <f>'CMR 422 Master Lookup'!C42</f>
        <v>1028.3407055999999</v>
      </c>
      <c r="L21" s="417"/>
      <c r="M21" s="417"/>
      <c r="N21" s="417"/>
      <c r="O21" s="417"/>
    </row>
    <row r="22" spans="1:15">
      <c r="A22" s="417"/>
      <c r="B22" s="601" t="s">
        <v>29</v>
      </c>
      <c r="C22" s="709">
        <v>127.5625</v>
      </c>
      <c r="D22" s="707" t="s">
        <v>30</v>
      </c>
      <c r="E22" s="707"/>
      <c r="F22" s="708"/>
      <c r="G22" s="636"/>
      <c r="H22" s="658" t="str">
        <f>$B$25</f>
        <v>IT Consultant</v>
      </c>
      <c r="I22" s="656"/>
      <c r="J22" s="662"/>
      <c r="K22" s="663">
        <f>'CMR 422 Master Lookup'!C43</f>
        <v>314.47727999999995</v>
      </c>
      <c r="L22" s="417"/>
      <c r="M22" s="417"/>
      <c r="N22" s="417"/>
      <c r="O22" s="417"/>
    </row>
    <row r="23" spans="1:15">
      <c r="A23" s="417"/>
      <c r="B23" s="601" t="s">
        <v>31</v>
      </c>
      <c r="C23" s="709">
        <v>556.59090499999991</v>
      </c>
      <c r="D23" s="707" t="s">
        <v>32</v>
      </c>
      <c r="E23" s="707"/>
      <c r="F23" s="708"/>
      <c r="G23" s="636"/>
      <c r="H23" s="651" t="s">
        <v>33</v>
      </c>
      <c r="I23" s="652"/>
      <c r="J23" s="665"/>
      <c r="K23" s="654">
        <f>SUM(K14:K22)</f>
        <v>489471.93522661855</v>
      </c>
      <c r="L23" s="417"/>
      <c r="M23" s="417"/>
      <c r="N23" s="417"/>
      <c r="O23" s="417"/>
    </row>
    <row r="24" spans="1:15">
      <c r="A24" s="417"/>
      <c r="B24" s="601" t="s">
        <v>34</v>
      </c>
      <c r="C24" s="553">
        <f>1001.1105*(1+C29)</f>
        <v>1028.3407055999999</v>
      </c>
      <c r="D24" s="707" t="s">
        <v>264</v>
      </c>
      <c r="E24" s="688"/>
      <c r="F24" s="689"/>
      <c r="G24" s="636"/>
      <c r="H24" s="658" t="s">
        <v>36</v>
      </c>
      <c r="I24" s="659">
        <f>'CMR 422 Master Lookup'!G4</f>
        <v>0.12</v>
      </c>
      <c r="J24" s="660"/>
      <c r="K24" s="650">
        <f>I24*K23</f>
        <v>58736.632227194226</v>
      </c>
      <c r="L24" s="417"/>
      <c r="M24" s="417"/>
      <c r="N24" s="417"/>
      <c r="O24" s="417"/>
    </row>
    <row r="25" spans="1:15">
      <c r="A25" s="417"/>
      <c r="B25" s="601" t="s">
        <v>35</v>
      </c>
      <c r="C25" s="553">
        <f>306.15*(1+C29)</f>
        <v>314.47727999999995</v>
      </c>
      <c r="D25" s="707" t="s">
        <v>264</v>
      </c>
      <c r="E25" s="707"/>
      <c r="F25" s="708"/>
      <c r="G25" s="636"/>
      <c r="H25" s="520" t="str">
        <f>B27</f>
        <v>PFMLA Trust Contribution</v>
      </c>
      <c r="I25" s="521">
        <f>'CMR 422 Master Lookup'!G5</f>
        <v>6.3E-3</v>
      </c>
      <c r="J25" s="666"/>
      <c r="K25" s="522">
        <f>I25*K11</f>
        <v>564.69803918624382</v>
      </c>
      <c r="L25" s="417"/>
      <c r="M25" s="417"/>
      <c r="N25" s="417"/>
      <c r="O25" s="417"/>
    </row>
    <row r="26" spans="1:15" ht="16.5" thickBot="1">
      <c r="A26" s="417"/>
      <c r="B26" s="601" t="s">
        <v>36</v>
      </c>
      <c r="C26" s="598">
        <v>0.12</v>
      </c>
      <c r="D26" s="707" t="s">
        <v>265</v>
      </c>
      <c r="E26" s="707"/>
      <c r="F26" s="708"/>
      <c r="G26" s="636"/>
      <c r="H26" s="667" t="s">
        <v>38</v>
      </c>
      <c r="I26" s="668"/>
      <c r="J26" s="669"/>
      <c r="K26" s="670">
        <f>SUM(K23:K25)</f>
        <v>548773.26549299899</v>
      </c>
      <c r="L26" s="417"/>
      <c r="M26" s="417"/>
      <c r="N26" s="417"/>
      <c r="O26" s="417"/>
    </row>
    <row r="27" spans="1:15" ht="16.5" thickTop="1">
      <c r="A27" s="417"/>
      <c r="B27" s="610" t="str">
        <f>'1. O&amp;M Model Budget'!B24</f>
        <v>PFMLA Trust Contribution</v>
      </c>
      <c r="C27" s="710">
        <f>'1. O&amp;M Model Budget'!C24</f>
        <v>6.3E-3</v>
      </c>
      <c r="D27" s="711" t="str">
        <f>'1. O&amp;M Model Budget'!D24</f>
        <v>Effective 7/1/19</v>
      </c>
      <c r="E27" s="712"/>
      <c r="F27" s="713"/>
      <c r="G27" s="636"/>
      <c r="H27" s="658" t="s">
        <v>39</v>
      </c>
      <c r="I27" s="671">
        <f>'CMR 422 Master Lookup'!G6</f>
        <v>1.8120393120392975E-2</v>
      </c>
      <c r="J27" s="660"/>
      <c r="K27" s="672">
        <f>K26*(1+I27)</f>
        <v>558717.25279769395</v>
      </c>
      <c r="L27" s="417"/>
      <c r="M27" s="417"/>
      <c r="N27" s="417"/>
      <c r="O27" s="417"/>
    </row>
    <row r="28" spans="1:15" ht="16.5" thickBot="1">
      <c r="A28" s="417"/>
      <c r="B28" s="617" t="s">
        <v>37</v>
      </c>
      <c r="C28" s="714">
        <f>'Fall 2018'!BQ26</f>
        <v>2.5376928471248276E-2</v>
      </c>
      <c r="D28" s="619" t="s">
        <v>363</v>
      </c>
      <c r="E28" s="715"/>
      <c r="F28" s="716"/>
      <c r="G28" s="636"/>
      <c r="H28" s="658"/>
      <c r="I28" s="656"/>
      <c r="J28" s="660"/>
      <c r="K28" s="657"/>
      <c r="L28" s="417"/>
      <c r="M28" s="417"/>
      <c r="N28" s="417"/>
      <c r="O28" s="417"/>
    </row>
    <row r="29" spans="1:15" ht="16.5" thickBot="1">
      <c r="A29" s="417"/>
      <c r="B29" s="717" t="s">
        <v>362</v>
      </c>
      <c r="C29" s="718">
        <v>2.7199999999999998E-2</v>
      </c>
      <c r="D29" s="620"/>
      <c r="E29" s="620"/>
      <c r="F29" s="620"/>
      <c r="G29" s="636"/>
      <c r="H29" s="673" t="s">
        <v>40</v>
      </c>
      <c r="I29" s="674"/>
      <c r="J29" s="675"/>
      <c r="K29" s="676">
        <f>K27/K4-0.01</f>
        <v>41.561224166495087</v>
      </c>
      <c r="L29" s="427"/>
      <c r="M29" s="418"/>
      <c r="N29" s="417"/>
      <c r="O29" s="417"/>
    </row>
    <row r="30" spans="1:15">
      <c r="A30" s="417"/>
      <c r="B30" s="539"/>
      <c r="C30" s="538"/>
      <c r="D30" s="534"/>
      <c r="E30" s="534"/>
      <c r="F30" s="534"/>
      <c r="G30" s="636"/>
      <c r="H30" s="417"/>
      <c r="I30" s="417"/>
      <c r="J30" s="432"/>
      <c r="K30" s="417"/>
      <c r="L30" s="417"/>
      <c r="M30" s="417"/>
      <c r="N30" s="417"/>
      <c r="O30" s="417"/>
    </row>
    <row r="31" spans="1:15">
      <c r="A31" s="417"/>
      <c r="B31" s="417"/>
      <c r="C31" s="432"/>
      <c r="D31" s="417"/>
      <c r="E31" s="534"/>
      <c r="F31" s="534"/>
      <c r="G31" s="636"/>
      <c r="H31" s="421"/>
      <c r="I31" s="677"/>
      <c r="J31" s="678"/>
      <c r="K31" s="417"/>
      <c r="L31" s="417"/>
      <c r="M31" s="417"/>
      <c r="N31" s="417"/>
      <c r="O31" s="417"/>
    </row>
    <row r="32" spans="1:15">
      <c r="G32" s="2"/>
      <c r="H32" s="157"/>
      <c r="I32" s="159"/>
    </row>
    <row r="33" spans="7:12">
      <c r="G33" s="16"/>
      <c r="H33" s="160"/>
      <c r="I33" s="161"/>
      <c r="J33" s="162"/>
    </row>
    <row r="34" spans="7:12">
      <c r="G34" s="26"/>
      <c r="H34" s="160"/>
      <c r="I34" s="161"/>
      <c r="J34" s="162"/>
    </row>
    <row r="35" spans="7:12">
      <c r="G35" s="26"/>
      <c r="H35" s="160"/>
      <c r="I35" s="161"/>
      <c r="J35" s="162"/>
    </row>
    <row r="36" spans="7:12">
      <c r="G36" s="16"/>
      <c r="H36" s="160"/>
      <c r="I36" s="161"/>
      <c r="J36" s="162"/>
    </row>
    <row r="37" spans="7:12">
      <c r="G37" s="16"/>
      <c r="H37" s="27"/>
      <c r="I37" s="27"/>
      <c r="J37" s="194"/>
      <c r="K37" s="27"/>
    </row>
    <row r="38" spans="7:12">
      <c r="G38" s="27"/>
      <c r="H38" s="157"/>
      <c r="I38" s="157"/>
      <c r="J38" s="157"/>
      <c r="K38" s="157"/>
    </row>
    <row r="39" spans="7:12">
      <c r="G39" s="27"/>
      <c r="H39" s="195"/>
      <c r="I39" s="158"/>
      <c r="J39" s="158"/>
      <c r="K39" s="158"/>
      <c r="L39" s="27"/>
    </row>
    <row r="40" spans="7:12">
      <c r="G40" s="27"/>
      <c r="H40" s="195"/>
      <c r="I40" s="158"/>
      <c r="J40" s="158"/>
      <c r="K40" s="158"/>
      <c r="L40" s="27"/>
    </row>
    <row r="41" spans="7:12">
      <c r="G41" s="27"/>
      <c r="H41" s="195"/>
      <c r="I41" s="196"/>
      <c r="J41" s="158"/>
      <c r="K41" s="158"/>
      <c r="L41" s="27"/>
    </row>
    <row r="42" spans="7:12">
      <c r="G42" s="27"/>
      <c r="H42" s="195"/>
      <c r="I42" s="197"/>
      <c r="J42" s="197"/>
      <c r="K42" s="197"/>
      <c r="L42" s="27"/>
    </row>
    <row r="43" spans="7:12">
      <c r="G43" s="27"/>
      <c r="H43" s="195"/>
      <c r="I43" s="196"/>
      <c r="J43" s="196"/>
      <c r="K43" s="196"/>
      <c r="L43" s="27"/>
    </row>
    <row r="44" spans="7:12">
      <c r="G44" s="27"/>
      <c r="H44" s="195"/>
      <c r="I44" s="158"/>
      <c r="J44" s="158"/>
      <c r="K44" s="158"/>
      <c r="L44" s="27"/>
    </row>
    <row r="45" spans="7:12">
      <c r="G45" s="27"/>
      <c r="H45" s="27"/>
      <c r="I45" s="27"/>
      <c r="J45" s="194"/>
      <c r="K45" s="27"/>
      <c r="L45" s="27"/>
    </row>
    <row r="46" spans="7:12">
      <c r="G46" s="27"/>
      <c r="H46" s="195"/>
      <c r="I46" s="198"/>
      <c r="J46" s="194"/>
      <c r="K46" s="27"/>
      <c r="L46" s="27"/>
    </row>
    <row r="47" spans="7:12">
      <c r="G47" s="27"/>
      <c r="H47" s="27"/>
      <c r="I47" s="27"/>
      <c r="J47" s="194"/>
      <c r="K47" s="27"/>
      <c r="L47" s="27"/>
    </row>
    <row r="48" spans="7:12">
      <c r="G48" s="27"/>
      <c r="L48" s="27"/>
    </row>
    <row r="49" spans="7:12">
      <c r="G49" s="27"/>
      <c r="L49" s="27"/>
    </row>
    <row r="50" spans="7:12">
      <c r="G50" s="27"/>
    </row>
    <row r="60" spans="7:12" ht="21">
      <c r="G60" s="170"/>
    </row>
  </sheetData>
  <mergeCells count="5">
    <mergeCell ref="H3:K3"/>
    <mergeCell ref="B3:F3"/>
    <mergeCell ref="D4:F4"/>
    <mergeCell ref="B11:C11"/>
    <mergeCell ref="B17:C17"/>
  </mergeCells>
  <pageMargins left="0.25" right="0.25" top="0.75" bottom="0.75" header="0.3" footer="0.3"/>
  <pageSetup scale="63" orientation="landscape" cellComments="asDisplayed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26"/>
  <sheetViews>
    <sheetView topLeftCell="BH1" workbookViewId="0">
      <selection activeCell="BZ22" sqref="BZ22"/>
    </sheetView>
  </sheetViews>
  <sheetFormatPr defaultRowHeight="12.75"/>
  <cols>
    <col min="1" max="1" width="38.42578125" style="436" customWidth="1"/>
    <col min="2" max="2" width="12.85546875" style="441" customWidth="1"/>
    <col min="3" max="61" width="7.7109375" style="436" customWidth="1"/>
    <col min="62" max="73" width="9" style="436" customWidth="1"/>
    <col min="74" max="82" width="7.7109375" style="436" customWidth="1"/>
    <col min="83" max="256" width="9.140625" style="436"/>
    <col min="257" max="257" width="38.42578125" style="436" customWidth="1"/>
    <col min="258" max="258" width="12.85546875" style="436" customWidth="1"/>
    <col min="259" max="317" width="7.7109375" style="436" customWidth="1"/>
    <col min="318" max="329" width="9" style="436" customWidth="1"/>
    <col min="330" max="338" width="7.7109375" style="436" customWidth="1"/>
    <col min="339" max="512" width="9.140625" style="436"/>
    <col min="513" max="513" width="38.42578125" style="436" customWidth="1"/>
    <col min="514" max="514" width="12.85546875" style="436" customWidth="1"/>
    <col min="515" max="573" width="7.7109375" style="436" customWidth="1"/>
    <col min="574" max="585" width="9" style="436" customWidth="1"/>
    <col min="586" max="594" width="7.7109375" style="436" customWidth="1"/>
    <col min="595" max="768" width="9.140625" style="436"/>
    <col min="769" max="769" width="38.42578125" style="436" customWidth="1"/>
    <col min="770" max="770" width="12.85546875" style="436" customWidth="1"/>
    <col min="771" max="829" width="7.7109375" style="436" customWidth="1"/>
    <col min="830" max="841" width="9" style="436" customWidth="1"/>
    <col min="842" max="850" width="7.7109375" style="436" customWidth="1"/>
    <col min="851" max="1024" width="9.140625" style="436"/>
    <col min="1025" max="1025" width="38.42578125" style="436" customWidth="1"/>
    <col min="1026" max="1026" width="12.85546875" style="436" customWidth="1"/>
    <col min="1027" max="1085" width="7.7109375" style="436" customWidth="1"/>
    <col min="1086" max="1097" width="9" style="436" customWidth="1"/>
    <col min="1098" max="1106" width="7.7109375" style="436" customWidth="1"/>
    <col min="1107" max="1280" width="9.140625" style="436"/>
    <col min="1281" max="1281" width="38.42578125" style="436" customWidth="1"/>
    <col min="1282" max="1282" width="12.85546875" style="436" customWidth="1"/>
    <col min="1283" max="1341" width="7.7109375" style="436" customWidth="1"/>
    <col min="1342" max="1353" width="9" style="436" customWidth="1"/>
    <col min="1354" max="1362" width="7.7109375" style="436" customWidth="1"/>
    <col min="1363" max="1536" width="9.140625" style="436"/>
    <col min="1537" max="1537" width="38.42578125" style="436" customWidth="1"/>
    <col min="1538" max="1538" width="12.85546875" style="436" customWidth="1"/>
    <col min="1539" max="1597" width="7.7109375" style="436" customWidth="1"/>
    <col min="1598" max="1609" width="9" style="436" customWidth="1"/>
    <col min="1610" max="1618" width="7.7109375" style="436" customWidth="1"/>
    <col min="1619" max="1792" width="9.140625" style="436"/>
    <col min="1793" max="1793" width="38.42578125" style="436" customWidth="1"/>
    <col min="1794" max="1794" width="12.85546875" style="436" customWidth="1"/>
    <col min="1795" max="1853" width="7.7109375" style="436" customWidth="1"/>
    <col min="1854" max="1865" width="9" style="436" customWidth="1"/>
    <col min="1866" max="1874" width="7.7109375" style="436" customWidth="1"/>
    <col min="1875" max="2048" width="9.140625" style="436"/>
    <col min="2049" max="2049" width="38.42578125" style="436" customWidth="1"/>
    <col min="2050" max="2050" width="12.85546875" style="436" customWidth="1"/>
    <col min="2051" max="2109" width="7.7109375" style="436" customWidth="1"/>
    <col min="2110" max="2121" width="9" style="436" customWidth="1"/>
    <col min="2122" max="2130" width="7.7109375" style="436" customWidth="1"/>
    <col min="2131" max="2304" width="9.140625" style="436"/>
    <col min="2305" max="2305" width="38.42578125" style="436" customWidth="1"/>
    <col min="2306" max="2306" width="12.85546875" style="436" customWidth="1"/>
    <col min="2307" max="2365" width="7.7109375" style="436" customWidth="1"/>
    <col min="2366" max="2377" width="9" style="436" customWidth="1"/>
    <col min="2378" max="2386" width="7.7109375" style="436" customWidth="1"/>
    <col min="2387" max="2560" width="9.140625" style="436"/>
    <col min="2561" max="2561" width="38.42578125" style="436" customWidth="1"/>
    <col min="2562" max="2562" width="12.85546875" style="436" customWidth="1"/>
    <col min="2563" max="2621" width="7.7109375" style="436" customWidth="1"/>
    <col min="2622" max="2633" width="9" style="436" customWidth="1"/>
    <col min="2634" max="2642" width="7.7109375" style="436" customWidth="1"/>
    <col min="2643" max="2816" width="9.140625" style="436"/>
    <col min="2817" max="2817" width="38.42578125" style="436" customWidth="1"/>
    <col min="2818" max="2818" width="12.85546875" style="436" customWidth="1"/>
    <col min="2819" max="2877" width="7.7109375" style="436" customWidth="1"/>
    <col min="2878" max="2889" width="9" style="436" customWidth="1"/>
    <col min="2890" max="2898" width="7.7109375" style="436" customWidth="1"/>
    <col min="2899" max="3072" width="9.140625" style="436"/>
    <col min="3073" max="3073" width="38.42578125" style="436" customWidth="1"/>
    <col min="3074" max="3074" width="12.85546875" style="436" customWidth="1"/>
    <col min="3075" max="3133" width="7.7109375" style="436" customWidth="1"/>
    <col min="3134" max="3145" width="9" style="436" customWidth="1"/>
    <col min="3146" max="3154" width="7.7109375" style="436" customWidth="1"/>
    <col min="3155" max="3328" width="9.140625" style="436"/>
    <col min="3329" max="3329" width="38.42578125" style="436" customWidth="1"/>
    <col min="3330" max="3330" width="12.85546875" style="436" customWidth="1"/>
    <col min="3331" max="3389" width="7.7109375" style="436" customWidth="1"/>
    <col min="3390" max="3401" width="9" style="436" customWidth="1"/>
    <col min="3402" max="3410" width="7.7109375" style="436" customWidth="1"/>
    <col min="3411" max="3584" width="9.140625" style="436"/>
    <col min="3585" max="3585" width="38.42578125" style="436" customWidth="1"/>
    <col min="3586" max="3586" width="12.85546875" style="436" customWidth="1"/>
    <col min="3587" max="3645" width="7.7109375" style="436" customWidth="1"/>
    <col min="3646" max="3657" width="9" style="436" customWidth="1"/>
    <col min="3658" max="3666" width="7.7109375" style="436" customWidth="1"/>
    <col min="3667" max="3840" width="9.140625" style="436"/>
    <col min="3841" max="3841" width="38.42578125" style="436" customWidth="1"/>
    <col min="3842" max="3842" width="12.85546875" style="436" customWidth="1"/>
    <col min="3843" max="3901" width="7.7109375" style="436" customWidth="1"/>
    <col min="3902" max="3913" width="9" style="436" customWidth="1"/>
    <col min="3914" max="3922" width="7.7109375" style="436" customWidth="1"/>
    <col min="3923" max="4096" width="9.140625" style="436"/>
    <col min="4097" max="4097" width="38.42578125" style="436" customWidth="1"/>
    <col min="4098" max="4098" width="12.85546875" style="436" customWidth="1"/>
    <col min="4099" max="4157" width="7.7109375" style="436" customWidth="1"/>
    <col min="4158" max="4169" width="9" style="436" customWidth="1"/>
    <col min="4170" max="4178" width="7.7109375" style="436" customWidth="1"/>
    <col min="4179" max="4352" width="9.140625" style="436"/>
    <col min="4353" max="4353" width="38.42578125" style="436" customWidth="1"/>
    <col min="4354" max="4354" width="12.85546875" style="436" customWidth="1"/>
    <col min="4355" max="4413" width="7.7109375" style="436" customWidth="1"/>
    <col min="4414" max="4425" width="9" style="436" customWidth="1"/>
    <col min="4426" max="4434" width="7.7109375" style="436" customWidth="1"/>
    <col min="4435" max="4608" width="9.140625" style="436"/>
    <col min="4609" max="4609" width="38.42578125" style="436" customWidth="1"/>
    <col min="4610" max="4610" width="12.85546875" style="436" customWidth="1"/>
    <col min="4611" max="4669" width="7.7109375" style="436" customWidth="1"/>
    <col min="4670" max="4681" width="9" style="436" customWidth="1"/>
    <col min="4682" max="4690" width="7.7109375" style="436" customWidth="1"/>
    <col min="4691" max="4864" width="9.140625" style="436"/>
    <col min="4865" max="4865" width="38.42578125" style="436" customWidth="1"/>
    <col min="4866" max="4866" width="12.85546875" style="436" customWidth="1"/>
    <col min="4867" max="4925" width="7.7109375" style="436" customWidth="1"/>
    <col min="4926" max="4937" width="9" style="436" customWidth="1"/>
    <col min="4938" max="4946" width="7.7109375" style="436" customWidth="1"/>
    <col min="4947" max="5120" width="9.140625" style="436"/>
    <col min="5121" max="5121" width="38.42578125" style="436" customWidth="1"/>
    <col min="5122" max="5122" width="12.85546875" style="436" customWidth="1"/>
    <col min="5123" max="5181" width="7.7109375" style="436" customWidth="1"/>
    <col min="5182" max="5193" width="9" style="436" customWidth="1"/>
    <col min="5194" max="5202" width="7.7109375" style="436" customWidth="1"/>
    <col min="5203" max="5376" width="9.140625" style="436"/>
    <col min="5377" max="5377" width="38.42578125" style="436" customWidth="1"/>
    <col min="5378" max="5378" width="12.85546875" style="436" customWidth="1"/>
    <col min="5379" max="5437" width="7.7109375" style="436" customWidth="1"/>
    <col min="5438" max="5449" width="9" style="436" customWidth="1"/>
    <col min="5450" max="5458" width="7.7109375" style="436" customWidth="1"/>
    <col min="5459" max="5632" width="9.140625" style="436"/>
    <col min="5633" max="5633" width="38.42578125" style="436" customWidth="1"/>
    <col min="5634" max="5634" width="12.85546875" style="436" customWidth="1"/>
    <col min="5635" max="5693" width="7.7109375" style="436" customWidth="1"/>
    <col min="5694" max="5705" width="9" style="436" customWidth="1"/>
    <col min="5706" max="5714" width="7.7109375" style="436" customWidth="1"/>
    <col min="5715" max="5888" width="9.140625" style="436"/>
    <col min="5889" max="5889" width="38.42578125" style="436" customWidth="1"/>
    <col min="5890" max="5890" width="12.85546875" style="436" customWidth="1"/>
    <col min="5891" max="5949" width="7.7109375" style="436" customWidth="1"/>
    <col min="5950" max="5961" width="9" style="436" customWidth="1"/>
    <col min="5962" max="5970" width="7.7109375" style="436" customWidth="1"/>
    <col min="5971" max="6144" width="9.140625" style="436"/>
    <col min="6145" max="6145" width="38.42578125" style="436" customWidth="1"/>
    <col min="6146" max="6146" width="12.85546875" style="436" customWidth="1"/>
    <col min="6147" max="6205" width="7.7109375" style="436" customWidth="1"/>
    <col min="6206" max="6217" width="9" style="436" customWidth="1"/>
    <col min="6218" max="6226" width="7.7109375" style="436" customWidth="1"/>
    <col min="6227" max="6400" width="9.140625" style="436"/>
    <col min="6401" max="6401" width="38.42578125" style="436" customWidth="1"/>
    <col min="6402" max="6402" width="12.85546875" style="436" customWidth="1"/>
    <col min="6403" max="6461" width="7.7109375" style="436" customWidth="1"/>
    <col min="6462" max="6473" width="9" style="436" customWidth="1"/>
    <col min="6474" max="6482" width="7.7109375" style="436" customWidth="1"/>
    <col min="6483" max="6656" width="9.140625" style="436"/>
    <col min="6657" max="6657" width="38.42578125" style="436" customWidth="1"/>
    <col min="6658" max="6658" width="12.85546875" style="436" customWidth="1"/>
    <col min="6659" max="6717" width="7.7109375" style="436" customWidth="1"/>
    <col min="6718" max="6729" width="9" style="436" customWidth="1"/>
    <col min="6730" max="6738" width="7.7109375" style="436" customWidth="1"/>
    <col min="6739" max="6912" width="9.140625" style="436"/>
    <col min="6913" max="6913" width="38.42578125" style="436" customWidth="1"/>
    <col min="6914" max="6914" width="12.85546875" style="436" customWidth="1"/>
    <col min="6915" max="6973" width="7.7109375" style="436" customWidth="1"/>
    <col min="6974" max="6985" width="9" style="436" customWidth="1"/>
    <col min="6986" max="6994" width="7.7109375" style="436" customWidth="1"/>
    <col min="6995" max="7168" width="9.140625" style="436"/>
    <col min="7169" max="7169" width="38.42578125" style="436" customWidth="1"/>
    <col min="7170" max="7170" width="12.85546875" style="436" customWidth="1"/>
    <col min="7171" max="7229" width="7.7109375" style="436" customWidth="1"/>
    <col min="7230" max="7241" width="9" style="436" customWidth="1"/>
    <col min="7242" max="7250" width="7.7109375" style="436" customWidth="1"/>
    <col min="7251" max="7424" width="9.140625" style="436"/>
    <col min="7425" max="7425" width="38.42578125" style="436" customWidth="1"/>
    <col min="7426" max="7426" width="12.85546875" style="436" customWidth="1"/>
    <col min="7427" max="7485" width="7.7109375" style="436" customWidth="1"/>
    <col min="7486" max="7497" width="9" style="436" customWidth="1"/>
    <col min="7498" max="7506" width="7.7109375" style="436" customWidth="1"/>
    <col min="7507" max="7680" width="9.140625" style="436"/>
    <col min="7681" max="7681" width="38.42578125" style="436" customWidth="1"/>
    <col min="7682" max="7682" width="12.85546875" style="436" customWidth="1"/>
    <col min="7683" max="7741" width="7.7109375" style="436" customWidth="1"/>
    <col min="7742" max="7753" width="9" style="436" customWidth="1"/>
    <col min="7754" max="7762" width="7.7109375" style="436" customWidth="1"/>
    <col min="7763" max="7936" width="9.140625" style="436"/>
    <col min="7937" max="7937" width="38.42578125" style="436" customWidth="1"/>
    <col min="7938" max="7938" width="12.85546875" style="436" customWidth="1"/>
    <col min="7939" max="7997" width="7.7109375" style="436" customWidth="1"/>
    <col min="7998" max="8009" width="9" style="436" customWidth="1"/>
    <col min="8010" max="8018" width="7.7109375" style="436" customWidth="1"/>
    <col min="8019" max="8192" width="9.140625" style="436"/>
    <col min="8193" max="8193" width="38.42578125" style="436" customWidth="1"/>
    <col min="8194" max="8194" width="12.85546875" style="436" customWidth="1"/>
    <col min="8195" max="8253" width="7.7109375" style="436" customWidth="1"/>
    <col min="8254" max="8265" width="9" style="436" customWidth="1"/>
    <col min="8266" max="8274" width="7.7109375" style="436" customWidth="1"/>
    <col min="8275" max="8448" width="9.140625" style="436"/>
    <col min="8449" max="8449" width="38.42578125" style="436" customWidth="1"/>
    <col min="8450" max="8450" width="12.85546875" style="436" customWidth="1"/>
    <col min="8451" max="8509" width="7.7109375" style="436" customWidth="1"/>
    <col min="8510" max="8521" width="9" style="436" customWidth="1"/>
    <col min="8522" max="8530" width="7.7109375" style="436" customWidth="1"/>
    <col min="8531" max="8704" width="9.140625" style="436"/>
    <col min="8705" max="8705" width="38.42578125" style="436" customWidth="1"/>
    <col min="8706" max="8706" width="12.85546875" style="436" customWidth="1"/>
    <col min="8707" max="8765" width="7.7109375" style="436" customWidth="1"/>
    <col min="8766" max="8777" width="9" style="436" customWidth="1"/>
    <col min="8778" max="8786" width="7.7109375" style="436" customWidth="1"/>
    <col min="8787" max="8960" width="9.140625" style="436"/>
    <col min="8961" max="8961" width="38.42578125" style="436" customWidth="1"/>
    <col min="8962" max="8962" width="12.85546875" style="436" customWidth="1"/>
    <col min="8963" max="9021" width="7.7109375" style="436" customWidth="1"/>
    <col min="9022" max="9033" width="9" style="436" customWidth="1"/>
    <col min="9034" max="9042" width="7.7109375" style="436" customWidth="1"/>
    <col min="9043" max="9216" width="9.140625" style="436"/>
    <col min="9217" max="9217" width="38.42578125" style="436" customWidth="1"/>
    <col min="9218" max="9218" width="12.85546875" style="436" customWidth="1"/>
    <col min="9219" max="9277" width="7.7109375" style="436" customWidth="1"/>
    <col min="9278" max="9289" width="9" style="436" customWidth="1"/>
    <col min="9290" max="9298" width="7.7109375" style="436" customWidth="1"/>
    <col min="9299" max="9472" width="9.140625" style="436"/>
    <col min="9473" max="9473" width="38.42578125" style="436" customWidth="1"/>
    <col min="9474" max="9474" width="12.85546875" style="436" customWidth="1"/>
    <col min="9475" max="9533" width="7.7109375" style="436" customWidth="1"/>
    <col min="9534" max="9545" width="9" style="436" customWidth="1"/>
    <col min="9546" max="9554" width="7.7109375" style="436" customWidth="1"/>
    <col min="9555" max="9728" width="9.140625" style="436"/>
    <col min="9729" max="9729" width="38.42578125" style="436" customWidth="1"/>
    <col min="9730" max="9730" width="12.85546875" style="436" customWidth="1"/>
    <col min="9731" max="9789" width="7.7109375" style="436" customWidth="1"/>
    <col min="9790" max="9801" width="9" style="436" customWidth="1"/>
    <col min="9802" max="9810" width="7.7109375" style="436" customWidth="1"/>
    <col min="9811" max="9984" width="9.140625" style="436"/>
    <col min="9985" max="9985" width="38.42578125" style="436" customWidth="1"/>
    <col min="9986" max="9986" width="12.85546875" style="436" customWidth="1"/>
    <col min="9987" max="10045" width="7.7109375" style="436" customWidth="1"/>
    <col min="10046" max="10057" width="9" style="436" customWidth="1"/>
    <col min="10058" max="10066" width="7.7109375" style="436" customWidth="1"/>
    <col min="10067" max="10240" width="9.140625" style="436"/>
    <col min="10241" max="10241" width="38.42578125" style="436" customWidth="1"/>
    <col min="10242" max="10242" width="12.85546875" style="436" customWidth="1"/>
    <col min="10243" max="10301" width="7.7109375" style="436" customWidth="1"/>
    <col min="10302" max="10313" width="9" style="436" customWidth="1"/>
    <col min="10314" max="10322" width="7.7109375" style="436" customWidth="1"/>
    <col min="10323" max="10496" width="9.140625" style="436"/>
    <col min="10497" max="10497" width="38.42578125" style="436" customWidth="1"/>
    <col min="10498" max="10498" width="12.85546875" style="436" customWidth="1"/>
    <col min="10499" max="10557" width="7.7109375" style="436" customWidth="1"/>
    <col min="10558" max="10569" width="9" style="436" customWidth="1"/>
    <col min="10570" max="10578" width="7.7109375" style="436" customWidth="1"/>
    <col min="10579" max="10752" width="9.140625" style="436"/>
    <col min="10753" max="10753" width="38.42578125" style="436" customWidth="1"/>
    <col min="10754" max="10754" width="12.85546875" style="436" customWidth="1"/>
    <col min="10755" max="10813" width="7.7109375" style="436" customWidth="1"/>
    <col min="10814" max="10825" width="9" style="436" customWidth="1"/>
    <col min="10826" max="10834" width="7.7109375" style="436" customWidth="1"/>
    <col min="10835" max="11008" width="9.140625" style="436"/>
    <col min="11009" max="11009" width="38.42578125" style="436" customWidth="1"/>
    <col min="11010" max="11010" width="12.85546875" style="436" customWidth="1"/>
    <col min="11011" max="11069" width="7.7109375" style="436" customWidth="1"/>
    <col min="11070" max="11081" width="9" style="436" customWidth="1"/>
    <col min="11082" max="11090" width="7.7109375" style="436" customWidth="1"/>
    <col min="11091" max="11264" width="9.140625" style="436"/>
    <col min="11265" max="11265" width="38.42578125" style="436" customWidth="1"/>
    <col min="11266" max="11266" width="12.85546875" style="436" customWidth="1"/>
    <col min="11267" max="11325" width="7.7109375" style="436" customWidth="1"/>
    <col min="11326" max="11337" width="9" style="436" customWidth="1"/>
    <col min="11338" max="11346" width="7.7109375" style="436" customWidth="1"/>
    <col min="11347" max="11520" width="9.140625" style="436"/>
    <col min="11521" max="11521" width="38.42578125" style="436" customWidth="1"/>
    <col min="11522" max="11522" width="12.85546875" style="436" customWidth="1"/>
    <col min="11523" max="11581" width="7.7109375" style="436" customWidth="1"/>
    <col min="11582" max="11593" width="9" style="436" customWidth="1"/>
    <col min="11594" max="11602" width="7.7109375" style="436" customWidth="1"/>
    <col min="11603" max="11776" width="9.140625" style="436"/>
    <col min="11777" max="11777" width="38.42578125" style="436" customWidth="1"/>
    <col min="11778" max="11778" width="12.85546875" style="436" customWidth="1"/>
    <col min="11779" max="11837" width="7.7109375" style="436" customWidth="1"/>
    <col min="11838" max="11849" width="9" style="436" customWidth="1"/>
    <col min="11850" max="11858" width="7.7109375" style="436" customWidth="1"/>
    <col min="11859" max="12032" width="9.140625" style="436"/>
    <col min="12033" max="12033" width="38.42578125" style="436" customWidth="1"/>
    <col min="12034" max="12034" width="12.85546875" style="436" customWidth="1"/>
    <col min="12035" max="12093" width="7.7109375" style="436" customWidth="1"/>
    <col min="12094" max="12105" width="9" style="436" customWidth="1"/>
    <col min="12106" max="12114" width="7.7109375" style="436" customWidth="1"/>
    <col min="12115" max="12288" width="9.140625" style="436"/>
    <col min="12289" max="12289" width="38.42578125" style="436" customWidth="1"/>
    <col min="12290" max="12290" width="12.85546875" style="436" customWidth="1"/>
    <col min="12291" max="12349" width="7.7109375" style="436" customWidth="1"/>
    <col min="12350" max="12361" width="9" style="436" customWidth="1"/>
    <col min="12362" max="12370" width="7.7109375" style="436" customWidth="1"/>
    <col min="12371" max="12544" width="9.140625" style="436"/>
    <col min="12545" max="12545" width="38.42578125" style="436" customWidth="1"/>
    <col min="12546" max="12546" width="12.85546875" style="436" customWidth="1"/>
    <col min="12547" max="12605" width="7.7109375" style="436" customWidth="1"/>
    <col min="12606" max="12617" width="9" style="436" customWidth="1"/>
    <col min="12618" max="12626" width="7.7109375" style="436" customWidth="1"/>
    <col min="12627" max="12800" width="9.140625" style="436"/>
    <col min="12801" max="12801" width="38.42578125" style="436" customWidth="1"/>
    <col min="12802" max="12802" width="12.85546875" style="436" customWidth="1"/>
    <col min="12803" max="12861" width="7.7109375" style="436" customWidth="1"/>
    <col min="12862" max="12873" width="9" style="436" customWidth="1"/>
    <col min="12874" max="12882" width="7.7109375" style="436" customWidth="1"/>
    <col min="12883" max="13056" width="9.140625" style="436"/>
    <col min="13057" max="13057" width="38.42578125" style="436" customWidth="1"/>
    <col min="13058" max="13058" width="12.85546875" style="436" customWidth="1"/>
    <col min="13059" max="13117" width="7.7109375" style="436" customWidth="1"/>
    <col min="13118" max="13129" width="9" style="436" customWidth="1"/>
    <col min="13130" max="13138" width="7.7109375" style="436" customWidth="1"/>
    <col min="13139" max="13312" width="9.140625" style="436"/>
    <col min="13313" max="13313" width="38.42578125" style="436" customWidth="1"/>
    <col min="13314" max="13314" width="12.85546875" style="436" customWidth="1"/>
    <col min="13315" max="13373" width="7.7109375" style="436" customWidth="1"/>
    <col min="13374" max="13385" width="9" style="436" customWidth="1"/>
    <col min="13386" max="13394" width="7.7109375" style="436" customWidth="1"/>
    <col min="13395" max="13568" width="9.140625" style="436"/>
    <col min="13569" max="13569" width="38.42578125" style="436" customWidth="1"/>
    <col min="13570" max="13570" width="12.85546875" style="436" customWidth="1"/>
    <col min="13571" max="13629" width="7.7109375" style="436" customWidth="1"/>
    <col min="13630" max="13641" width="9" style="436" customWidth="1"/>
    <col min="13642" max="13650" width="7.7109375" style="436" customWidth="1"/>
    <col min="13651" max="13824" width="9.140625" style="436"/>
    <col min="13825" max="13825" width="38.42578125" style="436" customWidth="1"/>
    <col min="13826" max="13826" width="12.85546875" style="436" customWidth="1"/>
    <col min="13827" max="13885" width="7.7109375" style="436" customWidth="1"/>
    <col min="13886" max="13897" width="9" style="436" customWidth="1"/>
    <col min="13898" max="13906" width="7.7109375" style="436" customWidth="1"/>
    <col min="13907" max="14080" width="9.140625" style="436"/>
    <col min="14081" max="14081" width="38.42578125" style="436" customWidth="1"/>
    <col min="14082" max="14082" width="12.85546875" style="436" customWidth="1"/>
    <col min="14083" max="14141" width="7.7109375" style="436" customWidth="1"/>
    <col min="14142" max="14153" width="9" style="436" customWidth="1"/>
    <col min="14154" max="14162" width="7.7109375" style="436" customWidth="1"/>
    <col min="14163" max="14336" width="9.140625" style="436"/>
    <col min="14337" max="14337" width="38.42578125" style="436" customWidth="1"/>
    <col min="14338" max="14338" width="12.85546875" style="436" customWidth="1"/>
    <col min="14339" max="14397" width="7.7109375" style="436" customWidth="1"/>
    <col min="14398" max="14409" width="9" style="436" customWidth="1"/>
    <col min="14410" max="14418" width="7.7109375" style="436" customWidth="1"/>
    <col min="14419" max="14592" width="9.140625" style="436"/>
    <col min="14593" max="14593" width="38.42578125" style="436" customWidth="1"/>
    <col min="14594" max="14594" width="12.85546875" style="436" customWidth="1"/>
    <col min="14595" max="14653" width="7.7109375" style="436" customWidth="1"/>
    <col min="14654" max="14665" width="9" style="436" customWidth="1"/>
    <col min="14666" max="14674" width="7.7109375" style="436" customWidth="1"/>
    <col min="14675" max="14848" width="9.140625" style="436"/>
    <col min="14849" max="14849" width="38.42578125" style="436" customWidth="1"/>
    <col min="14850" max="14850" width="12.85546875" style="436" customWidth="1"/>
    <col min="14851" max="14909" width="7.7109375" style="436" customWidth="1"/>
    <col min="14910" max="14921" width="9" style="436" customWidth="1"/>
    <col min="14922" max="14930" width="7.7109375" style="436" customWidth="1"/>
    <col min="14931" max="15104" width="9.140625" style="436"/>
    <col min="15105" max="15105" width="38.42578125" style="436" customWidth="1"/>
    <col min="15106" max="15106" width="12.85546875" style="436" customWidth="1"/>
    <col min="15107" max="15165" width="7.7109375" style="436" customWidth="1"/>
    <col min="15166" max="15177" width="9" style="436" customWidth="1"/>
    <col min="15178" max="15186" width="7.7109375" style="436" customWidth="1"/>
    <col min="15187" max="15360" width="9.140625" style="436"/>
    <col min="15361" max="15361" width="38.42578125" style="436" customWidth="1"/>
    <col min="15362" max="15362" width="12.85546875" style="436" customWidth="1"/>
    <col min="15363" max="15421" width="7.7109375" style="436" customWidth="1"/>
    <col min="15422" max="15433" width="9" style="436" customWidth="1"/>
    <col min="15434" max="15442" width="7.7109375" style="436" customWidth="1"/>
    <col min="15443" max="15616" width="9.140625" style="436"/>
    <col min="15617" max="15617" width="38.42578125" style="436" customWidth="1"/>
    <col min="15618" max="15618" width="12.85546875" style="436" customWidth="1"/>
    <col min="15619" max="15677" width="7.7109375" style="436" customWidth="1"/>
    <col min="15678" max="15689" width="9" style="436" customWidth="1"/>
    <col min="15690" max="15698" width="7.7109375" style="436" customWidth="1"/>
    <col min="15699" max="15872" width="9.140625" style="436"/>
    <col min="15873" max="15873" width="38.42578125" style="436" customWidth="1"/>
    <col min="15874" max="15874" width="12.85546875" style="436" customWidth="1"/>
    <col min="15875" max="15933" width="7.7109375" style="436" customWidth="1"/>
    <col min="15934" max="15945" width="9" style="436" customWidth="1"/>
    <col min="15946" max="15954" width="7.7109375" style="436" customWidth="1"/>
    <col min="15955" max="16128" width="9.140625" style="436"/>
    <col min="16129" max="16129" width="38.42578125" style="436" customWidth="1"/>
    <col min="16130" max="16130" width="12.85546875" style="436" customWidth="1"/>
    <col min="16131" max="16189" width="7.7109375" style="436" customWidth="1"/>
    <col min="16190" max="16201" width="9" style="436" customWidth="1"/>
    <col min="16202" max="16210" width="7.7109375" style="436" customWidth="1"/>
    <col min="16211" max="16384" width="9.140625" style="436"/>
  </cols>
  <sheetData>
    <row r="1" spans="1:83" ht="18">
      <c r="A1" s="434" t="s">
        <v>137</v>
      </c>
      <c r="B1" s="435"/>
    </row>
    <row r="2" spans="1:83" ht="15.75">
      <c r="A2" s="437" t="s">
        <v>645</v>
      </c>
      <c r="B2" s="438"/>
    </row>
    <row r="3" spans="1:83" ht="15.75" thickBot="1">
      <c r="A3" s="439" t="s">
        <v>138</v>
      </c>
      <c r="B3" s="440"/>
    </row>
    <row r="6" spans="1:83">
      <c r="BA6" s="442" t="s">
        <v>141</v>
      </c>
      <c r="BB6" s="442" t="s">
        <v>141</v>
      </c>
      <c r="BC6" s="442" t="s">
        <v>141</v>
      </c>
      <c r="BD6" s="442" t="s">
        <v>141</v>
      </c>
      <c r="BE6" s="442" t="s">
        <v>136</v>
      </c>
      <c r="BF6" s="442" t="s">
        <v>136</v>
      </c>
      <c r="BG6" s="442" t="s">
        <v>136</v>
      </c>
      <c r="BH6" s="442" t="s">
        <v>136</v>
      </c>
      <c r="BI6" s="362" t="s">
        <v>142</v>
      </c>
      <c r="BJ6" s="362" t="s">
        <v>142</v>
      </c>
      <c r="BK6" s="362" t="s">
        <v>142</v>
      </c>
      <c r="BL6" s="362" t="s">
        <v>142</v>
      </c>
      <c r="BM6" s="363" t="s">
        <v>143</v>
      </c>
      <c r="BN6" s="363" t="s">
        <v>143</v>
      </c>
      <c r="BO6" s="363" t="s">
        <v>143</v>
      </c>
      <c r="BP6" s="363" t="s">
        <v>143</v>
      </c>
      <c r="BQ6" s="364" t="s">
        <v>144</v>
      </c>
      <c r="BR6" s="364" t="s">
        <v>144</v>
      </c>
      <c r="BS6" s="364" t="s">
        <v>144</v>
      </c>
      <c r="BT6" s="364" t="s">
        <v>144</v>
      </c>
      <c r="BU6" s="443" t="s">
        <v>350</v>
      </c>
      <c r="BV6" s="443" t="s">
        <v>350</v>
      </c>
      <c r="BW6" s="443" t="s">
        <v>350</v>
      </c>
      <c r="BX6" s="443" t="s">
        <v>350</v>
      </c>
      <c r="BY6" s="444" t="s">
        <v>351</v>
      </c>
      <c r="BZ6" s="444" t="s">
        <v>351</v>
      </c>
      <c r="CA6" s="444" t="s">
        <v>351</v>
      </c>
      <c r="CB6" s="444" t="s">
        <v>351</v>
      </c>
    </row>
    <row r="7" spans="1:83" s="441" customFormat="1">
      <c r="B7" s="441" t="s">
        <v>145</v>
      </c>
      <c r="C7" s="445" t="s">
        <v>146</v>
      </c>
      <c r="D7" s="445" t="s">
        <v>147</v>
      </c>
      <c r="E7" s="445" t="s">
        <v>148</v>
      </c>
      <c r="F7" s="445" t="s">
        <v>149</v>
      </c>
      <c r="G7" s="445" t="s">
        <v>150</v>
      </c>
      <c r="H7" s="445" t="s">
        <v>151</v>
      </c>
      <c r="I7" s="445" t="s">
        <v>152</v>
      </c>
      <c r="J7" s="445" t="s">
        <v>153</v>
      </c>
      <c r="K7" s="445" t="s">
        <v>154</v>
      </c>
      <c r="L7" s="445" t="s">
        <v>155</v>
      </c>
      <c r="M7" s="445" t="s">
        <v>156</v>
      </c>
      <c r="N7" s="445" t="s">
        <v>157</v>
      </c>
      <c r="O7" s="445" t="s">
        <v>158</v>
      </c>
      <c r="P7" s="445" t="s">
        <v>159</v>
      </c>
      <c r="Q7" s="445" t="s">
        <v>160</v>
      </c>
      <c r="R7" s="445" t="s">
        <v>161</v>
      </c>
      <c r="S7" s="445" t="s">
        <v>162</v>
      </c>
      <c r="T7" s="445" t="s">
        <v>163</v>
      </c>
      <c r="U7" s="445" t="s">
        <v>164</v>
      </c>
      <c r="V7" s="445" t="s">
        <v>165</v>
      </c>
      <c r="W7" s="445" t="s">
        <v>166</v>
      </c>
      <c r="X7" s="445" t="s">
        <v>167</v>
      </c>
      <c r="Y7" s="445" t="s">
        <v>168</v>
      </c>
      <c r="Z7" s="445" t="s">
        <v>169</v>
      </c>
      <c r="AA7" s="445" t="s">
        <v>170</v>
      </c>
      <c r="AB7" s="445" t="s">
        <v>171</v>
      </c>
      <c r="AC7" s="445" t="s">
        <v>172</v>
      </c>
      <c r="AD7" s="445" t="s">
        <v>173</v>
      </c>
      <c r="AE7" s="445" t="s">
        <v>174</v>
      </c>
      <c r="AF7" s="445" t="s">
        <v>175</v>
      </c>
      <c r="AG7" s="445" t="s">
        <v>176</v>
      </c>
      <c r="AH7" s="445" t="s">
        <v>177</v>
      </c>
      <c r="AI7" s="445" t="s">
        <v>178</v>
      </c>
      <c r="AJ7" s="445" t="s">
        <v>179</v>
      </c>
      <c r="AK7" s="445" t="s">
        <v>180</v>
      </c>
      <c r="AL7" s="445" t="s">
        <v>181</v>
      </c>
      <c r="AM7" s="445" t="s">
        <v>182</v>
      </c>
      <c r="AN7" s="445" t="s">
        <v>183</v>
      </c>
      <c r="AO7" s="445" t="s">
        <v>184</v>
      </c>
      <c r="AP7" s="445" t="s">
        <v>185</v>
      </c>
      <c r="AQ7" s="445" t="s">
        <v>186</v>
      </c>
      <c r="AR7" s="445" t="s">
        <v>187</v>
      </c>
      <c r="AS7" s="445" t="s">
        <v>188</v>
      </c>
      <c r="AT7" s="445" t="s">
        <v>189</v>
      </c>
      <c r="AU7" s="441" t="s">
        <v>190</v>
      </c>
      <c r="AV7" s="441" t="s">
        <v>191</v>
      </c>
      <c r="AW7" s="441" t="s">
        <v>192</v>
      </c>
      <c r="AX7" s="441" t="s">
        <v>193</v>
      </c>
      <c r="AY7" s="441" t="s">
        <v>194</v>
      </c>
      <c r="AZ7" s="441" t="s">
        <v>195</v>
      </c>
      <c r="BA7" s="441" t="s">
        <v>196</v>
      </c>
      <c r="BB7" s="441" t="s">
        <v>197</v>
      </c>
      <c r="BC7" s="441" t="s">
        <v>198</v>
      </c>
      <c r="BD7" s="441" t="s">
        <v>199</v>
      </c>
      <c r="BE7" s="441" t="s">
        <v>200</v>
      </c>
      <c r="BF7" s="441" t="s">
        <v>201</v>
      </c>
      <c r="BG7" s="441" t="s">
        <v>202</v>
      </c>
      <c r="BH7" s="441" t="s">
        <v>203</v>
      </c>
      <c r="BI7" s="441" t="s">
        <v>204</v>
      </c>
      <c r="BJ7" s="441" t="s">
        <v>205</v>
      </c>
      <c r="BK7" s="441" t="s">
        <v>206</v>
      </c>
      <c r="BL7" s="441" t="s">
        <v>207</v>
      </c>
      <c r="BM7" s="441" t="s">
        <v>208</v>
      </c>
      <c r="BN7" s="441" t="s">
        <v>209</v>
      </c>
      <c r="BO7" s="441" t="s">
        <v>210</v>
      </c>
      <c r="BP7" s="441" t="s">
        <v>211</v>
      </c>
      <c r="BQ7" s="441" t="s">
        <v>212</v>
      </c>
      <c r="BR7" s="441" t="s">
        <v>213</v>
      </c>
      <c r="BS7" s="441" t="s">
        <v>214</v>
      </c>
      <c r="BT7" s="441" t="s">
        <v>215</v>
      </c>
      <c r="BU7" s="441" t="s">
        <v>216</v>
      </c>
      <c r="BV7" s="441" t="s">
        <v>217</v>
      </c>
      <c r="BW7" s="441" t="s">
        <v>352</v>
      </c>
      <c r="BX7" s="441" t="s">
        <v>353</v>
      </c>
      <c r="BY7" s="441" t="s">
        <v>354</v>
      </c>
      <c r="BZ7" s="441" t="s">
        <v>355</v>
      </c>
      <c r="CA7" s="441" t="s">
        <v>356</v>
      </c>
      <c r="CB7" s="441" t="s">
        <v>357</v>
      </c>
      <c r="CC7" s="441" t="s">
        <v>358</v>
      </c>
      <c r="CD7" s="441" t="s">
        <v>359</v>
      </c>
      <c r="CE7" s="441" t="s">
        <v>218</v>
      </c>
    </row>
    <row r="8" spans="1:83">
      <c r="A8" s="441" t="s">
        <v>219</v>
      </c>
      <c r="B8" s="441" t="s">
        <v>220</v>
      </c>
      <c r="C8" s="446">
        <v>2.0350000000000001</v>
      </c>
      <c r="D8" s="446">
        <v>2.06</v>
      </c>
      <c r="E8" s="446">
        <v>2.0649999999999999</v>
      </c>
      <c r="F8" s="446">
        <v>2.0870000000000002</v>
      </c>
      <c r="G8" s="446">
        <v>2.1040000000000001</v>
      </c>
      <c r="H8" s="446">
        <v>2.1150000000000002</v>
      </c>
      <c r="I8" s="446">
        <v>2.1509999999999998</v>
      </c>
      <c r="J8" s="446">
        <v>2.17</v>
      </c>
      <c r="K8" s="446">
        <v>2.1869999999999998</v>
      </c>
      <c r="L8" s="446">
        <v>2.2120000000000002</v>
      </c>
      <c r="M8" s="446">
        <v>2.2349999999999999</v>
      </c>
      <c r="N8" s="446">
        <v>2.2210000000000001</v>
      </c>
      <c r="O8" s="446">
        <v>2.2320000000000002</v>
      </c>
      <c r="P8" s="446">
        <v>2.258</v>
      </c>
      <c r="Q8" s="446">
        <v>2.2759999999999998</v>
      </c>
      <c r="R8" s="446">
        <v>2.302</v>
      </c>
      <c r="S8" s="446">
        <v>2.3199999999999998</v>
      </c>
      <c r="T8" s="446">
        <v>2.3639999999999999</v>
      </c>
      <c r="U8" s="446">
        <v>2.4049999999999998</v>
      </c>
      <c r="V8" s="446">
        <v>2.351</v>
      </c>
      <c r="W8" s="446">
        <v>2.34</v>
      </c>
      <c r="X8" s="446">
        <v>2.347</v>
      </c>
      <c r="Y8" s="446">
        <v>2.367</v>
      </c>
      <c r="Z8" s="446">
        <v>2.3809999999999998</v>
      </c>
      <c r="AA8" s="446">
        <v>2.379</v>
      </c>
      <c r="AB8" s="446">
        <v>2.383</v>
      </c>
      <c r="AC8" s="446">
        <v>2.3980000000000001</v>
      </c>
      <c r="AD8" s="446">
        <v>2.4220000000000002</v>
      </c>
      <c r="AE8" s="446">
        <v>2.4319999999999999</v>
      </c>
      <c r="AF8" s="446">
        <v>2.4769999999999999</v>
      </c>
      <c r="AG8" s="446">
        <v>2.4889999999999999</v>
      </c>
      <c r="AH8" s="446">
        <v>2.4969999999999999</v>
      </c>
      <c r="AI8" s="446">
        <v>2.5129999999999999</v>
      </c>
      <c r="AJ8" s="446">
        <v>2.5190000000000001</v>
      </c>
      <c r="AK8" s="446">
        <v>2.5299999999999998</v>
      </c>
      <c r="AL8" s="446">
        <v>2.5499999999999998</v>
      </c>
      <c r="AM8" s="446">
        <v>2.5569999999999999</v>
      </c>
      <c r="AN8" s="446">
        <v>2.5550000000000002</v>
      </c>
      <c r="AO8" s="446">
        <v>2.5739999999999998</v>
      </c>
      <c r="AP8" s="446">
        <v>2.589</v>
      </c>
      <c r="AQ8" s="446">
        <v>2.597</v>
      </c>
      <c r="AR8" s="446">
        <v>2.6080000000000001</v>
      </c>
      <c r="AS8" s="446">
        <v>2.6139999999999999</v>
      </c>
      <c r="AT8" s="446">
        <v>2.617</v>
      </c>
      <c r="AU8" s="436">
        <v>2.6120000000000001</v>
      </c>
      <c r="AV8" s="436">
        <v>2.6230000000000002</v>
      </c>
      <c r="AW8" s="436">
        <v>2.6190000000000002</v>
      </c>
      <c r="AX8" s="436">
        <v>2.6269999999999998</v>
      </c>
      <c r="AY8" s="436">
        <v>2.621</v>
      </c>
      <c r="AZ8" s="436">
        <v>2.6419999999999999</v>
      </c>
      <c r="BA8" s="436">
        <v>2.6629999999999998</v>
      </c>
      <c r="BB8" s="436">
        <v>2.6779999999999999</v>
      </c>
      <c r="BC8" s="436">
        <v>2.694</v>
      </c>
      <c r="BD8" s="436">
        <v>2.6960000000000002</v>
      </c>
      <c r="BE8" s="436">
        <v>2.7080000000000002</v>
      </c>
      <c r="BF8" s="436">
        <v>2.72</v>
      </c>
      <c r="BG8" s="436">
        <v>2.7589999999999999</v>
      </c>
      <c r="BH8" s="436">
        <v>2.7719999999999998</v>
      </c>
      <c r="BI8" s="436">
        <v>2.7810000000000001</v>
      </c>
      <c r="BJ8" s="436">
        <v>2.7879999999999998</v>
      </c>
      <c r="BK8" s="436">
        <v>2.794</v>
      </c>
      <c r="BL8" s="436">
        <v>2.8210000000000002</v>
      </c>
      <c r="BM8" s="436">
        <v>2.843</v>
      </c>
      <c r="BN8" s="436">
        <v>2.8580000000000001</v>
      </c>
      <c r="BO8" s="436">
        <v>2.87</v>
      </c>
      <c r="BP8" s="436">
        <v>2.879</v>
      </c>
      <c r="BQ8" s="436">
        <v>2.8940000000000001</v>
      </c>
      <c r="BR8" s="436">
        <v>2.9039999999999999</v>
      </c>
      <c r="BS8" s="436">
        <v>2.927</v>
      </c>
      <c r="BT8" s="436">
        <v>2.9470000000000001</v>
      </c>
      <c r="BU8" s="436">
        <v>2.9670000000000001</v>
      </c>
      <c r="BV8" s="436">
        <v>2.9849999999999999</v>
      </c>
      <c r="BW8" s="436">
        <v>3.004</v>
      </c>
      <c r="BX8" s="436">
        <v>3.0209999999999999</v>
      </c>
      <c r="BY8" s="436">
        <v>3.0390000000000001</v>
      </c>
      <c r="BZ8" s="436">
        <v>3.0590000000000002</v>
      </c>
      <c r="CA8" s="436">
        <v>3.0779999999999998</v>
      </c>
      <c r="CB8" s="436">
        <v>3.0939999999999999</v>
      </c>
      <c r="CC8" s="436">
        <v>3.1139999999999999</v>
      </c>
      <c r="CD8" s="436">
        <v>3.1339999999999999</v>
      </c>
    </row>
    <row r="9" spans="1:83">
      <c r="A9" s="441" t="s">
        <v>221</v>
      </c>
      <c r="B9" s="441" t="s">
        <v>222</v>
      </c>
      <c r="C9" s="446">
        <v>2.0350000000000001</v>
      </c>
      <c r="D9" s="446">
        <v>2.06</v>
      </c>
      <c r="E9" s="446">
        <v>2.0649999999999999</v>
      </c>
      <c r="F9" s="446">
        <v>2.0870000000000002</v>
      </c>
      <c r="G9" s="446">
        <v>2.1040000000000001</v>
      </c>
      <c r="H9" s="446">
        <v>2.1150000000000002</v>
      </c>
      <c r="I9" s="446">
        <v>2.1509999999999998</v>
      </c>
      <c r="J9" s="446">
        <v>2.17</v>
      </c>
      <c r="K9" s="446">
        <v>2.1869999999999998</v>
      </c>
      <c r="L9" s="446">
        <v>2.2120000000000002</v>
      </c>
      <c r="M9" s="446">
        <v>2.2349999999999999</v>
      </c>
      <c r="N9" s="446">
        <v>2.2210000000000001</v>
      </c>
      <c r="O9" s="446">
        <v>2.2320000000000002</v>
      </c>
      <c r="P9" s="446">
        <v>2.258</v>
      </c>
      <c r="Q9" s="446">
        <v>2.2759999999999998</v>
      </c>
      <c r="R9" s="446">
        <v>2.302</v>
      </c>
      <c r="S9" s="446">
        <v>2.3199999999999998</v>
      </c>
      <c r="T9" s="446">
        <v>2.3639999999999999</v>
      </c>
      <c r="U9" s="446">
        <v>2.4049999999999998</v>
      </c>
      <c r="V9" s="446">
        <v>2.351</v>
      </c>
      <c r="W9" s="446">
        <v>2.34</v>
      </c>
      <c r="X9" s="446">
        <v>2.347</v>
      </c>
      <c r="Y9" s="446">
        <v>2.367</v>
      </c>
      <c r="Z9" s="446">
        <v>2.3809999999999998</v>
      </c>
      <c r="AA9" s="446">
        <v>2.379</v>
      </c>
      <c r="AB9" s="446">
        <v>2.383</v>
      </c>
      <c r="AC9" s="446">
        <v>2.3980000000000001</v>
      </c>
      <c r="AD9" s="446">
        <v>2.4220000000000002</v>
      </c>
      <c r="AE9" s="446">
        <v>2.4319999999999999</v>
      </c>
      <c r="AF9" s="446">
        <v>2.4769999999999999</v>
      </c>
      <c r="AG9" s="446">
        <v>2.4889999999999999</v>
      </c>
      <c r="AH9" s="446">
        <v>2.4969999999999999</v>
      </c>
      <c r="AI9" s="446">
        <v>2.5129999999999999</v>
      </c>
      <c r="AJ9" s="446">
        <v>2.5190000000000001</v>
      </c>
      <c r="AK9" s="446">
        <v>2.5299999999999998</v>
      </c>
      <c r="AL9" s="446">
        <v>2.5499999999999998</v>
      </c>
      <c r="AM9" s="446">
        <v>2.5569999999999999</v>
      </c>
      <c r="AN9" s="446">
        <v>2.5550000000000002</v>
      </c>
      <c r="AO9" s="446">
        <v>2.5739999999999998</v>
      </c>
      <c r="AP9" s="446">
        <v>2.589</v>
      </c>
      <c r="AQ9" s="446">
        <v>2.597</v>
      </c>
      <c r="AR9" s="446">
        <v>2.6080000000000001</v>
      </c>
      <c r="AS9" s="446">
        <v>2.6139999999999999</v>
      </c>
      <c r="AT9" s="446">
        <v>2.617</v>
      </c>
      <c r="AU9" s="436">
        <v>2.6120000000000001</v>
      </c>
      <c r="AV9" s="436">
        <v>2.6230000000000002</v>
      </c>
      <c r="AW9" s="436">
        <v>2.6190000000000002</v>
      </c>
      <c r="AX9" s="436">
        <v>2.6269999999999998</v>
      </c>
      <c r="AY9" s="436">
        <v>2.621</v>
      </c>
      <c r="AZ9" s="436">
        <v>2.6419999999999999</v>
      </c>
      <c r="BA9" s="436">
        <v>2.6629999999999998</v>
      </c>
      <c r="BB9" s="436">
        <v>2.6779999999999999</v>
      </c>
      <c r="BC9" s="436">
        <v>2.694</v>
      </c>
      <c r="BD9" s="436">
        <v>2.6960000000000002</v>
      </c>
      <c r="BE9" s="436">
        <v>2.7080000000000002</v>
      </c>
      <c r="BF9" s="436">
        <v>2.72</v>
      </c>
      <c r="BG9" s="436">
        <v>2.7589999999999999</v>
      </c>
      <c r="BH9" s="436">
        <v>2.7719999999999998</v>
      </c>
      <c r="BI9" s="436">
        <v>2.7810000000000001</v>
      </c>
      <c r="BJ9" s="436">
        <v>2.7879999999999998</v>
      </c>
      <c r="BK9" s="436">
        <v>2.794</v>
      </c>
      <c r="BL9" s="436">
        <v>2.8180000000000001</v>
      </c>
      <c r="BM9" s="436">
        <v>2.8359999999999999</v>
      </c>
      <c r="BN9" s="436">
        <v>2.8490000000000002</v>
      </c>
      <c r="BO9" s="436">
        <v>2.86</v>
      </c>
      <c r="BP9" s="436">
        <v>2.8660000000000001</v>
      </c>
      <c r="BQ9" s="436">
        <v>2.8780000000000001</v>
      </c>
      <c r="BR9" s="436">
        <v>2.8860000000000001</v>
      </c>
      <c r="BS9" s="436">
        <v>2.9049999999999998</v>
      </c>
      <c r="BT9" s="436">
        <v>2.9220000000000002</v>
      </c>
      <c r="BU9" s="436">
        <v>2.9369999999999998</v>
      </c>
      <c r="BV9" s="436">
        <v>2.9510000000000001</v>
      </c>
      <c r="BW9" s="436">
        <v>2.964</v>
      </c>
      <c r="BX9" s="436">
        <v>2.976</v>
      </c>
      <c r="BY9" s="436">
        <v>2.99</v>
      </c>
      <c r="BZ9" s="436">
        <v>3.0030000000000001</v>
      </c>
      <c r="CA9" s="436">
        <v>3.0179999999999998</v>
      </c>
      <c r="CB9" s="436">
        <v>3.0289999999999999</v>
      </c>
      <c r="CC9" s="436">
        <v>3.0449999999999999</v>
      </c>
      <c r="CD9" s="436">
        <v>3.0609999999999999</v>
      </c>
    </row>
    <row r="10" spans="1:83">
      <c r="A10" s="441" t="s">
        <v>223</v>
      </c>
      <c r="B10" s="441" t="s">
        <v>224</v>
      </c>
      <c r="C10" s="446">
        <v>2.0350000000000001</v>
      </c>
      <c r="D10" s="446">
        <v>2.06</v>
      </c>
      <c r="E10" s="446">
        <v>2.0649999999999999</v>
      </c>
      <c r="F10" s="446">
        <v>2.0870000000000002</v>
      </c>
      <c r="G10" s="446">
        <v>2.1040000000000001</v>
      </c>
      <c r="H10" s="446">
        <v>2.1150000000000002</v>
      </c>
      <c r="I10" s="446">
        <v>2.1509999999999998</v>
      </c>
      <c r="J10" s="446">
        <v>2.17</v>
      </c>
      <c r="K10" s="446">
        <v>2.1869999999999998</v>
      </c>
      <c r="L10" s="446">
        <v>2.2120000000000002</v>
      </c>
      <c r="M10" s="446">
        <v>2.2349999999999999</v>
      </c>
      <c r="N10" s="446">
        <v>2.2210000000000001</v>
      </c>
      <c r="O10" s="446">
        <v>2.2320000000000002</v>
      </c>
      <c r="P10" s="446">
        <v>2.258</v>
      </c>
      <c r="Q10" s="446">
        <v>2.2759999999999998</v>
      </c>
      <c r="R10" s="446">
        <v>2.302</v>
      </c>
      <c r="S10" s="446">
        <v>2.3199999999999998</v>
      </c>
      <c r="T10" s="446">
        <v>2.3639999999999999</v>
      </c>
      <c r="U10" s="446">
        <v>2.4049999999999998</v>
      </c>
      <c r="V10" s="446">
        <v>2.351</v>
      </c>
      <c r="W10" s="446">
        <v>2.34</v>
      </c>
      <c r="X10" s="446">
        <v>2.347</v>
      </c>
      <c r="Y10" s="446">
        <v>2.367</v>
      </c>
      <c r="Z10" s="446">
        <v>2.3809999999999998</v>
      </c>
      <c r="AA10" s="446">
        <v>2.379</v>
      </c>
      <c r="AB10" s="446">
        <v>2.383</v>
      </c>
      <c r="AC10" s="446">
        <v>2.3980000000000001</v>
      </c>
      <c r="AD10" s="446">
        <v>2.4220000000000002</v>
      </c>
      <c r="AE10" s="446">
        <v>2.4319999999999999</v>
      </c>
      <c r="AF10" s="446">
        <v>2.4769999999999999</v>
      </c>
      <c r="AG10" s="446">
        <v>2.4889999999999999</v>
      </c>
      <c r="AH10" s="446">
        <v>2.4969999999999999</v>
      </c>
      <c r="AI10" s="446">
        <v>2.5129999999999999</v>
      </c>
      <c r="AJ10" s="446">
        <v>2.5190000000000001</v>
      </c>
      <c r="AK10" s="446">
        <v>2.5299999999999998</v>
      </c>
      <c r="AL10" s="446">
        <v>2.5499999999999998</v>
      </c>
      <c r="AM10" s="446">
        <v>2.5569999999999999</v>
      </c>
      <c r="AN10" s="446">
        <v>2.5550000000000002</v>
      </c>
      <c r="AO10" s="446">
        <v>2.5739999999999998</v>
      </c>
      <c r="AP10" s="446">
        <v>2.589</v>
      </c>
      <c r="AQ10" s="446">
        <v>2.597</v>
      </c>
      <c r="AR10" s="446">
        <v>2.6080000000000001</v>
      </c>
      <c r="AS10" s="446">
        <v>2.6139999999999999</v>
      </c>
      <c r="AT10" s="446">
        <v>2.617</v>
      </c>
      <c r="AU10" s="436">
        <v>2.6120000000000001</v>
      </c>
      <c r="AV10" s="436">
        <v>2.6230000000000002</v>
      </c>
      <c r="AW10" s="436">
        <v>2.6190000000000002</v>
      </c>
      <c r="AX10" s="436">
        <v>2.6269999999999998</v>
      </c>
      <c r="AY10" s="436">
        <v>2.621</v>
      </c>
      <c r="AZ10" s="436">
        <v>2.6419999999999999</v>
      </c>
      <c r="BA10" s="436">
        <v>2.6629999999999998</v>
      </c>
      <c r="BB10" s="436">
        <v>2.6779999999999999</v>
      </c>
      <c r="BC10" s="436">
        <v>2.694</v>
      </c>
      <c r="BD10" s="436">
        <v>2.6960000000000002</v>
      </c>
      <c r="BE10" s="436">
        <v>2.7080000000000002</v>
      </c>
      <c r="BF10" s="436">
        <v>2.72</v>
      </c>
      <c r="BG10" s="436">
        <v>2.7589999999999999</v>
      </c>
      <c r="BH10" s="436">
        <v>2.7719999999999998</v>
      </c>
      <c r="BI10" s="436">
        <v>2.7810000000000001</v>
      </c>
      <c r="BJ10" s="436">
        <v>2.7879999999999998</v>
      </c>
      <c r="BK10" s="436">
        <v>2.794</v>
      </c>
      <c r="BL10" s="436">
        <v>2.8239999999999998</v>
      </c>
      <c r="BM10" s="436">
        <v>2.8479999999999999</v>
      </c>
      <c r="BN10" s="436">
        <v>2.867</v>
      </c>
      <c r="BO10" s="436">
        <v>2.8839999999999999</v>
      </c>
      <c r="BP10" s="436">
        <v>2.8959999999999999</v>
      </c>
      <c r="BQ10" s="436">
        <v>2.9169999999999998</v>
      </c>
      <c r="BR10" s="436">
        <v>2.9319999999999999</v>
      </c>
      <c r="BS10" s="436">
        <v>2.96</v>
      </c>
      <c r="BT10" s="436">
        <v>2.9870000000000001</v>
      </c>
      <c r="BU10" s="436">
        <v>3.0129999999999999</v>
      </c>
      <c r="BV10" s="436">
        <v>3.0369999999999999</v>
      </c>
      <c r="BW10" s="436">
        <v>3.0619999999999998</v>
      </c>
      <c r="BX10" s="436">
        <v>3.0859999999999999</v>
      </c>
      <c r="BY10" s="436">
        <v>3.1120000000000001</v>
      </c>
      <c r="BZ10" s="436">
        <v>3.1389999999999998</v>
      </c>
      <c r="CA10" s="436">
        <v>3.1669999999999998</v>
      </c>
      <c r="CB10" s="436">
        <v>3.19</v>
      </c>
      <c r="CC10" s="436">
        <v>3.218</v>
      </c>
      <c r="CD10" s="436">
        <v>3.246</v>
      </c>
    </row>
    <row r="12" spans="1:83">
      <c r="C12" s="447"/>
      <c r="D12" s="447"/>
      <c r="E12" s="447"/>
      <c r="F12" s="447"/>
      <c r="G12" s="447"/>
      <c r="H12" s="447"/>
      <c r="I12" s="447"/>
      <c r="J12" s="447"/>
      <c r="K12" s="447"/>
      <c r="L12" s="447"/>
      <c r="M12" s="447"/>
      <c r="N12" s="447"/>
      <c r="O12" s="447"/>
      <c r="P12" s="447"/>
      <c r="Q12" s="447"/>
      <c r="R12" s="447"/>
      <c r="S12" s="447"/>
      <c r="T12" s="447"/>
      <c r="U12" s="447"/>
      <c r="V12" s="447"/>
      <c r="W12" s="447"/>
      <c r="X12" s="447"/>
      <c r="Y12" s="447"/>
      <c r="Z12" s="447"/>
      <c r="AA12" s="447"/>
      <c r="AB12" s="447"/>
      <c r="AC12" s="447"/>
      <c r="AD12" s="447"/>
      <c r="AE12" s="447"/>
      <c r="AF12" s="447"/>
      <c r="AG12" s="447"/>
      <c r="AH12" s="447"/>
      <c r="AI12" s="447"/>
      <c r="AJ12" s="447"/>
      <c r="AK12" s="447"/>
      <c r="AL12" s="447"/>
      <c r="AM12" s="447"/>
      <c r="AN12" s="447"/>
      <c r="AO12" s="447"/>
      <c r="AP12" s="447"/>
      <c r="AQ12" s="447"/>
      <c r="AR12" s="447"/>
      <c r="AS12" s="447"/>
      <c r="AT12" s="447"/>
    </row>
    <row r="13" spans="1:83">
      <c r="C13" s="447"/>
      <c r="D13" s="447"/>
      <c r="E13" s="447"/>
      <c r="F13" s="447"/>
      <c r="G13" s="447"/>
      <c r="H13" s="447"/>
      <c r="I13" s="447"/>
      <c r="J13" s="447"/>
      <c r="K13" s="447"/>
      <c r="L13" s="447"/>
      <c r="M13" s="447"/>
      <c r="N13" s="447"/>
      <c r="O13" s="447"/>
      <c r="P13" s="447"/>
      <c r="Q13" s="447"/>
      <c r="R13" s="447"/>
      <c r="S13" s="447"/>
      <c r="T13" s="447"/>
      <c r="U13" s="447"/>
      <c r="V13" s="447"/>
      <c r="W13" s="447"/>
      <c r="X13" s="447"/>
      <c r="Y13" s="447"/>
      <c r="Z13" s="447"/>
      <c r="AA13" s="447"/>
      <c r="AB13" s="447"/>
      <c r="AC13" s="447"/>
      <c r="AD13" s="447"/>
      <c r="AE13" s="447"/>
      <c r="AF13" s="447"/>
      <c r="AG13" s="447"/>
      <c r="AH13" s="447"/>
      <c r="AI13" s="447"/>
      <c r="AJ13" s="447"/>
      <c r="AK13" s="447"/>
      <c r="AL13" s="447"/>
      <c r="AM13" s="447"/>
      <c r="AN13" s="447"/>
      <c r="AO13" s="447"/>
      <c r="AP13" s="447"/>
      <c r="AQ13" s="447"/>
      <c r="AR13" s="447"/>
      <c r="AS13" s="447"/>
      <c r="AT13" s="447"/>
    </row>
    <row r="14" spans="1:83">
      <c r="C14" s="446"/>
      <c r="D14" s="446"/>
      <c r="E14" s="446"/>
      <c r="F14" s="446"/>
      <c r="G14" s="446"/>
      <c r="H14" s="446"/>
      <c r="I14" s="446"/>
      <c r="J14" s="446"/>
      <c r="K14" s="446"/>
      <c r="L14" s="446"/>
      <c r="M14" s="446"/>
      <c r="N14" s="446"/>
      <c r="O14" s="446"/>
      <c r="P14" s="446"/>
      <c r="Q14" s="446"/>
      <c r="R14" s="446"/>
      <c r="S14" s="446"/>
      <c r="T14" s="446"/>
      <c r="U14" s="446"/>
      <c r="V14" s="446"/>
      <c r="W14" s="446"/>
      <c r="X14" s="446"/>
      <c r="Y14" s="446"/>
      <c r="Z14" s="446"/>
      <c r="AA14" s="446"/>
      <c r="AB14" s="446"/>
      <c r="AC14" s="446"/>
      <c r="AD14" s="446"/>
      <c r="AE14" s="446"/>
      <c r="AF14" s="446"/>
      <c r="AG14" s="446"/>
      <c r="AH14" s="446"/>
      <c r="AI14" s="446"/>
      <c r="AJ14" s="446"/>
      <c r="AK14" s="446"/>
      <c r="AL14" s="446"/>
      <c r="AM14" s="446"/>
      <c r="AN14" s="446"/>
      <c r="AO14" s="446"/>
      <c r="AP14" s="446"/>
      <c r="AQ14" s="446"/>
      <c r="AR14" s="446"/>
      <c r="AS14" s="446"/>
      <c r="AT14" s="446"/>
    </row>
    <row r="15" spans="1:83">
      <c r="C15" s="446"/>
      <c r="D15" s="446"/>
      <c r="E15" s="446"/>
      <c r="F15" s="446"/>
      <c r="G15" s="446"/>
      <c r="H15" s="446"/>
      <c r="I15" s="446"/>
      <c r="J15" s="446"/>
      <c r="K15" s="446"/>
      <c r="L15" s="446"/>
      <c r="M15" s="446"/>
      <c r="N15" s="446"/>
      <c r="O15" s="446"/>
      <c r="P15" s="446"/>
      <c r="Q15" s="446"/>
      <c r="R15" s="446"/>
      <c r="S15" s="446"/>
      <c r="T15" s="446"/>
      <c r="U15" s="446"/>
      <c r="V15" s="446"/>
      <c r="W15" s="446"/>
      <c r="X15" s="446"/>
      <c r="Y15" s="446"/>
      <c r="Z15" s="446"/>
      <c r="AA15" s="446"/>
      <c r="AB15" s="446"/>
      <c r="AC15" s="446"/>
      <c r="AD15" s="446"/>
      <c r="AE15" s="446"/>
      <c r="AF15" s="446"/>
      <c r="AG15" s="446"/>
      <c r="AH15" s="446"/>
      <c r="AI15" s="446"/>
      <c r="AJ15" s="446"/>
      <c r="AK15" s="446"/>
      <c r="AL15" s="446"/>
      <c r="AM15" s="446"/>
      <c r="AN15" s="446"/>
      <c r="AO15" s="446"/>
      <c r="AP15" s="446"/>
      <c r="AQ15" s="446"/>
      <c r="AR15" s="446"/>
      <c r="AS15" s="446"/>
      <c r="AT15" s="446"/>
      <c r="BJ15" s="369" t="s">
        <v>225</v>
      </c>
      <c r="BK15" s="370"/>
      <c r="BL15" s="370"/>
      <c r="BM15" s="371" t="s">
        <v>646</v>
      </c>
      <c r="BN15" s="372"/>
      <c r="BO15" s="372"/>
      <c r="BP15" s="372"/>
      <c r="BQ15" s="372"/>
      <c r="BR15" s="372"/>
      <c r="BS15" s="370"/>
      <c r="BT15" s="370"/>
      <c r="BU15" s="370"/>
    </row>
    <row r="16" spans="1:83">
      <c r="C16" s="446"/>
      <c r="D16" s="446"/>
      <c r="E16" s="446"/>
      <c r="F16" s="446"/>
      <c r="G16" s="446"/>
      <c r="H16" s="446"/>
      <c r="I16" s="446"/>
      <c r="J16" s="446"/>
      <c r="K16" s="446"/>
      <c r="L16" s="446"/>
      <c r="M16" s="446"/>
      <c r="N16" s="446"/>
      <c r="O16" s="446"/>
      <c r="P16" s="446"/>
      <c r="Q16" s="446"/>
      <c r="R16" s="446"/>
      <c r="S16" s="446"/>
      <c r="T16" s="446"/>
      <c r="U16" s="446"/>
      <c r="V16" s="446"/>
      <c r="W16" s="446"/>
      <c r="X16" s="446"/>
      <c r="Y16" s="446"/>
      <c r="Z16" s="446"/>
      <c r="AA16" s="446"/>
      <c r="AB16" s="446"/>
      <c r="AC16" s="446"/>
      <c r="AD16" s="446"/>
      <c r="AE16" s="446"/>
      <c r="AF16" s="446"/>
      <c r="AG16" s="446"/>
      <c r="AH16" s="446"/>
      <c r="AI16" s="446"/>
      <c r="AJ16" s="446"/>
      <c r="AK16" s="446"/>
      <c r="AL16" s="446"/>
      <c r="AM16" s="446"/>
      <c r="AN16" s="446"/>
      <c r="AO16" s="446"/>
      <c r="AP16" s="446"/>
      <c r="AQ16" s="446"/>
      <c r="AR16" s="446"/>
      <c r="AS16" s="446"/>
      <c r="AT16" s="446"/>
      <c r="BJ16" s="448"/>
      <c r="BK16" s="449"/>
      <c r="BL16" s="449"/>
      <c r="BM16" s="449"/>
      <c r="BN16" s="449"/>
      <c r="BO16" s="449"/>
      <c r="BP16" s="449"/>
      <c r="BQ16" s="449"/>
      <c r="BR16" s="449"/>
      <c r="BS16" s="449"/>
      <c r="BT16" s="449"/>
      <c r="BU16" s="450"/>
    </row>
    <row r="17" spans="3:73">
      <c r="C17" s="451"/>
      <c r="D17" s="451"/>
      <c r="E17" s="451"/>
      <c r="F17" s="451"/>
      <c r="G17" s="451"/>
      <c r="H17" s="451"/>
      <c r="I17" s="451"/>
      <c r="J17" s="451"/>
      <c r="K17" s="451"/>
      <c r="L17" s="451"/>
      <c r="M17" s="451"/>
      <c r="N17" s="451"/>
      <c r="O17" s="451"/>
      <c r="P17" s="451"/>
      <c r="Q17" s="451"/>
      <c r="R17" s="451"/>
      <c r="S17" s="451"/>
      <c r="T17" s="451"/>
      <c r="U17" s="451"/>
      <c r="V17" s="451"/>
      <c r="W17" s="451"/>
      <c r="X17" s="451"/>
      <c r="Y17" s="451"/>
      <c r="Z17" s="451"/>
      <c r="AA17" s="451"/>
      <c r="AB17" s="451"/>
      <c r="AC17" s="451"/>
      <c r="AD17" s="451"/>
      <c r="AE17" s="451"/>
      <c r="AF17" s="451"/>
      <c r="AG17" s="451"/>
      <c r="AH17" s="451"/>
      <c r="AI17" s="451"/>
      <c r="AJ17" s="451"/>
      <c r="AK17" s="451"/>
      <c r="AL17" s="451"/>
      <c r="AM17" s="451"/>
      <c r="AN17" s="451"/>
      <c r="AO17" s="451"/>
      <c r="AP17" s="451"/>
      <c r="BJ17" s="376"/>
      <c r="BK17" s="377" t="s">
        <v>227</v>
      </c>
      <c r="BL17" s="378" t="s">
        <v>636</v>
      </c>
      <c r="BM17" s="378"/>
      <c r="BN17" s="378"/>
      <c r="BO17" s="378"/>
      <c r="BP17" s="378"/>
      <c r="BQ17" s="378"/>
      <c r="BR17" s="378"/>
      <c r="BS17" s="378"/>
      <c r="BT17" s="378"/>
      <c r="BU17" s="379"/>
    </row>
    <row r="18" spans="3:73">
      <c r="BJ18" s="376"/>
      <c r="BK18" s="378"/>
      <c r="BL18" s="445" t="s">
        <v>209</v>
      </c>
      <c r="BM18" s="378"/>
      <c r="BN18" s="378"/>
      <c r="BO18" s="378"/>
      <c r="BP18" s="378"/>
      <c r="BQ18" s="378"/>
      <c r="BR18" s="378"/>
      <c r="BS18" s="378"/>
      <c r="BT18" s="378"/>
      <c r="BU18" s="380" t="s">
        <v>229</v>
      </c>
    </row>
    <row r="19" spans="3:73">
      <c r="BJ19" s="376"/>
      <c r="BK19" s="378"/>
      <c r="BL19" s="446">
        <f>BN9</f>
        <v>2.8490000000000002</v>
      </c>
      <c r="BM19" s="378"/>
      <c r="BN19" s="378"/>
      <c r="BO19" s="378"/>
      <c r="BP19" s="378"/>
      <c r="BQ19" s="378"/>
      <c r="BR19" s="378"/>
      <c r="BS19" s="378"/>
      <c r="BT19" s="378"/>
      <c r="BU19" s="382">
        <f>BL19</f>
        <v>2.8490000000000002</v>
      </c>
    </row>
    <row r="20" spans="3:73">
      <c r="BJ20" s="376"/>
      <c r="BK20" s="378"/>
      <c r="BL20" s="378"/>
      <c r="BM20" s="378"/>
      <c r="BN20" s="378"/>
      <c r="BO20" s="378"/>
      <c r="BP20" s="378"/>
      <c r="BQ20" s="378"/>
      <c r="BR20" s="378"/>
      <c r="BS20" s="378"/>
      <c r="BT20" s="378"/>
      <c r="BU20" s="383"/>
    </row>
    <row r="21" spans="3:73">
      <c r="BJ21" s="960" t="s">
        <v>647</v>
      </c>
      <c r="BK21" s="961"/>
      <c r="BL21" s="961"/>
      <c r="BM21" s="378"/>
      <c r="BN21" s="378"/>
      <c r="BO21" s="378"/>
      <c r="BP21" s="378"/>
      <c r="BQ21" s="378"/>
      <c r="BR21" s="378"/>
      <c r="BS21" s="378"/>
      <c r="BT21" s="378"/>
      <c r="BU21" s="383"/>
    </row>
    <row r="22" spans="3:73">
      <c r="BJ22" s="376"/>
      <c r="BK22" s="378"/>
      <c r="BL22" s="441" t="s">
        <v>210</v>
      </c>
      <c r="BM22" s="441" t="str">
        <f>BP7</f>
        <v>2020Q2</v>
      </c>
      <c r="BN22" s="441" t="str">
        <f t="shared" ref="BN22:BS22" si="0">BQ7</f>
        <v>2020Q3</v>
      </c>
      <c r="BO22" s="441" t="str">
        <f t="shared" si="0"/>
        <v>2020Q4</v>
      </c>
      <c r="BP22" s="441" t="str">
        <f t="shared" si="0"/>
        <v>2021Q1</v>
      </c>
      <c r="BQ22" s="441" t="str">
        <f t="shared" si="0"/>
        <v>2021Q2</v>
      </c>
      <c r="BR22" s="441" t="str">
        <f t="shared" si="0"/>
        <v>2021Q3</v>
      </c>
      <c r="BS22" s="441" t="str">
        <f t="shared" si="0"/>
        <v>2021Q4</v>
      </c>
      <c r="BT22" s="378"/>
      <c r="BU22" s="383"/>
    </row>
    <row r="23" spans="3:73">
      <c r="BJ23" s="376"/>
      <c r="BK23" s="378"/>
      <c r="BL23" s="446">
        <f>BO9</f>
        <v>2.86</v>
      </c>
      <c r="BM23" s="446">
        <f t="shared" ref="BM23:BS23" si="1">BP9</f>
        <v>2.8660000000000001</v>
      </c>
      <c r="BN23" s="446">
        <f t="shared" si="1"/>
        <v>2.8780000000000001</v>
      </c>
      <c r="BO23" s="446">
        <f t="shared" si="1"/>
        <v>2.8860000000000001</v>
      </c>
      <c r="BP23" s="446">
        <f t="shared" si="1"/>
        <v>2.9049999999999998</v>
      </c>
      <c r="BQ23" s="446">
        <f t="shared" si="1"/>
        <v>2.9220000000000002</v>
      </c>
      <c r="BR23" s="446">
        <f t="shared" si="1"/>
        <v>2.9369999999999998</v>
      </c>
      <c r="BS23" s="446">
        <f t="shared" si="1"/>
        <v>2.9510000000000001</v>
      </c>
      <c r="BT23" s="378"/>
      <c r="BU23" s="382">
        <f>AVERAGE(BL23:BS23)</f>
        <v>2.9006249999999998</v>
      </c>
    </row>
    <row r="24" spans="3:73">
      <c r="BJ24" s="376"/>
      <c r="BK24" s="378"/>
      <c r="BL24" s="378"/>
      <c r="BM24" s="378"/>
      <c r="BN24" s="378"/>
      <c r="BO24" s="378"/>
      <c r="BP24" s="378"/>
      <c r="BQ24" s="378"/>
      <c r="BR24" s="378"/>
      <c r="BS24" s="378"/>
      <c r="BT24" s="378"/>
      <c r="BU24" s="383"/>
    </row>
    <row r="25" spans="3:73">
      <c r="BJ25" s="376"/>
      <c r="BK25" s="378"/>
      <c r="BL25" s="378"/>
      <c r="BM25" s="378"/>
      <c r="BN25" s="378"/>
      <c r="BO25" s="378"/>
      <c r="BP25" s="378"/>
      <c r="BQ25" s="378"/>
      <c r="BR25" s="378"/>
      <c r="BS25" s="378"/>
      <c r="BT25" s="384" t="s">
        <v>39</v>
      </c>
      <c r="BU25" s="147">
        <f>(BU23-BU19)/BU19</f>
        <v>1.8120393120392975E-2</v>
      </c>
    </row>
    <row r="26" spans="3:73">
      <c r="BJ26" s="385"/>
      <c r="BK26" s="386"/>
      <c r="BL26" s="386"/>
      <c r="BM26" s="386"/>
      <c r="BN26" s="386"/>
      <c r="BO26" s="386"/>
      <c r="BP26" s="386"/>
      <c r="BQ26" s="386"/>
      <c r="BR26" s="386"/>
      <c r="BS26" s="386"/>
      <c r="BT26" s="386"/>
      <c r="BU26" s="387"/>
    </row>
  </sheetData>
  <mergeCells count="1">
    <mergeCell ref="BJ21:BL21"/>
  </mergeCells>
  <pageMargins left="0.25" right="0.25" top="1" bottom="1" header="0.5" footer="0.5"/>
  <pageSetup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zoomScaleNormal="100" workbookViewId="0">
      <selection activeCell="P86" sqref="P86"/>
    </sheetView>
  </sheetViews>
  <sheetFormatPr defaultColWidth="9.140625" defaultRowHeight="14.25" customHeight="1"/>
  <cols>
    <col min="1" max="1" width="10.42578125" style="408" bestFit="1" customWidth="1"/>
    <col min="2" max="2" width="7.5703125" style="408" bestFit="1" customWidth="1"/>
    <col min="3" max="3" width="29.42578125" style="408" bestFit="1" customWidth="1"/>
    <col min="4" max="4" width="6.5703125" style="408" bestFit="1" customWidth="1"/>
    <col min="5" max="5" width="11.5703125" style="408" bestFit="1" customWidth="1"/>
    <col min="6" max="6" width="34.28515625" style="408" bestFit="1" customWidth="1"/>
    <col min="7" max="7" width="7.42578125" style="408" bestFit="1" customWidth="1"/>
    <col min="8" max="8" width="19.7109375" style="408" bestFit="1" customWidth="1"/>
    <col min="9" max="9" width="22.28515625" style="408" bestFit="1" customWidth="1"/>
    <col min="10" max="10" width="14" style="408" customWidth="1"/>
    <col min="11" max="11" width="10" style="408" bestFit="1" customWidth="1"/>
    <col min="12" max="12" width="26.42578125" style="413" bestFit="1" customWidth="1"/>
    <col min="13" max="16384" width="9.140625" style="408"/>
  </cols>
  <sheetData>
    <row r="1" spans="1:12" ht="14.25" customHeight="1">
      <c r="A1" s="407" t="s">
        <v>612</v>
      </c>
      <c r="B1" s="407" t="s">
        <v>409</v>
      </c>
      <c r="C1" s="407" t="s">
        <v>410</v>
      </c>
      <c r="D1" s="407" t="s">
        <v>294</v>
      </c>
      <c r="E1" s="407" t="s">
        <v>285</v>
      </c>
      <c r="F1" s="407" t="s">
        <v>411</v>
      </c>
      <c r="G1" s="407" t="s">
        <v>301</v>
      </c>
      <c r="H1" s="407" t="s">
        <v>412</v>
      </c>
      <c r="I1" s="407" t="s">
        <v>413</v>
      </c>
      <c r="J1" s="407" t="s">
        <v>298</v>
      </c>
      <c r="K1" s="407" t="s">
        <v>414</v>
      </c>
      <c r="L1" s="411" t="s">
        <v>415</v>
      </c>
    </row>
    <row r="2" spans="1:12" ht="14.25" customHeight="1">
      <c r="A2" s="409">
        <v>2018</v>
      </c>
      <c r="B2" s="410" t="s">
        <v>416</v>
      </c>
      <c r="C2" s="410" t="s">
        <v>417</v>
      </c>
      <c r="D2" s="410" t="s">
        <v>307</v>
      </c>
      <c r="E2" s="410" t="s">
        <v>108</v>
      </c>
      <c r="F2" s="410" t="s">
        <v>586</v>
      </c>
      <c r="G2" s="410" t="s">
        <v>275</v>
      </c>
      <c r="H2" s="410" t="s">
        <v>276</v>
      </c>
      <c r="I2" s="410" t="s">
        <v>600</v>
      </c>
      <c r="J2" s="410" t="s">
        <v>601</v>
      </c>
      <c r="K2" s="410" t="s">
        <v>602</v>
      </c>
      <c r="L2" s="412">
        <v>7548.6</v>
      </c>
    </row>
    <row r="3" spans="1:12" ht="14.25" customHeight="1">
      <c r="A3" s="409">
        <v>2018</v>
      </c>
      <c r="B3" s="410" t="s">
        <v>416</v>
      </c>
      <c r="C3" s="410" t="s">
        <v>417</v>
      </c>
      <c r="D3" s="410" t="s">
        <v>307</v>
      </c>
      <c r="E3" s="410" t="s">
        <v>108</v>
      </c>
      <c r="F3" s="410" t="s">
        <v>586</v>
      </c>
      <c r="G3" s="410" t="s">
        <v>275</v>
      </c>
      <c r="H3" s="410" t="s">
        <v>276</v>
      </c>
      <c r="I3" s="410" t="s">
        <v>508</v>
      </c>
      <c r="J3" s="410" t="s">
        <v>509</v>
      </c>
      <c r="K3" s="410" t="s">
        <v>510</v>
      </c>
      <c r="L3" s="412">
        <v>8574</v>
      </c>
    </row>
    <row r="4" spans="1:12" ht="14.25" customHeight="1">
      <c r="A4" s="409">
        <v>2018</v>
      </c>
      <c r="B4" s="410" t="s">
        <v>416</v>
      </c>
      <c r="C4" s="410" t="s">
        <v>417</v>
      </c>
      <c r="D4" s="410" t="s">
        <v>307</v>
      </c>
      <c r="E4" s="410" t="s">
        <v>108</v>
      </c>
      <c r="F4" s="410" t="s">
        <v>586</v>
      </c>
      <c r="G4" s="410" t="s">
        <v>275</v>
      </c>
      <c r="H4" s="410" t="s">
        <v>276</v>
      </c>
      <c r="I4" s="410" t="s">
        <v>525</v>
      </c>
      <c r="J4" s="410" t="s">
        <v>526</v>
      </c>
      <c r="K4" s="410" t="s">
        <v>527</v>
      </c>
      <c r="L4" s="412">
        <v>8801.58</v>
      </c>
    </row>
    <row r="5" spans="1:12" ht="14.25" customHeight="1">
      <c r="A5" s="409">
        <v>2018</v>
      </c>
      <c r="B5" s="410" t="s">
        <v>416</v>
      </c>
      <c r="C5" s="410" t="s">
        <v>417</v>
      </c>
      <c r="D5" s="410" t="s">
        <v>307</v>
      </c>
      <c r="E5" s="410" t="s">
        <v>108</v>
      </c>
      <c r="F5" s="410" t="s">
        <v>586</v>
      </c>
      <c r="G5" s="410" t="s">
        <v>275</v>
      </c>
      <c r="H5" s="410" t="s">
        <v>276</v>
      </c>
      <c r="I5" s="410" t="s">
        <v>603</v>
      </c>
      <c r="J5" s="410" t="s">
        <v>604</v>
      </c>
      <c r="K5" s="410" t="s">
        <v>605</v>
      </c>
      <c r="L5" s="412">
        <v>0</v>
      </c>
    </row>
    <row r="6" spans="1:12" ht="14.25" customHeight="1">
      <c r="A6" s="409">
        <v>2018</v>
      </c>
      <c r="B6" s="410" t="s">
        <v>416</v>
      </c>
      <c r="C6" s="410" t="s">
        <v>417</v>
      </c>
      <c r="D6" s="410" t="s">
        <v>307</v>
      </c>
      <c r="E6" s="410" t="s">
        <v>108</v>
      </c>
      <c r="F6" s="410" t="s">
        <v>586</v>
      </c>
      <c r="G6" s="410" t="s">
        <v>275</v>
      </c>
      <c r="H6" s="410" t="s">
        <v>276</v>
      </c>
      <c r="I6" s="410" t="s">
        <v>597</v>
      </c>
      <c r="J6" s="410" t="s">
        <v>598</v>
      </c>
      <c r="K6" s="410" t="s">
        <v>599</v>
      </c>
      <c r="L6" s="412">
        <v>409.5</v>
      </c>
    </row>
    <row r="7" spans="1:12" ht="14.25" customHeight="1">
      <c r="A7" s="409">
        <v>2018</v>
      </c>
      <c r="B7" s="410" t="s">
        <v>416</v>
      </c>
      <c r="C7" s="410" t="s">
        <v>417</v>
      </c>
      <c r="D7" s="410" t="s">
        <v>307</v>
      </c>
      <c r="E7" s="410" t="s">
        <v>108</v>
      </c>
      <c r="F7" s="410" t="s">
        <v>586</v>
      </c>
      <c r="G7" s="410" t="s">
        <v>275</v>
      </c>
      <c r="H7" s="410" t="s">
        <v>276</v>
      </c>
      <c r="I7" s="410" t="s">
        <v>493</v>
      </c>
      <c r="J7" s="410" t="s">
        <v>494</v>
      </c>
      <c r="K7" s="410" t="s">
        <v>495</v>
      </c>
      <c r="L7" s="412">
        <v>1031.52</v>
      </c>
    </row>
    <row r="8" spans="1:12" ht="14.25" customHeight="1">
      <c r="A8" s="409">
        <v>2018</v>
      </c>
      <c r="B8" s="410" t="s">
        <v>416</v>
      </c>
      <c r="C8" s="410" t="s">
        <v>417</v>
      </c>
      <c r="D8" s="410" t="s">
        <v>307</v>
      </c>
      <c r="E8" s="410" t="s">
        <v>108</v>
      </c>
      <c r="F8" s="410" t="s">
        <v>586</v>
      </c>
      <c r="G8" s="410" t="s">
        <v>275</v>
      </c>
      <c r="H8" s="410" t="s">
        <v>276</v>
      </c>
      <c r="I8" s="410" t="s">
        <v>490</v>
      </c>
      <c r="J8" s="410" t="s">
        <v>491</v>
      </c>
      <c r="K8" s="410" t="s">
        <v>492</v>
      </c>
      <c r="L8" s="412">
        <v>15274.07</v>
      </c>
    </row>
    <row r="9" spans="1:12" ht="14.25" customHeight="1">
      <c r="A9" s="409">
        <v>2018</v>
      </c>
      <c r="B9" s="410" t="s">
        <v>416</v>
      </c>
      <c r="C9" s="410" t="s">
        <v>417</v>
      </c>
      <c r="D9" s="410" t="s">
        <v>307</v>
      </c>
      <c r="E9" s="410" t="s">
        <v>108</v>
      </c>
      <c r="F9" s="410" t="s">
        <v>586</v>
      </c>
      <c r="G9" s="410" t="s">
        <v>275</v>
      </c>
      <c r="H9" s="410" t="s">
        <v>276</v>
      </c>
      <c r="I9" s="410" t="s">
        <v>432</v>
      </c>
      <c r="J9" s="410" t="s">
        <v>433</v>
      </c>
      <c r="K9" s="410" t="s">
        <v>434</v>
      </c>
      <c r="L9" s="412">
        <v>3810.72</v>
      </c>
    </row>
    <row r="10" spans="1:12" ht="14.25" customHeight="1">
      <c r="A10" s="409">
        <v>2018</v>
      </c>
      <c r="B10" s="410" t="s">
        <v>416</v>
      </c>
      <c r="C10" s="410" t="s">
        <v>417</v>
      </c>
      <c r="D10" s="410" t="s">
        <v>307</v>
      </c>
      <c r="E10" s="410" t="s">
        <v>108</v>
      </c>
      <c r="F10" s="410" t="s">
        <v>586</v>
      </c>
      <c r="G10" s="410" t="s">
        <v>275</v>
      </c>
      <c r="H10" s="410" t="s">
        <v>276</v>
      </c>
      <c r="I10" s="410" t="s">
        <v>591</v>
      </c>
      <c r="J10" s="410" t="s">
        <v>592</v>
      </c>
      <c r="K10" s="410" t="s">
        <v>593</v>
      </c>
      <c r="L10" s="412">
        <v>0</v>
      </c>
    </row>
    <row r="11" spans="1:12" ht="14.25" customHeight="1">
      <c r="A11" s="409">
        <v>2018</v>
      </c>
      <c r="B11" s="410" t="s">
        <v>416</v>
      </c>
      <c r="C11" s="410" t="s">
        <v>417</v>
      </c>
      <c r="D11" s="410" t="s">
        <v>307</v>
      </c>
      <c r="E11" s="410" t="s">
        <v>108</v>
      </c>
      <c r="F11" s="410" t="s">
        <v>586</v>
      </c>
      <c r="G11" s="410" t="s">
        <v>275</v>
      </c>
      <c r="H11" s="410" t="s">
        <v>276</v>
      </c>
      <c r="I11" s="410" t="s">
        <v>514</v>
      </c>
      <c r="J11" s="410" t="s">
        <v>515</v>
      </c>
      <c r="K11" s="410" t="s">
        <v>516</v>
      </c>
      <c r="L11" s="412">
        <v>7664.48</v>
      </c>
    </row>
    <row r="12" spans="1:12" ht="14.25" customHeight="1">
      <c r="A12" s="409">
        <v>2018</v>
      </c>
      <c r="B12" s="410" t="s">
        <v>416</v>
      </c>
      <c r="C12" s="410" t="s">
        <v>417</v>
      </c>
      <c r="D12" s="410" t="s">
        <v>307</v>
      </c>
      <c r="E12" s="410" t="s">
        <v>108</v>
      </c>
      <c r="F12" s="410" t="s">
        <v>586</v>
      </c>
      <c r="G12" s="410" t="s">
        <v>275</v>
      </c>
      <c r="H12" s="410" t="s">
        <v>276</v>
      </c>
      <c r="I12" s="410" t="s">
        <v>594</v>
      </c>
      <c r="J12" s="410" t="s">
        <v>595</v>
      </c>
      <c r="K12" s="410" t="s">
        <v>596</v>
      </c>
      <c r="L12" s="412">
        <v>260</v>
      </c>
    </row>
    <row r="13" spans="1:12" ht="14.25" customHeight="1">
      <c r="A13" s="409">
        <v>2018</v>
      </c>
      <c r="B13" s="410" t="s">
        <v>416</v>
      </c>
      <c r="C13" s="410" t="s">
        <v>417</v>
      </c>
      <c r="D13" s="410" t="s">
        <v>307</v>
      </c>
      <c r="E13" s="410" t="s">
        <v>108</v>
      </c>
      <c r="F13" s="410" t="s">
        <v>586</v>
      </c>
      <c r="G13" s="410" t="s">
        <v>275</v>
      </c>
      <c r="H13" s="410" t="s">
        <v>276</v>
      </c>
      <c r="I13" s="410" t="s">
        <v>454</v>
      </c>
      <c r="J13" s="410" t="s">
        <v>455</v>
      </c>
      <c r="K13" s="410" t="s">
        <v>456</v>
      </c>
      <c r="L13" s="412">
        <v>2537.7600000000002</v>
      </c>
    </row>
    <row r="14" spans="1:12" ht="14.25" customHeight="1">
      <c r="A14" s="409">
        <v>2018</v>
      </c>
      <c r="B14" s="410" t="s">
        <v>416</v>
      </c>
      <c r="C14" s="410" t="s">
        <v>417</v>
      </c>
      <c r="D14" s="410" t="s">
        <v>307</v>
      </c>
      <c r="E14" s="410" t="s">
        <v>108</v>
      </c>
      <c r="F14" s="410" t="s">
        <v>586</v>
      </c>
      <c r="G14" s="410" t="s">
        <v>275</v>
      </c>
      <c r="H14" s="410" t="s">
        <v>276</v>
      </c>
      <c r="I14" s="410" t="s">
        <v>511</v>
      </c>
      <c r="J14" s="410" t="s">
        <v>512</v>
      </c>
      <c r="K14" s="410" t="s">
        <v>513</v>
      </c>
      <c r="L14" s="412">
        <v>4327.92</v>
      </c>
    </row>
    <row r="15" spans="1:12" ht="14.25" customHeight="1">
      <c r="A15" s="409">
        <v>2018</v>
      </c>
      <c r="B15" s="410" t="s">
        <v>416</v>
      </c>
      <c r="C15" s="410" t="s">
        <v>417</v>
      </c>
      <c r="D15" s="410" t="s">
        <v>307</v>
      </c>
      <c r="E15" s="410" t="s">
        <v>108</v>
      </c>
      <c r="F15" s="410" t="s">
        <v>586</v>
      </c>
      <c r="G15" s="410" t="s">
        <v>275</v>
      </c>
      <c r="H15" s="410" t="s">
        <v>276</v>
      </c>
      <c r="I15" s="410" t="s">
        <v>457</v>
      </c>
      <c r="J15" s="410" t="s">
        <v>458</v>
      </c>
      <c r="K15" s="410" t="s">
        <v>459</v>
      </c>
      <c r="L15" s="412">
        <v>4198.4399999999996</v>
      </c>
    </row>
    <row r="16" spans="1:12" ht="14.25" customHeight="1">
      <c r="A16" s="409">
        <v>2018</v>
      </c>
      <c r="B16" s="410" t="s">
        <v>416</v>
      </c>
      <c r="C16" s="410" t="s">
        <v>417</v>
      </c>
      <c r="D16" s="410" t="s">
        <v>307</v>
      </c>
      <c r="E16" s="410" t="s">
        <v>108</v>
      </c>
      <c r="F16" s="410" t="s">
        <v>586</v>
      </c>
      <c r="G16" s="410" t="s">
        <v>275</v>
      </c>
      <c r="H16" s="410" t="s">
        <v>276</v>
      </c>
      <c r="I16" s="410" t="s">
        <v>609</v>
      </c>
      <c r="J16" s="410" t="s">
        <v>610</v>
      </c>
      <c r="K16" s="410" t="s">
        <v>611</v>
      </c>
      <c r="L16" s="412">
        <v>0</v>
      </c>
    </row>
    <row r="17" spans="1:12" ht="14.25" customHeight="1">
      <c r="A17" s="409">
        <v>2018</v>
      </c>
      <c r="B17" s="410" t="s">
        <v>416</v>
      </c>
      <c r="C17" s="410" t="s">
        <v>417</v>
      </c>
      <c r="D17" s="410" t="s">
        <v>307</v>
      </c>
      <c r="E17" s="410" t="s">
        <v>108</v>
      </c>
      <c r="F17" s="410" t="s">
        <v>586</v>
      </c>
      <c r="G17" s="410" t="s">
        <v>275</v>
      </c>
      <c r="H17" s="410" t="s">
        <v>276</v>
      </c>
      <c r="I17" s="410" t="s">
        <v>606</v>
      </c>
      <c r="J17" s="410" t="s">
        <v>607</v>
      </c>
      <c r="K17" s="410" t="s">
        <v>608</v>
      </c>
      <c r="L17" s="412">
        <v>15264.12</v>
      </c>
    </row>
    <row r="18" spans="1:12" ht="14.25" customHeight="1" thickBot="1">
      <c r="A18" s="409">
        <v>2018</v>
      </c>
      <c r="B18" s="410" t="s">
        <v>416</v>
      </c>
      <c r="C18" s="410" t="s">
        <v>417</v>
      </c>
      <c r="D18" s="410" t="s">
        <v>307</v>
      </c>
      <c r="E18" s="410" t="s">
        <v>108</v>
      </c>
      <c r="F18" s="410" t="s">
        <v>586</v>
      </c>
      <c r="G18" s="410" t="s">
        <v>275</v>
      </c>
      <c r="H18" s="410" t="s">
        <v>276</v>
      </c>
      <c r="I18" s="410" t="s">
        <v>519</v>
      </c>
      <c r="J18" s="410" t="s">
        <v>520</v>
      </c>
      <c r="K18" s="410" t="s">
        <v>521</v>
      </c>
      <c r="L18" s="414">
        <v>2565</v>
      </c>
    </row>
    <row r="19" spans="1:12" ht="14.25" customHeight="1">
      <c r="A19" s="409"/>
      <c r="B19" s="410"/>
      <c r="C19" s="410"/>
      <c r="D19" s="410"/>
      <c r="E19" s="410"/>
      <c r="F19" s="410"/>
      <c r="G19" s="410"/>
      <c r="H19" s="410"/>
      <c r="I19" s="410"/>
      <c r="J19" s="410"/>
      <c r="K19" s="410"/>
      <c r="L19" s="415">
        <f>SUM(L2:L18)</f>
        <v>82267.710000000006</v>
      </c>
    </row>
    <row r="20" spans="1:12" ht="14.25" customHeight="1">
      <c r="A20" s="409"/>
      <c r="B20" s="410"/>
      <c r="C20" s="410"/>
      <c r="D20" s="410"/>
      <c r="E20" s="410"/>
      <c r="F20" s="410"/>
      <c r="G20" s="410"/>
      <c r="H20" s="410"/>
      <c r="I20" s="410"/>
      <c r="J20" s="410"/>
      <c r="K20" s="410"/>
      <c r="L20" s="412"/>
    </row>
    <row r="21" spans="1:12" ht="14.25" customHeight="1">
      <c r="A21" s="409">
        <v>2018</v>
      </c>
      <c r="B21" s="410" t="s">
        <v>416</v>
      </c>
      <c r="C21" s="410" t="s">
        <v>417</v>
      </c>
      <c r="D21" s="410" t="s">
        <v>307</v>
      </c>
      <c r="E21" s="410" t="s">
        <v>108</v>
      </c>
      <c r="F21" s="410" t="s">
        <v>586</v>
      </c>
      <c r="G21" s="410" t="s">
        <v>273</v>
      </c>
      <c r="H21" s="410" t="s">
        <v>274</v>
      </c>
      <c r="I21" s="410" t="s">
        <v>613</v>
      </c>
      <c r="J21" s="410" t="s">
        <v>614</v>
      </c>
      <c r="K21" s="410" t="s">
        <v>615</v>
      </c>
      <c r="L21" s="412">
        <v>309875.76</v>
      </c>
    </row>
    <row r="22" spans="1:12" ht="14.25" customHeight="1" thickBot="1">
      <c r="A22" s="409">
        <v>2018</v>
      </c>
      <c r="B22" s="410" t="s">
        <v>416</v>
      </c>
      <c r="C22" s="410" t="s">
        <v>417</v>
      </c>
      <c r="D22" s="410" t="s">
        <v>435</v>
      </c>
      <c r="E22" s="410" t="s">
        <v>108</v>
      </c>
      <c r="F22" s="410" t="s">
        <v>586</v>
      </c>
      <c r="G22" s="410" t="s">
        <v>273</v>
      </c>
      <c r="H22" s="410" t="s">
        <v>274</v>
      </c>
      <c r="I22" s="410" t="s">
        <v>613</v>
      </c>
      <c r="J22" s="410" t="s">
        <v>614</v>
      </c>
      <c r="K22" s="410" t="s">
        <v>615</v>
      </c>
      <c r="L22" s="414">
        <v>65018.04</v>
      </c>
    </row>
    <row r="23" spans="1:12" ht="14.25" customHeight="1">
      <c r="A23" s="409"/>
      <c r="B23" s="410"/>
      <c r="C23" s="410"/>
      <c r="D23" s="410"/>
      <c r="E23" s="410"/>
      <c r="F23" s="410"/>
      <c r="G23" s="410"/>
      <c r="H23" s="410"/>
      <c r="I23" s="410"/>
      <c r="J23" s="410"/>
      <c r="K23" s="410"/>
      <c r="L23" s="415">
        <f>SUM(L21:L22)</f>
        <v>374893.8</v>
      </c>
    </row>
    <row r="24" spans="1:12" ht="14.25" customHeight="1">
      <c r="A24" s="409"/>
      <c r="B24" s="410"/>
      <c r="C24" s="410"/>
      <c r="D24" s="410"/>
      <c r="E24" s="410"/>
      <c r="F24" s="410"/>
      <c r="G24" s="410"/>
      <c r="H24" s="410"/>
      <c r="I24" s="410"/>
      <c r="J24" s="410"/>
      <c r="K24" s="410"/>
      <c r="L24" s="412"/>
    </row>
    <row r="25" spans="1:12" ht="14.25" customHeight="1">
      <c r="A25" s="409">
        <v>2018</v>
      </c>
      <c r="B25" s="410" t="s">
        <v>416</v>
      </c>
      <c r="C25" s="410" t="s">
        <v>417</v>
      </c>
      <c r="D25" s="410" t="s">
        <v>307</v>
      </c>
      <c r="E25" s="410" t="s">
        <v>107</v>
      </c>
      <c r="F25" s="410" t="s">
        <v>418</v>
      </c>
      <c r="G25" s="410" t="s">
        <v>277</v>
      </c>
      <c r="H25" s="410" t="s">
        <v>278</v>
      </c>
      <c r="I25" s="410" t="s">
        <v>540</v>
      </c>
      <c r="J25" s="410" t="s">
        <v>308</v>
      </c>
      <c r="K25" s="410" t="s">
        <v>541</v>
      </c>
      <c r="L25" s="412">
        <v>238329.36</v>
      </c>
    </row>
    <row r="26" spans="1:12" ht="14.25" customHeight="1">
      <c r="A26" s="409">
        <v>2018</v>
      </c>
      <c r="B26" s="410" t="s">
        <v>416</v>
      </c>
      <c r="C26" s="410" t="s">
        <v>417</v>
      </c>
      <c r="D26" s="410" t="s">
        <v>307</v>
      </c>
      <c r="E26" s="410" t="s">
        <v>107</v>
      </c>
      <c r="F26" s="410" t="s">
        <v>418</v>
      </c>
      <c r="G26" s="410" t="s">
        <v>277</v>
      </c>
      <c r="H26" s="410" t="s">
        <v>278</v>
      </c>
      <c r="I26" s="410" t="s">
        <v>517</v>
      </c>
      <c r="J26" s="410" t="s">
        <v>314</v>
      </c>
      <c r="K26" s="410" t="s">
        <v>518</v>
      </c>
      <c r="L26" s="412">
        <v>239714.78</v>
      </c>
    </row>
    <row r="27" spans="1:12" ht="14.25" customHeight="1" thickBot="1">
      <c r="A27" s="409">
        <v>2018</v>
      </c>
      <c r="B27" s="410" t="s">
        <v>416</v>
      </c>
      <c r="C27" s="410" t="s">
        <v>417</v>
      </c>
      <c r="D27" s="410" t="s">
        <v>307</v>
      </c>
      <c r="E27" s="410" t="s">
        <v>107</v>
      </c>
      <c r="F27" s="410" t="s">
        <v>418</v>
      </c>
      <c r="G27" s="410" t="s">
        <v>277</v>
      </c>
      <c r="H27" s="410" t="s">
        <v>278</v>
      </c>
      <c r="I27" s="410" t="s">
        <v>554</v>
      </c>
      <c r="J27" s="410" t="s">
        <v>310</v>
      </c>
      <c r="K27" s="410" t="s">
        <v>555</v>
      </c>
      <c r="L27" s="414">
        <v>736789.54</v>
      </c>
    </row>
    <row r="28" spans="1:12" ht="14.25" customHeight="1">
      <c r="A28" s="409"/>
      <c r="B28" s="410"/>
      <c r="C28" s="410"/>
      <c r="D28" s="410"/>
      <c r="E28" s="410"/>
      <c r="F28" s="410"/>
      <c r="G28" s="410"/>
      <c r="H28" s="410"/>
      <c r="I28" s="410"/>
      <c r="J28" s="410"/>
      <c r="K28" s="410"/>
      <c r="L28" s="415">
        <f>SUM(L25:L27)</f>
        <v>1214833.6800000002</v>
      </c>
    </row>
    <row r="29" spans="1:12" ht="14.25" customHeight="1">
      <c r="A29" s="409"/>
      <c r="B29" s="410"/>
      <c r="C29" s="410"/>
      <c r="D29" s="410"/>
      <c r="E29" s="410"/>
      <c r="F29" s="410"/>
      <c r="G29" s="410"/>
      <c r="H29" s="410"/>
      <c r="I29" s="410"/>
      <c r="J29" s="410"/>
      <c r="K29" s="410"/>
      <c r="L29" s="412"/>
    </row>
    <row r="30" spans="1:12" ht="14.25" customHeight="1">
      <c r="A30" s="409">
        <v>2018</v>
      </c>
      <c r="B30" s="410" t="s">
        <v>416</v>
      </c>
      <c r="C30" s="410" t="s">
        <v>417</v>
      </c>
      <c r="D30" s="410" t="s">
        <v>307</v>
      </c>
      <c r="E30" s="410" t="s">
        <v>107</v>
      </c>
      <c r="F30" s="410" t="s">
        <v>418</v>
      </c>
      <c r="G30" s="410" t="s">
        <v>271</v>
      </c>
      <c r="H30" s="410" t="s">
        <v>419</v>
      </c>
      <c r="I30" s="410" t="s">
        <v>490</v>
      </c>
      <c r="J30" s="410" t="s">
        <v>491</v>
      </c>
      <c r="K30" s="410" t="s">
        <v>492</v>
      </c>
      <c r="L30" s="412">
        <v>51719.23</v>
      </c>
    </row>
    <row r="31" spans="1:12" ht="14.25" customHeight="1">
      <c r="A31" s="409">
        <v>2018</v>
      </c>
      <c r="B31" s="410" t="s">
        <v>416</v>
      </c>
      <c r="C31" s="410" t="s">
        <v>417</v>
      </c>
      <c r="D31" s="410" t="s">
        <v>307</v>
      </c>
      <c r="E31" s="410" t="s">
        <v>107</v>
      </c>
      <c r="F31" s="410" t="s">
        <v>418</v>
      </c>
      <c r="G31" s="410" t="s">
        <v>271</v>
      </c>
      <c r="H31" s="410" t="s">
        <v>419</v>
      </c>
      <c r="I31" s="410" t="s">
        <v>496</v>
      </c>
      <c r="J31" s="410" t="s">
        <v>497</v>
      </c>
      <c r="K31" s="410" t="s">
        <v>498</v>
      </c>
      <c r="L31" s="412">
        <v>59488.81</v>
      </c>
    </row>
    <row r="32" spans="1:12" ht="14.25" customHeight="1">
      <c r="A32" s="409">
        <v>2018</v>
      </c>
      <c r="B32" s="410" t="s">
        <v>416</v>
      </c>
      <c r="C32" s="410" t="s">
        <v>417</v>
      </c>
      <c r="D32" s="410" t="s">
        <v>307</v>
      </c>
      <c r="E32" s="410" t="s">
        <v>107</v>
      </c>
      <c r="F32" s="410" t="s">
        <v>418</v>
      </c>
      <c r="G32" s="410" t="s">
        <v>271</v>
      </c>
      <c r="H32" s="410" t="s">
        <v>419</v>
      </c>
      <c r="I32" s="410" t="s">
        <v>493</v>
      </c>
      <c r="J32" s="410" t="s">
        <v>494</v>
      </c>
      <c r="K32" s="410" t="s">
        <v>495</v>
      </c>
      <c r="L32" s="412">
        <v>6416.3</v>
      </c>
    </row>
    <row r="33" spans="1:12" ht="14.25" customHeight="1">
      <c r="A33" s="409">
        <v>2018</v>
      </c>
      <c r="B33" s="410" t="s">
        <v>416</v>
      </c>
      <c r="C33" s="410" t="s">
        <v>417</v>
      </c>
      <c r="D33" s="410" t="s">
        <v>435</v>
      </c>
      <c r="E33" s="410" t="s">
        <v>107</v>
      </c>
      <c r="F33" s="410" t="s">
        <v>418</v>
      </c>
      <c r="G33" s="410" t="s">
        <v>271</v>
      </c>
      <c r="H33" s="410" t="s">
        <v>419</v>
      </c>
      <c r="I33" s="410" t="s">
        <v>472</v>
      </c>
      <c r="J33" s="410" t="s">
        <v>473</v>
      </c>
      <c r="K33" s="410" t="s">
        <v>474</v>
      </c>
      <c r="L33" s="412">
        <v>316.5</v>
      </c>
    </row>
    <row r="34" spans="1:12" ht="14.25" customHeight="1">
      <c r="A34" s="409">
        <v>2018</v>
      </c>
      <c r="B34" s="410" t="s">
        <v>416</v>
      </c>
      <c r="C34" s="410" t="s">
        <v>417</v>
      </c>
      <c r="D34" s="410" t="s">
        <v>307</v>
      </c>
      <c r="E34" s="410" t="s">
        <v>107</v>
      </c>
      <c r="F34" s="410" t="s">
        <v>418</v>
      </c>
      <c r="G34" s="410" t="s">
        <v>271</v>
      </c>
      <c r="H34" s="410" t="s">
        <v>419</v>
      </c>
      <c r="I34" s="410" t="s">
        <v>432</v>
      </c>
      <c r="J34" s="410" t="s">
        <v>433</v>
      </c>
      <c r="K34" s="410" t="s">
        <v>434</v>
      </c>
      <c r="L34" s="412">
        <v>164584.92000000001</v>
      </c>
    </row>
    <row r="35" spans="1:12" ht="14.25" customHeight="1">
      <c r="A35" s="409">
        <v>2018</v>
      </c>
      <c r="B35" s="410" t="s">
        <v>416</v>
      </c>
      <c r="C35" s="410" t="s">
        <v>417</v>
      </c>
      <c r="D35" s="410" t="s">
        <v>307</v>
      </c>
      <c r="E35" s="410" t="s">
        <v>107</v>
      </c>
      <c r="F35" s="410" t="s">
        <v>418</v>
      </c>
      <c r="G35" s="410" t="s">
        <v>271</v>
      </c>
      <c r="H35" s="410" t="s">
        <v>419</v>
      </c>
      <c r="I35" s="410" t="s">
        <v>429</v>
      </c>
      <c r="J35" s="410" t="s">
        <v>430</v>
      </c>
      <c r="K35" s="410" t="s">
        <v>431</v>
      </c>
      <c r="L35" s="412">
        <v>151307.51999999999</v>
      </c>
    </row>
    <row r="36" spans="1:12" ht="14.25" customHeight="1">
      <c r="A36" s="409">
        <v>2018</v>
      </c>
      <c r="B36" s="410" t="s">
        <v>416</v>
      </c>
      <c r="C36" s="410" t="s">
        <v>417</v>
      </c>
      <c r="D36" s="410" t="s">
        <v>307</v>
      </c>
      <c r="E36" s="410" t="s">
        <v>107</v>
      </c>
      <c r="F36" s="410" t="s">
        <v>418</v>
      </c>
      <c r="G36" s="410" t="s">
        <v>271</v>
      </c>
      <c r="H36" s="410" t="s">
        <v>419</v>
      </c>
      <c r="I36" s="410" t="s">
        <v>481</v>
      </c>
      <c r="J36" s="410" t="s">
        <v>482</v>
      </c>
      <c r="K36" s="410" t="s">
        <v>483</v>
      </c>
      <c r="L36" s="412">
        <v>86565.87</v>
      </c>
    </row>
    <row r="37" spans="1:12" ht="14.25" customHeight="1">
      <c r="A37" s="409">
        <v>2018</v>
      </c>
      <c r="B37" s="410" t="s">
        <v>416</v>
      </c>
      <c r="C37" s="410" t="s">
        <v>417</v>
      </c>
      <c r="D37" s="410" t="s">
        <v>307</v>
      </c>
      <c r="E37" s="410" t="s">
        <v>107</v>
      </c>
      <c r="F37" s="410" t="s">
        <v>418</v>
      </c>
      <c r="G37" s="410" t="s">
        <v>271</v>
      </c>
      <c r="H37" s="410" t="s">
        <v>419</v>
      </c>
      <c r="I37" s="410" t="s">
        <v>484</v>
      </c>
      <c r="J37" s="410" t="s">
        <v>485</v>
      </c>
      <c r="K37" s="410" t="s">
        <v>486</v>
      </c>
      <c r="L37" s="412">
        <v>66583.320000000007</v>
      </c>
    </row>
    <row r="38" spans="1:12" ht="14.25" customHeight="1">
      <c r="A38" s="409">
        <v>2018</v>
      </c>
      <c r="B38" s="410" t="s">
        <v>416</v>
      </c>
      <c r="C38" s="410" t="s">
        <v>417</v>
      </c>
      <c r="D38" s="410" t="s">
        <v>435</v>
      </c>
      <c r="E38" s="410" t="s">
        <v>107</v>
      </c>
      <c r="F38" s="410" t="s">
        <v>418</v>
      </c>
      <c r="G38" s="410" t="s">
        <v>271</v>
      </c>
      <c r="H38" s="410" t="s">
        <v>419</v>
      </c>
      <c r="I38" s="410" t="s">
        <v>475</v>
      </c>
      <c r="J38" s="410" t="s">
        <v>476</v>
      </c>
      <c r="K38" s="410" t="s">
        <v>477</v>
      </c>
      <c r="L38" s="412">
        <v>716.4</v>
      </c>
    </row>
    <row r="39" spans="1:12" ht="14.25" customHeight="1">
      <c r="A39" s="409">
        <v>2018</v>
      </c>
      <c r="B39" s="410" t="s">
        <v>416</v>
      </c>
      <c r="C39" s="410" t="s">
        <v>417</v>
      </c>
      <c r="D39" s="410" t="s">
        <v>307</v>
      </c>
      <c r="E39" s="410" t="s">
        <v>107</v>
      </c>
      <c r="F39" s="410" t="s">
        <v>418</v>
      </c>
      <c r="G39" s="410" t="s">
        <v>271</v>
      </c>
      <c r="H39" s="410" t="s">
        <v>419</v>
      </c>
      <c r="I39" s="410" t="s">
        <v>478</v>
      </c>
      <c r="J39" s="410" t="s">
        <v>479</v>
      </c>
      <c r="K39" s="410" t="s">
        <v>480</v>
      </c>
      <c r="L39" s="412">
        <v>18799.29</v>
      </c>
    </row>
    <row r="40" spans="1:12" ht="14.25" customHeight="1">
      <c r="A40" s="409">
        <v>2018</v>
      </c>
      <c r="B40" s="410" t="s">
        <v>416</v>
      </c>
      <c r="C40" s="410" t="s">
        <v>417</v>
      </c>
      <c r="D40" s="410" t="s">
        <v>307</v>
      </c>
      <c r="E40" s="410" t="s">
        <v>107</v>
      </c>
      <c r="F40" s="410" t="s">
        <v>418</v>
      </c>
      <c r="G40" s="410" t="s">
        <v>271</v>
      </c>
      <c r="H40" s="410" t="s">
        <v>419</v>
      </c>
      <c r="I40" s="410" t="s">
        <v>469</v>
      </c>
      <c r="J40" s="410" t="s">
        <v>470</v>
      </c>
      <c r="K40" s="410" t="s">
        <v>471</v>
      </c>
      <c r="L40" s="412">
        <v>28018.28</v>
      </c>
    </row>
    <row r="41" spans="1:12" ht="14.25" customHeight="1">
      <c r="A41" s="409">
        <v>2018</v>
      </c>
      <c r="B41" s="410" t="s">
        <v>416</v>
      </c>
      <c r="C41" s="410" t="s">
        <v>417</v>
      </c>
      <c r="D41" s="410" t="s">
        <v>307</v>
      </c>
      <c r="E41" s="410" t="s">
        <v>107</v>
      </c>
      <c r="F41" s="410" t="s">
        <v>418</v>
      </c>
      <c r="G41" s="410" t="s">
        <v>271</v>
      </c>
      <c r="H41" s="410" t="s">
        <v>419</v>
      </c>
      <c r="I41" s="410" t="s">
        <v>466</v>
      </c>
      <c r="J41" s="410" t="s">
        <v>467</v>
      </c>
      <c r="K41" s="410" t="s">
        <v>468</v>
      </c>
      <c r="L41" s="412">
        <v>50985.89</v>
      </c>
    </row>
    <row r="42" spans="1:12" ht="14.25" customHeight="1">
      <c r="A42" s="409">
        <v>2018</v>
      </c>
      <c r="B42" s="410" t="s">
        <v>416</v>
      </c>
      <c r="C42" s="410" t="s">
        <v>417</v>
      </c>
      <c r="D42" s="410" t="s">
        <v>307</v>
      </c>
      <c r="E42" s="410" t="s">
        <v>107</v>
      </c>
      <c r="F42" s="410" t="s">
        <v>418</v>
      </c>
      <c r="G42" s="410" t="s">
        <v>271</v>
      </c>
      <c r="H42" s="410" t="s">
        <v>419</v>
      </c>
      <c r="I42" s="410" t="s">
        <v>463</v>
      </c>
      <c r="J42" s="410" t="s">
        <v>464</v>
      </c>
      <c r="K42" s="410" t="s">
        <v>465</v>
      </c>
      <c r="L42" s="412">
        <v>4185.58</v>
      </c>
    </row>
    <row r="43" spans="1:12" ht="14.25" customHeight="1">
      <c r="A43" s="409">
        <v>2018</v>
      </c>
      <c r="B43" s="410" t="s">
        <v>416</v>
      </c>
      <c r="C43" s="410" t="s">
        <v>417</v>
      </c>
      <c r="D43" s="410" t="s">
        <v>307</v>
      </c>
      <c r="E43" s="410" t="s">
        <v>107</v>
      </c>
      <c r="F43" s="410" t="s">
        <v>418</v>
      </c>
      <c r="G43" s="410" t="s">
        <v>271</v>
      </c>
      <c r="H43" s="410" t="s">
        <v>419</v>
      </c>
      <c r="I43" s="410" t="s">
        <v>472</v>
      </c>
      <c r="J43" s="410" t="s">
        <v>473</v>
      </c>
      <c r="K43" s="410" t="s">
        <v>474</v>
      </c>
      <c r="L43" s="412">
        <v>157.56</v>
      </c>
    </row>
    <row r="44" spans="1:12" ht="14.25" customHeight="1">
      <c r="A44" s="409">
        <v>2018</v>
      </c>
      <c r="B44" s="410" t="s">
        <v>416</v>
      </c>
      <c r="C44" s="410" t="s">
        <v>417</v>
      </c>
      <c r="D44" s="410" t="s">
        <v>307</v>
      </c>
      <c r="E44" s="410" t="s">
        <v>107</v>
      </c>
      <c r="F44" s="410" t="s">
        <v>418</v>
      </c>
      <c r="G44" s="410" t="s">
        <v>271</v>
      </c>
      <c r="H44" s="410" t="s">
        <v>419</v>
      </c>
      <c r="I44" s="410" t="s">
        <v>502</v>
      </c>
      <c r="J44" s="410" t="s">
        <v>503</v>
      </c>
      <c r="K44" s="410" t="s">
        <v>504</v>
      </c>
      <c r="L44" s="412">
        <v>63192.17</v>
      </c>
    </row>
    <row r="45" spans="1:12" ht="14.25" customHeight="1">
      <c r="A45" s="409">
        <v>2018</v>
      </c>
      <c r="B45" s="410" t="s">
        <v>416</v>
      </c>
      <c r="C45" s="410" t="s">
        <v>417</v>
      </c>
      <c r="D45" s="410" t="s">
        <v>307</v>
      </c>
      <c r="E45" s="410" t="s">
        <v>107</v>
      </c>
      <c r="F45" s="410" t="s">
        <v>418</v>
      </c>
      <c r="G45" s="410" t="s">
        <v>271</v>
      </c>
      <c r="H45" s="410" t="s">
        <v>419</v>
      </c>
      <c r="I45" s="410" t="s">
        <v>511</v>
      </c>
      <c r="J45" s="410" t="s">
        <v>512</v>
      </c>
      <c r="K45" s="410" t="s">
        <v>513</v>
      </c>
      <c r="L45" s="412">
        <v>33570.46</v>
      </c>
    </row>
    <row r="46" spans="1:12" ht="14.25" customHeight="1">
      <c r="A46" s="409">
        <v>2018</v>
      </c>
      <c r="B46" s="410" t="s">
        <v>416</v>
      </c>
      <c r="C46" s="410" t="s">
        <v>417</v>
      </c>
      <c r="D46" s="410" t="s">
        <v>307</v>
      </c>
      <c r="E46" s="410" t="s">
        <v>107</v>
      </c>
      <c r="F46" s="410" t="s">
        <v>418</v>
      </c>
      <c r="G46" s="410" t="s">
        <v>271</v>
      </c>
      <c r="H46" s="410" t="s">
        <v>419</v>
      </c>
      <c r="I46" s="410" t="s">
        <v>514</v>
      </c>
      <c r="J46" s="410" t="s">
        <v>515</v>
      </c>
      <c r="K46" s="410" t="s">
        <v>516</v>
      </c>
      <c r="L46" s="412">
        <v>28500.95</v>
      </c>
    </row>
    <row r="47" spans="1:12" ht="14.25" customHeight="1">
      <c r="A47" s="409">
        <v>2018</v>
      </c>
      <c r="B47" s="410" t="s">
        <v>416</v>
      </c>
      <c r="C47" s="410" t="s">
        <v>417</v>
      </c>
      <c r="D47" s="410" t="s">
        <v>307</v>
      </c>
      <c r="E47" s="410" t="s">
        <v>107</v>
      </c>
      <c r="F47" s="410" t="s">
        <v>418</v>
      </c>
      <c r="G47" s="410" t="s">
        <v>271</v>
      </c>
      <c r="H47" s="410" t="s">
        <v>419</v>
      </c>
      <c r="I47" s="410" t="s">
        <v>508</v>
      </c>
      <c r="J47" s="410" t="s">
        <v>509</v>
      </c>
      <c r="K47" s="410" t="s">
        <v>510</v>
      </c>
      <c r="L47" s="412">
        <v>289726.65000000002</v>
      </c>
    </row>
    <row r="48" spans="1:12" ht="14.25" customHeight="1">
      <c r="A48" s="409">
        <v>2018</v>
      </c>
      <c r="B48" s="410" t="s">
        <v>416</v>
      </c>
      <c r="C48" s="410" t="s">
        <v>417</v>
      </c>
      <c r="D48" s="410" t="s">
        <v>435</v>
      </c>
      <c r="E48" s="410" t="s">
        <v>107</v>
      </c>
      <c r="F48" s="410" t="s">
        <v>418</v>
      </c>
      <c r="G48" s="410" t="s">
        <v>271</v>
      </c>
      <c r="H48" s="410" t="s">
        <v>419</v>
      </c>
      <c r="I48" s="410" t="s">
        <v>505</v>
      </c>
      <c r="J48" s="410" t="s">
        <v>506</v>
      </c>
      <c r="K48" s="410" t="s">
        <v>507</v>
      </c>
      <c r="L48" s="412">
        <v>38.270000000000003</v>
      </c>
    </row>
    <row r="49" spans="1:12" ht="14.25" customHeight="1">
      <c r="A49" s="409">
        <v>2018</v>
      </c>
      <c r="B49" s="410" t="s">
        <v>416</v>
      </c>
      <c r="C49" s="410" t="s">
        <v>417</v>
      </c>
      <c r="D49" s="410" t="s">
        <v>307</v>
      </c>
      <c r="E49" s="410" t="s">
        <v>107</v>
      </c>
      <c r="F49" s="410" t="s">
        <v>418</v>
      </c>
      <c r="G49" s="410" t="s">
        <v>271</v>
      </c>
      <c r="H49" s="410" t="s">
        <v>419</v>
      </c>
      <c r="I49" s="410" t="s">
        <v>439</v>
      </c>
      <c r="J49" s="410" t="s">
        <v>440</v>
      </c>
      <c r="K49" s="410" t="s">
        <v>441</v>
      </c>
      <c r="L49" s="412">
        <v>43880.41</v>
      </c>
    </row>
    <row r="50" spans="1:12" ht="14.25" customHeight="1">
      <c r="A50" s="409">
        <v>2018</v>
      </c>
      <c r="B50" s="410" t="s">
        <v>416</v>
      </c>
      <c r="C50" s="410" t="s">
        <v>417</v>
      </c>
      <c r="D50" s="410" t="s">
        <v>435</v>
      </c>
      <c r="E50" s="410" t="s">
        <v>107</v>
      </c>
      <c r="F50" s="410" t="s">
        <v>418</v>
      </c>
      <c r="G50" s="410" t="s">
        <v>271</v>
      </c>
      <c r="H50" s="410" t="s">
        <v>419</v>
      </c>
      <c r="I50" s="410" t="s">
        <v>436</v>
      </c>
      <c r="J50" s="410" t="s">
        <v>437</v>
      </c>
      <c r="K50" s="410" t="s">
        <v>438</v>
      </c>
      <c r="L50" s="412">
        <v>9782.64</v>
      </c>
    </row>
    <row r="51" spans="1:12" ht="14.25" customHeight="1">
      <c r="A51" s="409">
        <v>2018</v>
      </c>
      <c r="B51" s="410" t="s">
        <v>416</v>
      </c>
      <c r="C51" s="410" t="s">
        <v>417</v>
      </c>
      <c r="D51" s="410" t="s">
        <v>307</v>
      </c>
      <c r="E51" s="410" t="s">
        <v>107</v>
      </c>
      <c r="F51" s="410" t="s">
        <v>418</v>
      </c>
      <c r="G51" s="410" t="s">
        <v>271</v>
      </c>
      <c r="H51" s="410" t="s">
        <v>419</v>
      </c>
      <c r="I51" s="410" t="s">
        <v>448</v>
      </c>
      <c r="J51" s="410" t="s">
        <v>449</v>
      </c>
      <c r="K51" s="410" t="s">
        <v>450</v>
      </c>
      <c r="L51" s="412">
        <v>4523.3599999999997</v>
      </c>
    </row>
    <row r="52" spans="1:12" ht="14.25" customHeight="1">
      <c r="A52" s="409">
        <v>2018</v>
      </c>
      <c r="B52" s="410" t="s">
        <v>416</v>
      </c>
      <c r="C52" s="410" t="s">
        <v>417</v>
      </c>
      <c r="D52" s="410" t="s">
        <v>307</v>
      </c>
      <c r="E52" s="410" t="s">
        <v>107</v>
      </c>
      <c r="F52" s="410" t="s">
        <v>418</v>
      </c>
      <c r="G52" s="410" t="s">
        <v>271</v>
      </c>
      <c r="H52" s="410" t="s">
        <v>419</v>
      </c>
      <c r="I52" s="410" t="s">
        <v>442</v>
      </c>
      <c r="J52" s="410" t="s">
        <v>443</v>
      </c>
      <c r="K52" s="410" t="s">
        <v>444</v>
      </c>
      <c r="L52" s="412">
        <v>40624.980000000003</v>
      </c>
    </row>
    <row r="53" spans="1:12" ht="14.25" customHeight="1">
      <c r="A53" s="409">
        <v>2018</v>
      </c>
      <c r="B53" s="410" t="s">
        <v>416</v>
      </c>
      <c r="C53" s="410" t="s">
        <v>417</v>
      </c>
      <c r="D53" s="410" t="s">
        <v>307</v>
      </c>
      <c r="E53" s="410" t="s">
        <v>107</v>
      </c>
      <c r="F53" s="410" t="s">
        <v>418</v>
      </c>
      <c r="G53" s="410" t="s">
        <v>271</v>
      </c>
      <c r="H53" s="410" t="s">
        <v>419</v>
      </c>
      <c r="I53" s="410" t="s">
        <v>445</v>
      </c>
      <c r="J53" s="410" t="s">
        <v>446</v>
      </c>
      <c r="K53" s="410" t="s">
        <v>447</v>
      </c>
      <c r="L53" s="412">
        <v>55166.080000000002</v>
      </c>
    </row>
    <row r="54" spans="1:12" ht="14.25" customHeight="1">
      <c r="A54" s="409">
        <v>2018</v>
      </c>
      <c r="B54" s="410" t="s">
        <v>416</v>
      </c>
      <c r="C54" s="410" t="s">
        <v>417</v>
      </c>
      <c r="D54" s="410" t="s">
        <v>435</v>
      </c>
      <c r="E54" s="410" t="s">
        <v>107</v>
      </c>
      <c r="F54" s="410" t="s">
        <v>418</v>
      </c>
      <c r="G54" s="410" t="s">
        <v>271</v>
      </c>
      <c r="H54" s="410" t="s">
        <v>419</v>
      </c>
      <c r="I54" s="410" t="s">
        <v>548</v>
      </c>
      <c r="J54" s="410" t="s">
        <v>549</v>
      </c>
      <c r="K54" s="410" t="s">
        <v>550</v>
      </c>
      <c r="L54" s="412">
        <v>1686.41</v>
      </c>
    </row>
    <row r="55" spans="1:12" ht="14.25" customHeight="1">
      <c r="A55" s="409">
        <v>2018</v>
      </c>
      <c r="B55" s="410" t="s">
        <v>416</v>
      </c>
      <c r="C55" s="410" t="s">
        <v>417</v>
      </c>
      <c r="D55" s="410" t="s">
        <v>307</v>
      </c>
      <c r="E55" s="410" t="s">
        <v>107</v>
      </c>
      <c r="F55" s="410" t="s">
        <v>418</v>
      </c>
      <c r="G55" s="410" t="s">
        <v>271</v>
      </c>
      <c r="H55" s="410" t="s">
        <v>419</v>
      </c>
      <c r="I55" s="410" t="s">
        <v>551</v>
      </c>
      <c r="J55" s="410" t="s">
        <v>552</v>
      </c>
      <c r="K55" s="410" t="s">
        <v>553</v>
      </c>
      <c r="L55" s="412">
        <v>2924.7</v>
      </c>
    </row>
    <row r="56" spans="1:12" ht="14.25" customHeight="1">
      <c r="A56" s="409">
        <v>2018</v>
      </c>
      <c r="B56" s="410" t="s">
        <v>416</v>
      </c>
      <c r="C56" s="410" t="s">
        <v>417</v>
      </c>
      <c r="D56" s="410" t="s">
        <v>307</v>
      </c>
      <c r="E56" s="410" t="s">
        <v>107</v>
      </c>
      <c r="F56" s="410" t="s">
        <v>418</v>
      </c>
      <c r="G56" s="410" t="s">
        <v>271</v>
      </c>
      <c r="H56" s="410" t="s">
        <v>419</v>
      </c>
      <c r="I56" s="410" t="s">
        <v>583</v>
      </c>
      <c r="J56" s="410" t="s">
        <v>584</v>
      </c>
      <c r="K56" s="410" t="s">
        <v>585</v>
      </c>
      <c r="L56" s="412">
        <v>25837.96</v>
      </c>
    </row>
    <row r="57" spans="1:12" ht="14.25" customHeight="1">
      <c r="A57" s="409">
        <v>2018</v>
      </c>
      <c r="B57" s="410" t="s">
        <v>416</v>
      </c>
      <c r="C57" s="410" t="s">
        <v>417</v>
      </c>
      <c r="D57" s="410" t="s">
        <v>307</v>
      </c>
      <c r="E57" s="410" t="s">
        <v>107</v>
      </c>
      <c r="F57" s="410" t="s">
        <v>418</v>
      </c>
      <c r="G57" s="410" t="s">
        <v>271</v>
      </c>
      <c r="H57" s="410" t="s">
        <v>419</v>
      </c>
      <c r="I57" s="410" t="s">
        <v>537</v>
      </c>
      <c r="J57" s="410" t="s">
        <v>538</v>
      </c>
      <c r="K57" s="410" t="s">
        <v>539</v>
      </c>
      <c r="L57" s="412">
        <v>27327.94</v>
      </c>
    </row>
    <row r="58" spans="1:12" ht="14.25" customHeight="1">
      <c r="A58" s="409">
        <v>2018</v>
      </c>
      <c r="B58" s="410" t="s">
        <v>416</v>
      </c>
      <c r="C58" s="410" t="s">
        <v>417</v>
      </c>
      <c r="D58" s="410" t="s">
        <v>307</v>
      </c>
      <c r="E58" s="410" t="s">
        <v>107</v>
      </c>
      <c r="F58" s="410" t="s">
        <v>418</v>
      </c>
      <c r="G58" s="410" t="s">
        <v>271</v>
      </c>
      <c r="H58" s="410" t="s">
        <v>419</v>
      </c>
      <c r="I58" s="410" t="s">
        <v>519</v>
      </c>
      <c r="J58" s="410" t="s">
        <v>520</v>
      </c>
      <c r="K58" s="410" t="s">
        <v>521</v>
      </c>
      <c r="L58" s="412">
        <v>36996.01</v>
      </c>
    </row>
    <row r="59" spans="1:12" ht="14.25" customHeight="1">
      <c r="A59" s="409">
        <v>2018</v>
      </c>
      <c r="B59" s="410" t="s">
        <v>416</v>
      </c>
      <c r="C59" s="410" t="s">
        <v>417</v>
      </c>
      <c r="D59" s="410" t="s">
        <v>307</v>
      </c>
      <c r="E59" s="410" t="s">
        <v>107</v>
      </c>
      <c r="F59" s="410" t="s">
        <v>418</v>
      </c>
      <c r="G59" s="410" t="s">
        <v>271</v>
      </c>
      <c r="H59" s="410" t="s">
        <v>419</v>
      </c>
      <c r="I59" s="410" t="s">
        <v>522</v>
      </c>
      <c r="J59" s="410" t="s">
        <v>523</v>
      </c>
      <c r="K59" s="410" t="s">
        <v>524</v>
      </c>
      <c r="L59" s="412">
        <v>23439.3</v>
      </c>
    </row>
    <row r="60" spans="1:12" ht="14.25" customHeight="1">
      <c r="A60" s="409">
        <v>2018</v>
      </c>
      <c r="B60" s="410" t="s">
        <v>416</v>
      </c>
      <c r="C60" s="410" t="s">
        <v>417</v>
      </c>
      <c r="D60" s="410" t="s">
        <v>307</v>
      </c>
      <c r="E60" s="410" t="s">
        <v>107</v>
      </c>
      <c r="F60" s="410" t="s">
        <v>418</v>
      </c>
      <c r="G60" s="410" t="s">
        <v>271</v>
      </c>
      <c r="H60" s="410" t="s">
        <v>419</v>
      </c>
      <c r="I60" s="410" t="s">
        <v>460</v>
      </c>
      <c r="J60" s="410" t="s">
        <v>461</v>
      </c>
      <c r="K60" s="410" t="s">
        <v>462</v>
      </c>
      <c r="L60" s="412">
        <v>3304.08</v>
      </c>
    </row>
    <row r="61" spans="1:12" ht="14.25" customHeight="1">
      <c r="A61" s="409">
        <v>2018</v>
      </c>
      <c r="B61" s="410" t="s">
        <v>416</v>
      </c>
      <c r="C61" s="410" t="s">
        <v>417</v>
      </c>
      <c r="D61" s="410" t="s">
        <v>307</v>
      </c>
      <c r="E61" s="410" t="s">
        <v>107</v>
      </c>
      <c r="F61" s="410" t="s">
        <v>418</v>
      </c>
      <c r="G61" s="410" t="s">
        <v>271</v>
      </c>
      <c r="H61" s="410" t="s">
        <v>419</v>
      </c>
      <c r="I61" s="410" t="s">
        <v>457</v>
      </c>
      <c r="J61" s="410" t="s">
        <v>458</v>
      </c>
      <c r="K61" s="410" t="s">
        <v>459</v>
      </c>
      <c r="L61" s="412">
        <v>66297.84</v>
      </c>
    </row>
    <row r="62" spans="1:12" ht="14.25" customHeight="1">
      <c r="A62" s="409">
        <v>2018</v>
      </c>
      <c r="B62" s="410" t="s">
        <v>416</v>
      </c>
      <c r="C62" s="410" t="s">
        <v>417</v>
      </c>
      <c r="D62" s="410" t="s">
        <v>307</v>
      </c>
      <c r="E62" s="410" t="s">
        <v>107</v>
      </c>
      <c r="F62" s="410" t="s">
        <v>418</v>
      </c>
      <c r="G62" s="410" t="s">
        <v>271</v>
      </c>
      <c r="H62" s="410" t="s">
        <v>419</v>
      </c>
      <c r="I62" s="410" t="s">
        <v>451</v>
      </c>
      <c r="J62" s="410" t="s">
        <v>452</v>
      </c>
      <c r="K62" s="410" t="s">
        <v>453</v>
      </c>
      <c r="L62" s="412">
        <v>29754.9</v>
      </c>
    </row>
    <row r="63" spans="1:12" ht="14.25" customHeight="1">
      <c r="A63" s="409">
        <v>2018</v>
      </c>
      <c r="B63" s="410" t="s">
        <v>416</v>
      </c>
      <c r="C63" s="410" t="s">
        <v>417</v>
      </c>
      <c r="D63" s="410" t="s">
        <v>307</v>
      </c>
      <c r="E63" s="410" t="s">
        <v>107</v>
      </c>
      <c r="F63" s="410" t="s">
        <v>418</v>
      </c>
      <c r="G63" s="410" t="s">
        <v>271</v>
      </c>
      <c r="H63" s="410" t="s">
        <v>419</v>
      </c>
      <c r="I63" s="410" t="s">
        <v>454</v>
      </c>
      <c r="J63" s="410" t="s">
        <v>455</v>
      </c>
      <c r="K63" s="410" t="s">
        <v>456</v>
      </c>
      <c r="L63" s="412">
        <v>11235.92</v>
      </c>
    </row>
    <row r="64" spans="1:12" ht="14.25" customHeight="1">
      <c r="A64" s="409">
        <v>2018</v>
      </c>
      <c r="B64" s="410" t="s">
        <v>416</v>
      </c>
      <c r="C64" s="410" t="s">
        <v>417</v>
      </c>
      <c r="D64" s="410" t="s">
        <v>307</v>
      </c>
      <c r="E64" s="410" t="s">
        <v>107</v>
      </c>
      <c r="F64" s="410" t="s">
        <v>418</v>
      </c>
      <c r="G64" s="410" t="s">
        <v>271</v>
      </c>
      <c r="H64" s="410" t="s">
        <v>419</v>
      </c>
      <c r="I64" s="410" t="s">
        <v>542</v>
      </c>
      <c r="J64" s="410" t="s">
        <v>543</v>
      </c>
      <c r="K64" s="410" t="s">
        <v>544</v>
      </c>
      <c r="L64" s="412">
        <v>82825.38</v>
      </c>
    </row>
    <row r="65" spans="1:12" ht="14.25" customHeight="1">
      <c r="A65" s="409">
        <v>2018</v>
      </c>
      <c r="B65" s="410" t="s">
        <v>416</v>
      </c>
      <c r="C65" s="410" t="s">
        <v>417</v>
      </c>
      <c r="D65" s="410" t="s">
        <v>307</v>
      </c>
      <c r="E65" s="410" t="s">
        <v>107</v>
      </c>
      <c r="F65" s="410" t="s">
        <v>418</v>
      </c>
      <c r="G65" s="410" t="s">
        <v>271</v>
      </c>
      <c r="H65" s="410" t="s">
        <v>419</v>
      </c>
      <c r="I65" s="410" t="s">
        <v>545</v>
      </c>
      <c r="J65" s="410" t="s">
        <v>546</v>
      </c>
      <c r="K65" s="410" t="s">
        <v>547</v>
      </c>
      <c r="L65" s="412">
        <v>744.58</v>
      </c>
    </row>
    <row r="66" spans="1:12" ht="14.25" customHeight="1">
      <c r="A66" s="409">
        <v>2018</v>
      </c>
      <c r="B66" s="410" t="s">
        <v>416</v>
      </c>
      <c r="C66" s="410" t="s">
        <v>417</v>
      </c>
      <c r="D66" s="410" t="s">
        <v>307</v>
      </c>
      <c r="E66" s="410" t="s">
        <v>107</v>
      </c>
      <c r="F66" s="410" t="s">
        <v>418</v>
      </c>
      <c r="G66" s="410" t="s">
        <v>271</v>
      </c>
      <c r="H66" s="410" t="s">
        <v>419</v>
      </c>
      <c r="I66" s="410" t="s">
        <v>525</v>
      </c>
      <c r="J66" s="410" t="s">
        <v>526</v>
      </c>
      <c r="K66" s="410" t="s">
        <v>527</v>
      </c>
      <c r="L66" s="412">
        <v>501350.14</v>
      </c>
    </row>
    <row r="67" spans="1:12" ht="14.25" customHeight="1">
      <c r="A67" s="409">
        <v>2018</v>
      </c>
      <c r="B67" s="410" t="s">
        <v>416</v>
      </c>
      <c r="C67" s="410" t="s">
        <v>417</v>
      </c>
      <c r="D67" s="410" t="s">
        <v>307</v>
      </c>
      <c r="E67" s="410" t="s">
        <v>107</v>
      </c>
      <c r="F67" s="410" t="s">
        <v>418</v>
      </c>
      <c r="G67" s="410" t="s">
        <v>271</v>
      </c>
      <c r="H67" s="410" t="s">
        <v>419</v>
      </c>
      <c r="I67" s="410" t="s">
        <v>528</v>
      </c>
      <c r="J67" s="410" t="s">
        <v>529</v>
      </c>
      <c r="K67" s="410" t="s">
        <v>530</v>
      </c>
      <c r="L67" s="412">
        <v>17131.919999999998</v>
      </c>
    </row>
    <row r="68" spans="1:12" ht="14.25" customHeight="1">
      <c r="A68" s="409">
        <v>2018</v>
      </c>
      <c r="B68" s="410" t="s">
        <v>416</v>
      </c>
      <c r="C68" s="410" t="s">
        <v>417</v>
      </c>
      <c r="D68" s="410" t="s">
        <v>307</v>
      </c>
      <c r="E68" s="410" t="s">
        <v>107</v>
      </c>
      <c r="F68" s="410" t="s">
        <v>418</v>
      </c>
      <c r="G68" s="410" t="s">
        <v>271</v>
      </c>
      <c r="H68" s="410" t="s">
        <v>419</v>
      </c>
      <c r="I68" s="410" t="s">
        <v>534</v>
      </c>
      <c r="J68" s="410" t="s">
        <v>535</v>
      </c>
      <c r="K68" s="410" t="s">
        <v>536</v>
      </c>
      <c r="L68" s="412">
        <v>30280.23</v>
      </c>
    </row>
    <row r="69" spans="1:12" ht="14.25" customHeight="1">
      <c r="A69" s="409">
        <v>2018</v>
      </c>
      <c r="B69" s="410" t="s">
        <v>416</v>
      </c>
      <c r="C69" s="410" t="s">
        <v>417</v>
      </c>
      <c r="D69" s="410" t="s">
        <v>307</v>
      </c>
      <c r="E69" s="410" t="s">
        <v>107</v>
      </c>
      <c r="F69" s="410" t="s">
        <v>418</v>
      </c>
      <c r="G69" s="410" t="s">
        <v>271</v>
      </c>
      <c r="H69" s="410" t="s">
        <v>419</v>
      </c>
      <c r="I69" s="410" t="s">
        <v>531</v>
      </c>
      <c r="J69" s="410" t="s">
        <v>532</v>
      </c>
      <c r="K69" s="410" t="s">
        <v>533</v>
      </c>
      <c r="L69" s="412">
        <v>18133.240000000002</v>
      </c>
    </row>
    <row r="70" spans="1:12" ht="14.25" customHeight="1">
      <c r="A70" s="409">
        <v>2018</v>
      </c>
      <c r="B70" s="410" t="s">
        <v>416</v>
      </c>
      <c r="C70" s="410" t="s">
        <v>417</v>
      </c>
      <c r="D70" s="410" t="s">
        <v>307</v>
      </c>
      <c r="E70" s="410" t="s">
        <v>107</v>
      </c>
      <c r="F70" s="410" t="s">
        <v>418</v>
      </c>
      <c r="G70" s="410" t="s">
        <v>271</v>
      </c>
      <c r="H70" s="410" t="s">
        <v>419</v>
      </c>
      <c r="I70" s="410" t="s">
        <v>487</v>
      </c>
      <c r="J70" s="410" t="s">
        <v>488</v>
      </c>
      <c r="K70" s="410" t="s">
        <v>489</v>
      </c>
      <c r="L70" s="412">
        <v>11134.8</v>
      </c>
    </row>
    <row r="71" spans="1:12" ht="14.25" customHeight="1">
      <c r="A71" s="409">
        <v>2018</v>
      </c>
      <c r="B71" s="410" t="s">
        <v>416</v>
      </c>
      <c r="C71" s="410" t="s">
        <v>417</v>
      </c>
      <c r="D71" s="410" t="s">
        <v>307</v>
      </c>
      <c r="E71" s="410" t="s">
        <v>107</v>
      </c>
      <c r="F71" s="410" t="s">
        <v>418</v>
      </c>
      <c r="G71" s="410" t="s">
        <v>271</v>
      </c>
      <c r="H71" s="410" t="s">
        <v>419</v>
      </c>
      <c r="I71" s="410" t="s">
        <v>499</v>
      </c>
      <c r="J71" s="410" t="s">
        <v>500</v>
      </c>
      <c r="K71" s="410" t="s">
        <v>501</v>
      </c>
      <c r="L71" s="412">
        <v>54922.7</v>
      </c>
    </row>
    <row r="72" spans="1:12" ht="14.25" customHeight="1">
      <c r="A72" s="409">
        <v>2018</v>
      </c>
      <c r="B72" s="410" t="s">
        <v>416</v>
      </c>
      <c r="C72" s="410" t="s">
        <v>417</v>
      </c>
      <c r="D72" s="410" t="s">
        <v>307</v>
      </c>
      <c r="E72" s="410" t="s">
        <v>107</v>
      </c>
      <c r="F72" s="410" t="s">
        <v>418</v>
      </c>
      <c r="G72" s="410" t="s">
        <v>271</v>
      </c>
      <c r="H72" s="410" t="s">
        <v>419</v>
      </c>
      <c r="I72" s="410" t="s">
        <v>426</v>
      </c>
      <c r="J72" s="410" t="s">
        <v>427</v>
      </c>
      <c r="K72" s="410" t="s">
        <v>428</v>
      </c>
      <c r="L72" s="412">
        <v>24890.560000000001</v>
      </c>
    </row>
    <row r="73" spans="1:12" ht="14.25" customHeight="1">
      <c r="A73" s="409">
        <v>2018</v>
      </c>
      <c r="B73" s="410" t="s">
        <v>416</v>
      </c>
      <c r="C73" s="410" t="s">
        <v>417</v>
      </c>
      <c r="D73" s="410" t="s">
        <v>307</v>
      </c>
      <c r="E73" s="410" t="s">
        <v>107</v>
      </c>
      <c r="F73" s="410" t="s">
        <v>418</v>
      </c>
      <c r="G73" s="410" t="s">
        <v>271</v>
      </c>
      <c r="H73" s="410" t="s">
        <v>419</v>
      </c>
      <c r="I73" s="410" t="s">
        <v>420</v>
      </c>
      <c r="J73" s="410" t="s">
        <v>421</v>
      </c>
      <c r="K73" s="410" t="s">
        <v>422</v>
      </c>
      <c r="L73" s="412">
        <v>212547.20000000001</v>
      </c>
    </row>
    <row r="74" spans="1:12" ht="14.25" customHeight="1">
      <c r="A74" s="409">
        <v>2018</v>
      </c>
      <c r="B74" s="410" t="s">
        <v>416</v>
      </c>
      <c r="C74" s="410" t="s">
        <v>417</v>
      </c>
      <c r="D74" s="410" t="s">
        <v>307</v>
      </c>
      <c r="E74" s="410" t="s">
        <v>107</v>
      </c>
      <c r="F74" s="410" t="s">
        <v>418</v>
      </c>
      <c r="G74" s="410" t="s">
        <v>271</v>
      </c>
      <c r="H74" s="410" t="s">
        <v>419</v>
      </c>
      <c r="I74" s="410" t="s">
        <v>423</v>
      </c>
      <c r="J74" s="410" t="s">
        <v>424</v>
      </c>
      <c r="K74" s="410" t="s">
        <v>425</v>
      </c>
      <c r="L74" s="412">
        <v>967.99</v>
      </c>
    </row>
    <row r="75" spans="1:12" ht="14.25" customHeight="1">
      <c r="A75" s="409">
        <v>2018</v>
      </c>
      <c r="B75" s="410" t="s">
        <v>416</v>
      </c>
      <c r="C75" s="410" t="s">
        <v>417</v>
      </c>
      <c r="D75" s="410" t="s">
        <v>307</v>
      </c>
      <c r="E75" s="410" t="s">
        <v>107</v>
      </c>
      <c r="F75" s="410" t="s">
        <v>418</v>
      </c>
      <c r="G75" s="410" t="s">
        <v>271</v>
      </c>
      <c r="H75" s="410" t="s">
        <v>419</v>
      </c>
      <c r="I75" s="410" t="s">
        <v>580</v>
      </c>
      <c r="J75" s="410" t="s">
        <v>581</v>
      </c>
      <c r="K75" s="410" t="s">
        <v>582</v>
      </c>
      <c r="L75" s="412">
        <v>85884.73</v>
      </c>
    </row>
    <row r="76" spans="1:12" ht="14.25" customHeight="1">
      <c r="A76" s="409">
        <v>2018</v>
      </c>
      <c r="B76" s="410" t="s">
        <v>416</v>
      </c>
      <c r="C76" s="410" t="s">
        <v>417</v>
      </c>
      <c r="D76" s="410" t="s">
        <v>307</v>
      </c>
      <c r="E76" s="410" t="s">
        <v>107</v>
      </c>
      <c r="F76" s="410" t="s">
        <v>418</v>
      </c>
      <c r="G76" s="410" t="s">
        <v>271</v>
      </c>
      <c r="H76" s="410" t="s">
        <v>419</v>
      </c>
      <c r="I76" s="410" t="s">
        <v>559</v>
      </c>
      <c r="J76" s="410" t="s">
        <v>560</v>
      </c>
      <c r="K76" s="410" t="s">
        <v>561</v>
      </c>
      <c r="L76" s="412">
        <v>186770.36</v>
      </c>
    </row>
    <row r="77" spans="1:12" ht="14.25" customHeight="1">
      <c r="A77" s="409">
        <v>2018</v>
      </c>
      <c r="B77" s="410" t="s">
        <v>416</v>
      </c>
      <c r="C77" s="410" t="s">
        <v>417</v>
      </c>
      <c r="D77" s="410" t="s">
        <v>307</v>
      </c>
      <c r="E77" s="410" t="s">
        <v>107</v>
      </c>
      <c r="F77" s="410" t="s">
        <v>418</v>
      </c>
      <c r="G77" s="410" t="s">
        <v>271</v>
      </c>
      <c r="H77" s="410" t="s">
        <v>419</v>
      </c>
      <c r="I77" s="410" t="s">
        <v>571</v>
      </c>
      <c r="J77" s="410" t="s">
        <v>572</v>
      </c>
      <c r="K77" s="410" t="s">
        <v>573</v>
      </c>
      <c r="L77" s="412">
        <v>54406.53</v>
      </c>
    </row>
    <row r="78" spans="1:12" ht="14.25" customHeight="1">
      <c r="A78" s="409">
        <v>2018</v>
      </c>
      <c r="B78" s="410" t="s">
        <v>416</v>
      </c>
      <c r="C78" s="410" t="s">
        <v>417</v>
      </c>
      <c r="D78" s="410" t="s">
        <v>307</v>
      </c>
      <c r="E78" s="410" t="s">
        <v>107</v>
      </c>
      <c r="F78" s="410" t="s">
        <v>418</v>
      </c>
      <c r="G78" s="410" t="s">
        <v>271</v>
      </c>
      <c r="H78" s="410" t="s">
        <v>419</v>
      </c>
      <c r="I78" s="410" t="s">
        <v>568</v>
      </c>
      <c r="J78" s="410" t="s">
        <v>569</v>
      </c>
      <c r="K78" s="410" t="s">
        <v>570</v>
      </c>
      <c r="L78" s="412">
        <v>74583.22</v>
      </c>
    </row>
    <row r="79" spans="1:12" ht="14.25" customHeight="1">
      <c r="A79" s="409">
        <v>2018</v>
      </c>
      <c r="B79" s="410" t="s">
        <v>416</v>
      </c>
      <c r="C79" s="410" t="s">
        <v>417</v>
      </c>
      <c r="D79" s="410" t="s">
        <v>307</v>
      </c>
      <c r="E79" s="410" t="s">
        <v>107</v>
      </c>
      <c r="F79" s="410" t="s">
        <v>418</v>
      </c>
      <c r="G79" s="410" t="s">
        <v>271</v>
      </c>
      <c r="H79" s="410" t="s">
        <v>419</v>
      </c>
      <c r="I79" s="410" t="s">
        <v>562</v>
      </c>
      <c r="J79" s="410" t="s">
        <v>563</v>
      </c>
      <c r="K79" s="410" t="s">
        <v>564</v>
      </c>
      <c r="L79" s="412">
        <v>31063.58</v>
      </c>
    </row>
    <row r="80" spans="1:12" ht="14.25" customHeight="1">
      <c r="A80" s="409">
        <v>2018</v>
      </c>
      <c r="B80" s="410" t="s">
        <v>416</v>
      </c>
      <c r="C80" s="410" t="s">
        <v>417</v>
      </c>
      <c r="D80" s="410" t="s">
        <v>307</v>
      </c>
      <c r="E80" s="410" t="s">
        <v>107</v>
      </c>
      <c r="F80" s="410" t="s">
        <v>418</v>
      </c>
      <c r="G80" s="410" t="s">
        <v>271</v>
      </c>
      <c r="H80" s="410" t="s">
        <v>419</v>
      </c>
      <c r="I80" s="410" t="s">
        <v>577</v>
      </c>
      <c r="J80" s="410" t="s">
        <v>578</v>
      </c>
      <c r="K80" s="410" t="s">
        <v>579</v>
      </c>
      <c r="L80" s="412">
        <v>16418.8</v>
      </c>
    </row>
    <row r="81" spans="1:12" ht="14.25" customHeight="1">
      <c r="A81" s="409">
        <v>2018</v>
      </c>
      <c r="B81" s="410" t="s">
        <v>416</v>
      </c>
      <c r="C81" s="410" t="s">
        <v>417</v>
      </c>
      <c r="D81" s="410" t="s">
        <v>307</v>
      </c>
      <c r="E81" s="410" t="s">
        <v>107</v>
      </c>
      <c r="F81" s="410" t="s">
        <v>418</v>
      </c>
      <c r="G81" s="410" t="s">
        <v>271</v>
      </c>
      <c r="H81" s="410" t="s">
        <v>419</v>
      </c>
      <c r="I81" s="410" t="s">
        <v>574</v>
      </c>
      <c r="J81" s="410" t="s">
        <v>575</v>
      </c>
      <c r="K81" s="410" t="s">
        <v>576</v>
      </c>
      <c r="L81" s="412">
        <v>36128.080000000002</v>
      </c>
    </row>
    <row r="82" spans="1:12" ht="14.25" customHeight="1">
      <c r="A82" s="409">
        <v>2018</v>
      </c>
      <c r="B82" s="410" t="s">
        <v>416</v>
      </c>
      <c r="C82" s="410" t="s">
        <v>417</v>
      </c>
      <c r="D82" s="410" t="s">
        <v>307</v>
      </c>
      <c r="E82" s="410" t="s">
        <v>107</v>
      </c>
      <c r="F82" s="410" t="s">
        <v>418</v>
      </c>
      <c r="G82" s="410" t="s">
        <v>271</v>
      </c>
      <c r="H82" s="410" t="s">
        <v>419</v>
      </c>
      <c r="I82" s="410" t="s">
        <v>565</v>
      </c>
      <c r="J82" s="410" t="s">
        <v>566</v>
      </c>
      <c r="K82" s="410" t="s">
        <v>567</v>
      </c>
      <c r="L82" s="412">
        <v>66037.36</v>
      </c>
    </row>
    <row r="83" spans="1:12" ht="14.25" customHeight="1" thickBot="1">
      <c r="A83" s="409">
        <v>2018</v>
      </c>
      <c r="B83" s="410" t="s">
        <v>416</v>
      </c>
      <c r="C83" s="410" t="s">
        <v>417</v>
      </c>
      <c r="D83" s="410" t="s">
        <v>307</v>
      </c>
      <c r="E83" s="410" t="s">
        <v>107</v>
      </c>
      <c r="F83" s="410" t="s">
        <v>418</v>
      </c>
      <c r="G83" s="410" t="s">
        <v>271</v>
      </c>
      <c r="H83" s="410" t="s">
        <v>419</v>
      </c>
      <c r="I83" s="410" t="s">
        <v>556</v>
      </c>
      <c r="J83" s="410" t="s">
        <v>557</v>
      </c>
      <c r="K83" s="410" t="s">
        <v>558</v>
      </c>
      <c r="L83" s="414">
        <v>65625.320000000007</v>
      </c>
    </row>
    <row r="84" spans="1:12" ht="14.25" customHeight="1">
      <c r="A84" s="409"/>
      <c r="B84" s="410"/>
      <c r="C84" s="410"/>
      <c r="D84" s="410"/>
      <c r="E84" s="410"/>
      <c r="F84" s="410"/>
      <c r="G84" s="410"/>
      <c r="H84" s="410"/>
      <c r="I84" s="410"/>
      <c r="J84" s="410"/>
      <c r="K84" s="410"/>
      <c r="L84" s="415">
        <f>SUM(L30:L83)</f>
        <v>3059503.22</v>
      </c>
    </row>
    <row r="85" spans="1:12" ht="14.25" customHeight="1">
      <c r="A85" s="409"/>
      <c r="B85" s="410"/>
      <c r="C85" s="410"/>
      <c r="D85" s="410"/>
      <c r="E85" s="410"/>
      <c r="F85" s="410"/>
      <c r="G85" s="410"/>
      <c r="H85" s="410"/>
      <c r="I85" s="410"/>
      <c r="J85" s="410"/>
      <c r="K85" s="410"/>
      <c r="L85" s="412"/>
    </row>
    <row r="86" spans="1:12" ht="14.25" customHeight="1" thickBot="1">
      <c r="A86" s="409">
        <v>2018</v>
      </c>
      <c r="B86" s="410" t="s">
        <v>416</v>
      </c>
      <c r="C86" s="410" t="s">
        <v>417</v>
      </c>
      <c r="D86" s="410" t="s">
        <v>307</v>
      </c>
      <c r="E86" s="410" t="s">
        <v>108</v>
      </c>
      <c r="F86" s="410" t="s">
        <v>586</v>
      </c>
      <c r="G86" s="410" t="s">
        <v>270</v>
      </c>
      <c r="H86" s="410" t="s">
        <v>587</v>
      </c>
      <c r="I86" s="410" t="s">
        <v>588</v>
      </c>
      <c r="J86" s="410" t="s">
        <v>589</v>
      </c>
      <c r="K86" s="410" t="s">
        <v>590</v>
      </c>
      <c r="L86" s="414">
        <v>510611.9</v>
      </c>
    </row>
    <row r="87" spans="1:12" ht="14.25" customHeight="1">
      <c r="A87" s="409"/>
      <c r="B87" s="410"/>
      <c r="C87" s="410"/>
      <c r="D87" s="410"/>
      <c r="E87" s="410"/>
      <c r="F87" s="410"/>
      <c r="G87" s="410"/>
      <c r="H87" s="410"/>
      <c r="I87" s="410"/>
      <c r="J87" s="410"/>
      <c r="K87" s="410"/>
      <c r="L87" s="415">
        <f>SUM(L86)</f>
        <v>510611.9</v>
      </c>
    </row>
    <row r="88" spans="1:12" ht="14.25" customHeight="1">
      <c r="A88" s="409"/>
      <c r="B88" s="410"/>
      <c r="C88" s="410"/>
      <c r="D88" s="410"/>
      <c r="E88" s="410"/>
      <c r="F88" s="410"/>
      <c r="G88" s="410"/>
      <c r="H88" s="410"/>
      <c r="I88" s="410"/>
      <c r="J88" s="410"/>
      <c r="K88" s="410"/>
      <c r="L88" s="412"/>
    </row>
    <row r="89" spans="1:12" ht="14.25" customHeight="1" thickBot="1">
      <c r="A89" s="409">
        <v>2018</v>
      </c>
      <c r="B89" s="410" t="s">
        <v>416</v>
      </c>
      <c r="C89" s="410" t="s">
        <v>417</v>
      </c>
      <c r="D89" s="410" t="s">
        <v>616</v>
      </c>
      <c r="E89" s="410" t="s">
        <v>108</v>
      </c>
      <c r="F89" s="410" t="s">
        <v>586</v>
      </c>
      <c r="G89" s="410" t="s">
        <v>272</v>
      </c>
      <c r="H89" s="410" t="s">
        <v>617</v>
      </c>
      <c r="I89" s="410" t="s">
        <v>618</v>
      </c>
      <c r="J89" s="410" t="s">
        <v>619</v>
      </c>
      <c r="K89" s="410" t="s">
        <v>620</v>
      </c>
      <c r="L89" s="414">
        <v>11079.16</v>
      </c>
    </row>
    <row r="90" spans="1:12" ht="14.25" customHeight="1">
      <c r="L90" s="416">
        <f>SUM(L89)</f>
        <v>11079.16</v>
      </c>
    </row>
    <row r="91" spans="1:12" ht="14.25" customHeight="1">
      <c r="L91" s="416"/>
    </row>
    <row r="92" spans="1:12" ht="14.25" customHeight="1">
      <c r="L92" s="416"/>
    </row>
    <row r="93" spans="1:12" ht="14.25" customHeight="1">
      <c r="A93" s="422">
        <v>2018</v>
      </c>
      <c r="B93" s="423" t="s">
        <v>416</v>
      </c>
      <c r="C93" s="423" t="s">
        <v>417</v>
      </c>
      <c r="D93" s="423" t="s">
        <v>307</v>
      </c>
      <c r="E93" s="423" t="s">
        <v>630</v>
      </c>
      <c r="F93" s="423" t="s">
        <v>631</v>
      </c>
      <c r="G93" s="423" t="s">
        <v>632</v>
      </c>
      <c r="H93" s="423" t="s">
        <v>633</v>
      </c>
      <c r="I93" s="423" t="s">
        <v>609</v>
      </c>
      <c r="J93" s="423" t="s">
        <v>610</v>
      </c>
      <c r="K93" s="423" t="s">
        <v>611</v>
      </c>
      <c r="L93" s="424">
        <v>1803.59</v>
      </c>
    </row>
    <row r="94" spans="1:12" ht="14.25" customHeight="1">
      <c r="A94" s="422">
        <v>2018</v>
      </c>
      <c r="B94" s="423" t="s">
        <v>416</v>
      </c>
      <c r="C94" s="423" t="s">
        <v>417</v>
      </c>
      <c r="D94" s="423" t="s">
        <v>616</v>
      </c>
      <c r="E94" s="423" t="s">
        <v>630</v>
      </c>
      <c r="F94" s="423" t="s">
        <v>631</v>
      </c>
      <c r="G94" s="423" t="s">
        <v>632</v>
      </c>
      <c r="H94" s="423" t="s">
        <v>633</v>
      </c>
      <c r="I94" s="423" t="s">
        <v>609</v>
      </c>
      <c r="J94" s="423" t="s">
        <v>610</v>
      </c>
      <c r="K94" s="423" t="s">
        <v>611</v>
      </c>
      <c r="L94" s="424">
        <v>197870.28</v>
      </c>
    </row>
    <row r="95" spans="1:12" ht="14.25" customHeight="1" thickBot="1">
      <c r="A95" s="422">
        <v>2018</v>
      </c>
      <c r="B95" s="423" t="s">
        <v>416</v>
      </c>
      <c r="C95" s="423" t="s">
        <v>417</v>
      </c>
      <c r="D95" s="423" t="s">
        <v>307</v>
      </c>
      <c r="E95" s="423" t="s">
        <v>630</v>
      </c>
      <c r="F95" s="423" t="s">
        <v>631</v>
      </c>
      <c r="G95" s="423" t="s">
        <v>632</v>
      </c>
      <c r="H95" s="423" t="s">
        <v>633</v>
      </c>
      <c r="I95" s="423" t="s">
        <v>613</v>
      </c>
      <c r="J95" s="423" t="s">
        <v>614</v>
      </c>
      <c r="K95" s="423" t="s">
        <v>615</v>
      </c>
      <c r="L95" s="426">
        <v>0</v>
      </c>
    </row>
    <row r="96" spans="1:12" ht="14.25" customHeight="1">
      <c r="L96" s="425">
        <f>SUM(L93:L95)</f>
        <v>199673.87</v>
      </c>
    </row>
  </sheetData>
  <autoFilter ref="A1:L89">
    <sortState ref="A2:L79">
      <sortCondition ref="G1:G79"/>
    </sortState>
  </autoFilter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42"/>
  <sheetViews>
    <sheetView topLeftCell="AR1" workbookViewId="0">
      <selection activeCell="AV32" sqref="AV32"/>
    </sheetView>
  </sheetViews>
  <sheetFormatPr defaultRowHeight="12.75"/>
  <cols>
    <col min="1" max="1" width="38.42578125" style="119" customWidth="1"/>
    <col min="2" max="2" width="12.85546875" style="120" customWidth="1"/>
    <col min="3" max="74" width="10.28515625" style="119" customWidth="1"/>
    <col min="75" max="256" width="9.140625" style="119"/>
    <col min="257" max="257" width="38.42578125" style="119" customWidth="1"/>
    <col min="258" max="258" width="12.85546875" style="119" customWidth="1"/>
    <col min="259" max="330" width="10.28515625" style="119" customWidth="1"/>
    <col min="331" max="512" width="9.140625" style="119"/>
    <col min="513" max="513" width="38.42578125" style="119" customWidth="1"/>
    <col min="514" max="514" width="12.85546875" style="119" customWidth="1"/>
    <col min="515" max="586" width="10.28515625" style="119" customWidth="1"/>
    <col min="587" max="768" width="9.140625" style="119"/>
    <col min="769" max="769" width="38.42578125" style="119" customWidth="1"/>
    <col min="770" max="770" width="12.85546875" style="119" customWidth="1"/>
    <col min="771" max="842" width="10.28515625" style="119" customWidth="1"/>
    <col min="843" max="1024" width="9.140625" style="119"/>
    <col min="1025" max="1025" width="38.42578125" style="119" customWidth="1"/>
    <col min="1026" max="1026" width="12.85546875" style="119" customWidth="1"/>
    <col min="1027" max="1098" width="10.28515625" style="119" customWidth="1"/>
    <col min="1099" max="1280" width="9.140625" style="119"/>
    <col min="1281" max="1281" width="38.42578125" style="119" customWidth="1"/>
    <col min="1282" max="1282" width="12.85546875" style="119" customWidth="1"/>
    <col min="1283" max="1354" width="10.28515625" style="119" customWidth="1"/>
    <col min="1355" max="1536" width="9.140625" style="119"/>
    <col min="1537" max="1537" width="38.42578125" style="119" customWidth="1"/>
    <col min="1538" max="1538" width="12.85546875" style="119" customWidth="1"/>
    <col min="1539" max="1610" width="10.28515625" style="119" customWidth="1"/>
    <col min="1611" max="1792" width="9.140625" style="119"/>
    <col min="1793" max="1793" width="38.42578125" style="119" customWidth="1"/>
    <col min="1794" max="1794" width="12.85546875" style="119" customWidth="1"/>
    <col min="1795" max="1866" width="10.28515625" style="119" customWidth="1"/>
    <col min="1867" max="2048" width="9.140625" style="119"/>
    <col min="2049" max="2049" width="38.42578125" style="119" customWidth="1"/>
    <col min="2050" max="2050" width="12.85546875" style="119" customWidth="1"/>
    <col min="2051" max="2122" width="10.28515625" style="119" customWidth="1"/>
    <col min="2123" max="2304" width="9.140625" style="119"/>
    <col min="2305" max="2305" width="38.42578125" style="119" customWidth="1"/>
    <col min="2306" max="2306" width="12.85546875" style="119" customWidth="1"/>
    <col min="2307" max="2378" width="10.28515625" style="119" customWidth="1"/>
    <col min="2379" max="2560" width="9.140625" style="119"/>
    <col min="2561" max="2561" width="38.42578125" style="119" customWidth="1"/>
    <col min="2562" max="2562" width="12.85546875" style="119" customWidth="1"/>
    <col min="2563" max="2634" width="10.28515625" style="119" customWidth="1"/>
    <col min="2635" max="2816" width="9.140625" style="119"/>
    <col min="2817" max="2817" width="38.42578125" style="119" customWidth="1"/>
    <col min="2818" max="2818" width="12.85546875" style="119" customWidth="1"/>
    <col min="2819" max="2890" width="10.28515625" style="119" customWidth="1"/>
    <col min="2891" max="3072" width="9.140625" style="119"/>
    <col min="3073" max="3073" width="38.42578125" style="119" customWidth="1"/>
    <col min="3074" max="3074" width="12.85546875" style="119" customWidth="1"/>
    <col min="3075" max="3146" width="10.28515625" style="119" customWidth="1"/>
    <col min="3147" max="3328" width="9.140625" style="119"/>
    <col min="3329" max="3329" width="38.42578125" style="119" customWidth="1"/>
    <col min="3330" max="3330" width="12.85546875" style="119" customWidth="1"/>
    <col min="3331" max="3402" width="10.28515625" style="119" customWidth="1"/>
    <col min="3403" max="3584" width="9.140625" style="119"/>
    <col min="3585" max="3585" width="38.42578125" style="119" customWidth="1"/>
    <col min="3586" max="3586" width="12.85546875" style="119" customWidth="1"/>
    <col min="3587" max="3658" width="10.28515625" style="119" customWidth="1"/>
    <col min="3659" max="3840" width="9.140625" style="119"/>
    <col min="3841" max="3841" width="38.42578125" style="119" customWidth="1"/>
    <col min="3842" max="3842" width="12.85546875" style="119" customWidth="1"/>
    <col min="3843" max="3914" width="10.28515625" style="119" customWidth="1"/>
    <col min="3915" max="4096" width="9.140625" style="119"/>
    <col min="4097" max="4097" width="38.42578125" style="119" customWidth="1"/>
    <col min="4098" max="4098" width="12.85546875" style="119" customWidth="1"/>
    <col min="4099" max="4170" width="10.28515625" style="119" customWidth="1"/>
    <col min="4171" max="4352" width="9.140625" style="119"/>
    <col min="4353" max="4353" width="38.42578125" style="119" customWidth="1"/>
    <col min="4354" max="4354" width="12.85546875" style="119" customWidth="1"/>
    <col min="4355" max="4426" width="10.28515625" style="119" customWidth="1"/>
    <col min="4427" max="4608" width="9.140625" style="119"/>
    <col min="4609" max="4609" width="38.42578125" style="119" customWidth="1"/>
    <col min="4610" max="4610" width="12.85546875" style="119" customWidth="1"/>
    <col min="4611" max="4682" width="10.28515625" style="119" customWidth="1"/>
    <col min="4683" max="4864" width="9.140625" style="119"/>
    <col min="4865" max="4865" width="38.42578125" style="119" customWidth="1"/>
    <col min="4866" max="4866" width="12.85546875" style="119" customWidth="1"/>
    <col min="4867" max="4938" width="10.28515625" style="119" customWidth="1"/>
    <col min="4939" max="5120" width="9.140625" style="119"/>
    <col min="5121" max="5121" width="38.42578125" style="119" customWidth="1"/>
    <col min="5122" max="5122" width="12.85546875" style="119" customWidth="1"/>
    <col min="5123" max="5194" width="10.28515625" style="119" customWidth="1"/>
    <col min="5195" max="5376" width="9.140625" style="119"/>
    <col min="5377" max="5377" width="38.42578125" style="119" customWidth="1"/>
    <col min="5378" max="5378" width="12.85546875" style="119" customWidth="1"/>
    <col min="5379" max="5450" width="10.28515625" style="119" customWidth="1"/>
    <col min="5451" max="5632" width="9.140625" style="119"/>
    <col min="5633" max="5633" width="38.42578125" style="119" customWidth="1"/>
    <col min="5634" max="5634" width="12.85546875" style="119" customWidth="1"/>
    <col min="5635" max="5706" width="10.28515625" style="119" customWidth="1"/>
    <col min="5707" max="5888" width="9.140625" style="119"/>
    <col min="5889" max="5889" width="38.42578125" style="119" customWidth="1"/>
    <col min="5890" max="5890" width="12.85546875" style="119" customWidth="1"/>
    <col min="5891" max="5962" width="10.28515625" style="119" customWidth="1"/>
    <col min="5963" max="6144" width="9.140625" style="119"/>
    <col min="6145" max="6145" width="38.42578125" style="119" customWidth="1"/>
    <col min="6146" max="6146" width="12.85546875" style="119" customWidth="1"/>
    <col min="6147" max="6218" width="10.28515625" style="119" customWidth="1"/>
    <col min="6219" max="6400" width="9.140625" style="119"/>
    <col min="6401" max="6401" width="38.42578125" style="119" customWidth="1"/>
    <col min="6402" max="6402" width="12.85546875" style="119" customWidth="1"/>
    <col min="6403" max="6474" width="10.28515625" style="119" customWidth="1"/>
    <col min="6475" max="6656" width="9.140625" style="119"/>
    <col min="6657" max="6657" width="38.42578125" style="119" customWidth="1"/>
    <col min="6658" max="6658" width="12.85546875" style="119" customWidth="1"/>
    <col min="6659" max="6730" width="10.28515625" style="119" customWidth="1"/>
    <col min="6731" max="6912" width="9.140625" style="119"/>
    <col min="6913" max="6913" width="38.42578125" style="119" customWidth="1"/>
    <col min="6914" max="6914" width="12.85546875" style="119" customWidth="1"/>
    <col min="6915" max="6986" width="10.28515625" style="119" customWidth="1"/>
    <col min="6987" max="7168" width="9.140625" style="119"/>
    <col min="7169" max="7169" width="38.42578125" style="119" customWidth="1"/>
    <col min="7170" max="7170" width="12.85546875" style="119" customWidth="1"/>
    <col min="7171" max="7242" width="10.28515625" style="119" customWidth="1"/>
    <col min="7243" max="7424" width="9.140625" style="119"/>
    <col min="7425" max="7425" width="38.42578125" style="119" customWidth="1"/>
    <col min="7426" max="7426" width="12.85546875" style="119" customWidth="1"/>
    <col min="7427" max="7498" width="10.28515625" style="119" customWidth="1"/>
    <col min="7499" max="7680" width="9.140625" style="119"/>
    <col min="7681" max="7681" width="38.42578125" style="119" customWidth="1"/>
    <col min="7682" max="7682" width="12.85546875" style="119" customWidth="1"/>
    <col min="7683" max="7754" width="10.28515625" style="119" customWidth="1"/>
    <col min="7755" max="7936" width="9.140625" style="119"/>
    <col min="7937" max="7937" width="38.42578125" style="119" customWidth="1"/>
    <col min="7938" max="7938" width="12.85546875" style="119" customWidth="1"/>
    <col min="7939" max="8010" width="10.28515625" style="119" customWidth="1"/>
    <col min="8011" max="8192" width="9.140625" style="119"/>
    <col min="8193" max="8193" width="38.42578125" style="119" customWidth="1"/>
    <col min="8194" max="8194" width="12.85546875" style="119" customWidth="1"/>
    <col min="8195" max="8266" width="10.28515625" style="119" customWidth="1"/>
    <col min="8267" max="8448" width="9.140625" style="119"/>
    <col min="8449" max="8449" width="38.42578125" style="119" customWidth="1"/>
    <col min="8450" max="8450" width="12.85546875" style="119" customWidth="1"/>
    <col min="8451" max="8522" width="10.28515625" style="119" customWidth="1"/>
    <col min="8523" max="8704" width="9.140625" style="119"/>
    <col min="8705" max="8705" width="38.42578125" style="119" customWidth="1"/>
    <col min="8706" max="8706" width="12.85546875" style="119" customWidth="1"/>
    <col min="8707" max="8778" width="10.28515625" style="119" customWidth="1"/>
    <col min="8779" max="8960" width="9.140625" style="119"/>
    <col min="8961" max="8961" width="38.42578125" style="119" customWidth="1"/>
    <col min="8962" max="8962" width="12.85546875" style="119" customWidth="1"/>
    <col min="8963" max="9034" width="10.28515625" style="119" customWidth="1"/>
    <col min="9035" max="9216" width="9.140625" style="119"/>
    <col min="9217" max="9217" width="38.42578125" style="119" customWidth="1"/>
    <col min="9218" max="9218" width="12.85546875" style="119" customWidth="1"/>
    <col min="9219" max="9290" width="10.28515625" style="119" customWidth="1"/>
    <col min="9291" max="9472" width="9.140625" style="119"/>
    <col min="9473" max="9473" width="38.42578125" style="119" customWidth="1"/>
    <col min="9474" max="9474" width="12.85546875" style="119" customWidth="1"/>
    <col min="9475" max="9546" width="10.28515625" style="119" customWidth="1"/>
    <col min="9547" max="9728" width="9.140625" style="119"/>
    <col min="9729" max="9729" width="38.42578125" style="119" customWidth="1"/>
    <col min="9730" max="9730" width="12.85546875" style="119" customWidth="1"/>
    <col min="9731" max="9802" width="10.28515625" style="119" customWidth="1"/>
    <col min="9803" max="9984" width="9.140625" style="119"/>
    <col min="9985" max="9985" width="38.42578125" style="119" customWidth="1"/>
    <col min="9986" max="9986" width="12.85546875" style="119" customWidth="1"/>
    <col min="9987" max="10058" width="10.28515625" style="119" customWidth="1"/>
    <col min="10059" max="10240" width="9.140625" style="119"/>
    <col min="10241" max="10241" width="38.42578125" style="119" customWidth="1"/>
    <col min="10242" max="10242" width="12.85546875" style="119" customWidth="1"/>
    <col min="10243" max="10314" width="10.28515625" style="119" customWidth="1"/>
    <col min="10315" max="10496" width="9.140625" style="119"/>
    <col min="10497" max="10497" width="38.42578125" style="119" customWidth="1"/>
    <col min="10498" max="10498" width="12.85546875" style="119" customWidth="1"/>
    <col min="10499" max="10570" width="10.28515625" style="119" customWidth="1"/>
    <col min="10571" max="10752" width="9.140625" style="119"/>
    <col min="10753" max="10753" width="38.42578125" style="119" customWidth="1"/>
    <col min="10754" max="10754" width="12.85546875" style="119" customWidth="1"/>
    <col min="10755" max="10826" width="10.28515625" style="119" customWidth="1"/>
    <col min="10827" max="11008" width="9.140625" style="119"/>
    <col min="11009" max="11009" width="38.42578125" style="119" customWidth="1"/>
    <col min="11010" max="11010" width="12.85546875" style="119" customWidth="1"/>
    <col min="11011" max="11082" width="10.28515625" style="119" customWidth="1"/>
    <col min="11083" max="11264" width="9.140625" style="119"/>
    <col min="11265" max="11265" width="38.42578125" style="119" customWidth="1"/>
    <col min="11266" max="11266" width="12.85546875" style="119" customWidth="1"/>
    <col min="11267" max="11338" width="10.28515625" style="119" customWidth="1"/>
    <col min="11339" max="11520" width="9.140625" style="119"/>
    <col min="11521" max="11521" width="38.42578125" style="119" customWidth="1"/>
    <col min="11522" max="11522" width="12.85546875" style="119" customWidth="1"/>
    <col min="11523" max="11594" width="10.28515625" style="119" customWidth="1"/>
    <col min="11595" max="11776" width="9.140625" style="119"/>
    <col min="11777" max="11777" width="38.42578125" style="119" customWidth="1"/>
    <col min="11778" max="11778" width="12.85546875" style="119" customWidth="1"/>
    <col min="11779" max="11850" width="10.28515625" style="119" customWidth="1"/>
    <col min="11851" max="12032" width="9.140625" style="119"/>
    <col min="12033" max="12033" width="38.42578125" style="119" customWidth="1"/>
    <col min="12034" max="12034" width="12.85546875" style="119" customWidth="1"/>
    <col min="12035" max="12106" width="10.28515625" style="119" customWidth="1"/>
    <col min="12107" max="12288" width="9.140625" style="119"/>
    <col min="12289" max="12289" width="38.42578125" style="119" customWidth="1"/>
    <col min="12290" max="12290" width="12.85546875" style="119" customWidth="1"/>
    <col min="12291" max="12362" width="10.28515625" style="119" customWidth="1"/>
    <col min="12363" max="12544" width="9.140625" style="119"/>
    <col min="12545" max="12545" width="38.42578125" style="119" customWidth="1"/>
    <col min="12546" max="12546" width="12.85546875" style="119" customWidth="1"/>
    <col min="12547" max="12618" width="10.28515625" style="119" customWidth="1"/>
    <col min="12619" max="12800" width="9.140625" style="119"/>
    <col min="12801" max="12801" width="38.42578125" style="119" customWidth="1"/>
    <col min="12802" max="12802" width="12.85546875" style="119" customWidth="1"/>
    <col min="12803" max="12874" width="10.28515625" style="119" customWidth="1"/>
    <col min="12875" max="13056" width="9.140625" style="119"/>
    <col min="13057" max="13057" width="38.42578125" style="119" customWidth="1"/>
    <col min="13058" max="13058" width="12.85546875" style="119" customWidth="1"/>
    <col min="13059" max="13130" width="10.28515625" style="119" customWidth="1"/>
    <col min="13131" max="13312" width="9.140625" style="119"/>
    <col min="13313" max="13313" width="38.42578125" style="119" customWidth="1"/>
    <col min="13314" max="13314" width="12.85546875" style="119" customWidth="1"/>
    <col min="13315" max="13386" width="10.28515625" style="119" customWidth="1"/>
    <col min="13387" max="13568" width="9.140625" style="119"/>
    <col min="13569" max="13569" width="38.42578125" style="119" customWidth="1"/>
    <col min="13570" max="13570" width="12.85546875" style="119" customWidth="1"/>
    <col min="13571" max="13642" width="10.28515625" style="119" customWidth="1"/>
    <col min="13643" max="13824" width="9.140625" style="119"/>
    <col min="13825" max="13825" width="38.42578125" style="119" customWidth="1"/>
    <col min="13826" max="13826" width="12.85546875" style="119" customWidth="1"/>
    <col min="13827" max="13898" width="10.28515625" style="119" customWidth="1"/>
    <col min="13899" max="14080" width="9.140625" style="119"/>
    <col min="14081" max="14081" width="38.42578125" style="119" customWidth="1"/>
    <col min="14082" max="14082" width="12.85546875" style="119" customWidth="1"/>
    <col min="14083" max="14154" width="10.28515625" style="119" customWidth="1"/>
    <col min="14155" max="14336" width="9.140625" style="119"/>
    <col min="14337" max="14337" width="38.42578125" style="119" customWidth="1"/>
    <col min="14338" max="14338" width="12.85546875" style="119" customWidth="1"/>
    <col min="14339" max="14410" width="10.28515625" style="119" customWidth="1"/>
    <col min="14411" max="14592" width="9.140625" style="119"/>
    <col min="14593" max="14593" width="38.42578125" style="119" customWidth="1"/>
    <col min="14594" max="14594" width="12.85546875" style="119" customWidth="1"/>
    <col min="14595" max="14666" width="10.28515625" style="119" customWidth="1"/>
    <col min="14667" max="14848" width="9.140625" style="119"/>
    <col min="14849" max="14849" width="38.42578125" style="119" customWidth="1"/>
    <col min="14850" max="14850" width="12.85546875" style="119" customWidth="1"/>
    <col min="14851" max="14922" width="10.28515625" style="119" customWidth="1"/>
    <col min="14923" max="15104" width="9.140625" style="119"/>
    <col min="15105" max="15105" width="38.42578125" style="119" customWidth="1"/>
    <col min="15106" max="15106" width="12.85546875" style="119" customWidth="1"/>
    <col min="15107" max="15178" width="10.28515625" style="119" customWidth="1"/>
    <col min="15179" max="15360" width="9.140625" style="119"/>
    <col min="15361" max="15361" width="38.42578125" style="119" customWidth="1"/>
    <col min="15362" max="15362" width="12.85546875" style="119" customWidth="1"/>
    <col min="15363" max="15434" width="10.28515625" style="119" customWidth="1"/>
    <col min="15435" max="15616" width="9.140625" style="119"/>
    <col min="15617" max="15617" width="38.42578125" style="119" customWidth="1"/>
    <col min="15618" max="15618" width="12.85546875" style="119" customWidth="1"/>
    <col min="15619" max="15690" width="10.28515625" style="119" customWidth="1"/>
    <col min="15691" max="15872" width="9.140625" style="119"/>
    <col min="15873" max="15873" width="38.42578125" style="119" customWidth="1"/>
    <col min="15874" max="15874" width="12.85546875" style="119" customWidth="1"/>
    <col min="15875" max="15946" width="10.28515625" style="119" customWidth="1"/>
    <col min="15947" max="16128" width="9.140625" style="119"/>
    <col min="16129" max="16129" width="38.42578125" style="119" customWidth="1"/>
    <col min="16130" max="16130" width="12.85546875" style="119" customWidth="1"/>
    <col min="16131" max="16202" width="10.28515625" style="119" customWidth="1"/>
    <col min="16203" max="16384" width="9.140625" style="119"/>
  </cols>
  <sheetData>
    <row r="1" spans="1:75" ht="18">
      <c r="A1" s="962" t="s">
        <v>137</v>
      </c>
      <c r="B1" s="963"/>
    </row>
    <row r="2" spans="1:75" ht="15.75">
      <c r="A2" s="964" t="s">
        <v>261</v>
      </c>
      <c r="B2" s="965"/>
    </row>
    <row r="3" spans="1:75" ht="15.75" thickBot="1">
      <c r="A3" s="966" t="s">
        <v>138</v>
      </c>
      <c r="B3" s="967"/>
    </row>
    <row r="6" spans="1:75">
      <c r="AW6" s="121" t="s">
        <v>140</v>
      </c>
      <c r="AX6" s="122" t="s">
        <v>140</v>
      </c>
      <c r="AY6" s="122" t="s">
        <v>140</v>
      </c>
      <c r="AZ6" s="122" t="s">
        <v>140</v>
      </c>
      <c r="BA6" s="123" t="s">
        <v>141</v>
      </c>
      <c r="BB6" s="123" t="s">
        <v>141</v>
      </c>
      <c r="BC6" s="123" t="s">
        <v>141</v>
      </c>
      <c r="BD6" s="123" t="s">
        <v>141</v>
      </c>
      <c r="BE6" s="124" t="s">
        <v>136</v>
      </c>
      <c r="BF6" s="124" t="s">
        <v>136</v>
      </c>
      <c r="BG6" s="124" t="s">
        <v>136</v>
      </c>
      <c r="BH6" s="124" t="s">
        <v>136</v>
      </c>
      <c r="BI6" s="125" t="s">
        <v>142</v>
      </c>
      <c r="BJ6" s="125" t="s">
        <v>142</v>
      </c>
      <c r="BK6" s="125" t="s">
        <v>142</v>
      </c>
      <c r="BL6" s="125" t="s">
        <v>142</v>
      </c>
      <c r="BM6" s="126" t="s">
        <v>143</v>
      </c>
      <c r="BN6" s="126" t="s">
        <v>143</v>
      </c>
      <c r="BO6" s="126" t="s">
        <v>143</v>
      </c>
      <c r="BP6" s="126" t="s">
        <v>143</v>
      </c>
      <c r="BQ6" s="127" t="s">
        <v>144</v>
      </c>
      <c r="BR6" s="127" t="s">
        <v>144</v>
      </c>
      <c r="BS6" s="127" t="s">
        <v>144</v>
      </c>
      <c r="BT6" s="127" t="s">
        <v>144</v>
      </c>
    </row>
    <row r="7" spans="1:75" s="120" customFormat="1">
      <c r="B7" s="120" t="s">
        <v>145</v>
      </c>
      <c r="C7" s="128" t="s">
        <v>146</v>
      </c>
      <c r="D7" s="128" t="s">
        <v>147</v>
      </c>
      <c r="E7" s="128" t="s">
        <v>148</v>
      </c>
      <c r="F7" s="128" t="s">
        <v>149</v>
      </c>
      <c r="G7" s="128" t="s">
        <v>150</v>
      </c>
      <c r="H7" s="128" t="s">
        <v>151</v>
      </c>
      <c r="I7" s="128" t="s">
        <v>152</v>
      </c>
      <c r="J7" s="128" t="s">
        <v>153</v>
      </c>
      <c r="K7" s="128" t="s">
        <v>154</v>
      </c>
      <c r="L7" s="128" t="s">
        <v>155</v>
      </c>
      <c r="M7" s="128" t="s">
        <v>156</v>
      </c>
      <c r="N7" s="128" t="s">
        <v>157</v>
      </c>
      <c r="O7" s="128" t="s">
        <v>158</v>
      </c>
      <c r="P7" s="128" t="s">
        <v>159</v>
      </c>
      <c r="Q7" s="128" t="s">
        <v>160</v>
      </c>
      <c r="R7" s="128" t="s">
        <v>161</v>
      </c>
      <c r="S7" s="128" t="s">
        <v>162</v>
      </c>
      <c r="T7" s="128" t="s">
        <v>163</v>
      </c>
      <c r="U7" s="128" t="s">
        <v>164</v>
      </c>
      <c r="V7" s="128" t="s">
        <v>165</v>
      </c>
      <c r="W7" s="128" t="s">
        <v>166</v>
      </c>
      <c r="X7" s="128" t="s">
        <v>167</v>
      </c>
      <c r="Y7" s="128" t="s">
        <v>168</v>
      </c>
      <c r="Z7" s="128" t="s">
        <v>169</v>
      </c>
      <c r="AA7" s="128" t="s">
        <v>170</v>
      </c>
      <c r="AB7" s="128" t="s">
        <v>171</v>
      </c>
      <c r="AC7" s="128" t="s">
        <v>172</v>
      </c>
      <c r="AD7" s="128" t="s">
        <v>173</v>
      </c>
      <c r="AE7" s="128" t="s">
        <v>174</v>
      </c>
      <c r="AF7" s="128" t="s">
        <v>175</v>
      </c>
      <c r="AG7" s="128" t="s">
        <v>176</v>
      </c>
      <c r="AH7" s="128" t="s">
        <v>177</v>
      </c>
      <c r="AI7" s="128" t="s">
        <v>178</v>
      </c>
      <c r="AJ7" s="128" t="s">
        <v>179</v>
      </c>
      <c r="AK7" s="128" t="s">
        <v>180</v>
      </c>
      <c r="AL7" s="128" t="s">
        <v>181</v>
      </c>
      <c r="AM7" s="128" t="s">
        <v>182</v>
      </c>
      <c r="AN7" s="128" t="s">
        <v>183</v>
      </c>
      <c r="AO7" s="128" t="s">
        <v>184</v>
      </c>
      <c r="AP7" s="128" t="s">
        <v>185</v>
      </c>
      <c r="AQ7" s="128" t="s">
        <v>186</v>
      </c>
      <c r="AR7" s="128" t="s">
        <v>187</v>
      </c>
      <c r="AS7" s="128" t="s">
        <v>188</v>
      </c>
      <c r="AT7" s="128" t="s">
        <v>189</v>
      </c>
      <c r="AU7" s="120" t="s">
        <v>190</v>
      </c>
      <c r="AV7" s="120" t="s">
        <v>191</v>
      </c>
      <c r="AW7" s="120" t="s">
        <v>192</v>
      </c>
      <c r="AX7" s="120" t="s">
        <v>193</v>
      </c>
      <c r="AY7" s="120" t="s">
        <v>194</v>
      </c>
      <c r="AZ7" s="120" t="s">
        <v>195</v>
      </c>
      <c r="BA7" s="120" t="s">
        <v>196</v>
      </c>
      <c r="BB7" s="120" t="s">
        <v>197</v>
      </c>
      <c r="BC7" s="120" t="s">
        <v>198</v>
      </c>
      <c r="BD7" s="120" t="s">
        <v>199</v>
      </c>
      <c r="BE7" s="120" t="s">
        <v>200</v>
      </c>
      <c r="BF7" s="120" t="s">
        <v>201</v>
      </c>
      <c r="BG7" s="120" t="s">
        <v>202</v>
      </c>
      <c r="BH7" s="120" t="s">
        <v>203</v>
      </c>
      <c r="BI7" s="120" t="s">
        <v>204</v>
      </c>
      <c r="BJ7" s="120" t="s">
        <v>205</v>
      </c>
      <c r="BK7" s="120" t="s">
        <v>206</v>
      </c>
      <c r="BL7" s="120" t="s">
        <v>207</v>
      </c>
      <c r="BM7" s="120" t="s">
        <v>208</v>
      </c>
      <c r="BN7" s="120" t="s">
        <v>209</v>
      </c>
      <c r="BO7" s="120" t="s">
        <v>210</v>
      </c>
      <c r="BP7" s="120" t="s">
        <v>211</v>
      </c>
      <c r="BQ7" s="120" t="s">
        <v>212</v>
      </c>
      <c r="BR7" s="120" t="s">
        <v>213</v>
      </c>
      <c r="BS7" s="120" t="s">
        <v>214</v>
      </c>
      <c r="BT7" s="120" t="s">
        <v>215</v>
      </c>
      <c r="BU7" s="120" t="s">
        <v>216</v>
      </c>
      <c r="BV7" s="120" t="s">
        <v>217</v>
      </c>
      <c r="BW7" s="120" t="s">
        <v>218</v>
      </c>
    </row>
    <row r="8" spans="1:75">
      <c r="A8" s="120" t="s">
        <v>219</v>
      </c>
      <c r="B8" s="120" t="s">
        <v>220</v>
      </c>
      <c r="C8" s="129">
        <v>2.036</v>
      </c>
      <c r="D8" s="129">
        <v>2.0609999999999999</v>
      </c>
      <c r="E8" s="129">
        <v>2.0659999999999998</v>
      </c>
      <c r="F8" s="129">
        <v>2.0880000000000001</v>
      </c>
      <c r="G8" s="129">
        <v>2.105</v>
      </c>
      <c r="H8" s="129">
        <v>2.1160000000000001</v>
      </c>
      <c r="I8" s="129">
        <v>2.15</v>
      </c>
      <c r="J8" s="129">
        <v>2.17</v>
      </c>
      <c r="K8" s="129">
        <v>2.1880000000000002</v>
      </c>
      <c r="L8" s="129">
        <v>2.2149999999999999</v>
      </c>
      <c r="M8" s="129">
        <v>2.2349999999999999</v>
      </c>
      <c r="N8" s="129">
        <v>2.222</v>
      </c>
      <c r="O8" s="129">
        <v>2.2349999999999999</v>
      </c>
      <c r="P8" s="129">
        <v>2.262</v>
      </c>
      <c r="Q8" s="129">
        <v>2.2749999999999999</v>
      </c>
      <c r="R8" s="129">
        <v>2.3029999999999999</v>
      </c>
      <c r="S8" s="129">
        <v>2.3220000000000001</v>
      </c>
      <c r="T8" s="129">
        <v>2.363</v>
      </c>
      <c r="U8" s="129">
        <v>2.403</v>
      </c>
      <c r="V8" s="129">
        <v>2.3519999999999999</v>
      </c>
      <c r="W8" s="129">
        <v>2.3460000000000001</v>
      </c>
      <c r="X8" s="129">
        <v>2.351</v>
      </c>
      <c r="Y8" s="129">
        <v>2.371</v>
      </c>
      <c r="Z8" s="129">
        <v>2.3849999999999998</v>
      </c>
      <c r="AA8" s="129">
        <v>2.3849999999999998</v>
      </c>
      <c r="AB8" s="129">
        <v>2.3860000000000001</v>
      </c>
      <c r="AC8" s="129">
        <v>2.4009999999999998</v>
      </c>
      <c r="AD8" s="129">
        <v>2.4239999999999999</v>
      </c>
      <c r="AE8" s="129">
        <v>2.4369999999999998</v>
      </c>
      <c r="AF8" s="129">
        <v>2.4809999999999999</v>
      </c>
      <c r="AG8" s="129">
        <v>2.492</v>
      </c>
      <c r="AH8" s="129">
        <v>2.4990000000000001</v>
      </c>
      <c r="AI8" s="129">
        <v>2.52</v>
      </c>
      <c r="AJ8" s="129">
        <v>2.524</v>
      </c>
      <c r="AK8" s="129">
        <v>2.5329999999999999</v>
      </c>
      <c r="AL8" s="129">
        <v>2.5499999999999998</v>
      </c>
      <c r="AM8" s="129">
        <v>2.5630000000000002</v>
      </c>
      <c r="AN8" s="129">
        <v>2.5590000000000002</v>
      </c>
      <c r="AO8" s="129">
        <v>2.5750000000000002</v>
      </c>
      <c r="AP8" s="129">
        <v>2.589</v>
      </c>
      <c r="AQ8" s="129">
        <v>2.6059999999999999</v>
      </c>
      <c r="AR8" s="129">
        <v>2.6139999999999999</v>
      </c>
      <c r="AS8" s="129">
        <v>2.6160000000000001</v>
      </c>
      <c r="AT8" s="129">
        <v>2.6190000000000002</v>
      </c>
      <c r="AU8" s="129">
        <v>2.6219999999999999</v>
      </c>
      <c r="AV8" s="129">
        <v>2.63</v>
      </c>
      <c r="AW8" s="129">
        <v>2.6240000000000001</v>
      </c>
      <c r="AX8" s="129">
        <v>2.6259999999999999</v>
      </c>
      <c r="AY8" s="129">
        <v>2.6240000000000001</v>
      </c>
      <c r="AZ8" s="129">
        <v>2.6269999999999998</v>
      </c>
      <c r="BA8" s="129">
        <v>2.6429999999999998</v>
      </c>
      <c r="BB8" s="129">
        <v>2.6669999999999998</v>
      </c>
      <c r="BC8" s="129">
        <v>2.6749999999999998</v>
      </c>
      <c r="BD8" s="129">
        <v>2.6920000000000002</v>
      </c>
      <c r="BE8" s="129">
        <v>2.7130000000000001</v>
      </c>
      <c r="BF8" s="129">
        <v>2.7250000000000001</v>
      </c>
      <c r="BG8" s="129">
        <v>2.7440000000000002</v>
      </c>
      <c r="BH8" s="129">
        <v>2.7639999999999998</v>
      </c>
      <c r="BI8" s="129">
        <v>2.7829999999999999</v>
      </c>
      <c r="BJ8" s="129">
        <v>2.802</v>
      </c>
      <c r="BK8" s="129">
        <v>2.82</v>
      </c>
      <c r="BL8" s="129">
        <v>2.8380000000000001</v>
      </c>
      <c r="BM8" s="129">
        <v>2.8559999999999999</v>
      </c>
      <c r="BN8" s="129">
        <v>2.875</v>
      </c>
      <c r="BO8" s="129">
        <v>2.8940000000000001</v>
      </c>
      <c r="BP8" s="129">
        <v>2.9129999999999998</v>
      </c>
      <c r="BQ8" s="129">
        <v>2.9329999999999998</v>
      </c>
      <c r="BR8" s="129">
        <v>2.9529999999999998</v>
      </c>
      <c r="BS8" s="129">
        <v>2.972</v>
      </c>
      <c r="BT8" s="129">
        <v>2.9929999999999999</v>
      </c>
      <c r="BU8" s="129">
        <v>3.0150000000000001</v>
      </c>
      <c r="BV8" s="129">
        <v>3.0339999999999998</v>
      </c>
    </row>
    <row r="9" spans="1:75">
      <c r="A9" s="120" t="s">
        <v>221</v>
      </c>
      <c r="B9" s="120" t="s">
        <v>222</v>
      </c>
      <c r="C9" s="129">
        <v>2.036</v>
      </c>
      <c r="D9" s="129">
        <v>2.0609999999999999</v>
      </c>
      <c r="E9" s="129">
        <v>2.0659999999999998</v>
      </c>
      <c r="F9" s="129">
        <v>2.0880000000000001</v>
      </c>
      <c r="G9" s="129">
        <v>2.105</v>
      </c>
      <c r="H9" s="129">
        <v>2.1160000000000001</v>
      </c>
      <c r="I9" s="129">
        <v>2.15</v>
      </c>
      <c r="J9" s="129">
        <v>2.17</v>
      </c>
      <c r="K9" s="129">
        <v>2.1880000000000002</v>
      </c>
      <c r="L9" s="129">
        <v>2.2149999999999999</v>
      </c>
      <c r="M9" s="129">
        <v>2.2349999999999999</v>
      </c>
      <c r="N9" s="129">
        <v>2.222</v>
      </c>
      <c r="O9" s="129">
        <v>2.2349999999999999</v>
      </c>
      <c r="P9" s="129">
        <v>2.262</v>
      </c>
      <c r="Q9" s="129">
        <v>2.2749999999999999</v>
      </c>
      <c r="R9" s="129">
        <v>2.3029999999999999</v>
      </c>
      <c r="S9" s="129">
        <v>2.3220000000000001</v>
      </c>
      <c r="T9" s="129">
        <v>2.363</v>
      </c>
      <c r="U9" s="129">
        <v>2.403</v>
      </c>
      <c r="V9" s="129">
        <v>2.3519999999999999</v>
      </c>
      <c r="W9" s="129">
        <v>2.3460000000000001</v>
      </c>
      <c r="X9" s="129">
        <v>2.351</v>
      </c>
      <c r="Y9" s="129">
        <v>2.371</v>
      </c>
      <c r="Z9" s="129">
        <v>2.3849999999999998</v>
      </c>
      <c r="AA9" s="129">
        <v>2.3849999999999998</v>
      </c>
      <c r="AB9" s="129">
        <v>2.3860000000000001</v>
      </c>
      <c r="AC9" s="129">
        <v>2.4009999999999998</v>
      </c>
      <c r="AD9" s="129">
        <v>2.4239999999999999</v>
      </c>
      <c r="AE9" s="129">
        <v>2.4369999999999998</v>
      </c>
      <c r="AF9" s="129">
        <v>2.4809999999999999</v>
      </c>
      <c r="AG9" s="129">
        <v>2.492</v>
      </c>
      <c r="AH9" s="129">
        <v>2.4990000000000001</v>
      </c>
      <c r="AI9" s="129">
        <v>2.52</v>
      </c>
      <c r="AJ9" s="129">
        <v>2.524</v>
      </c>
      <c r="AK9" s="129">
        <v>2.5329999999999999</v>
      </c>
      <c r="AL9" s="129">
        <v>2.5499999999999998</v>
      </c>
      <c r="AM9" s="129">
        <v>2.5630000000000002</v>
      </c>
      <c r="AN9" s="129">
        <v>2.5590000000000002</v>
      </c>
      <c r="AO9" s="129">
        <v>2.5750000000000002</v>
      </c>
      <c r="AP9" s="129">
        <v>2.589</v>
      </c>
      <c r="AQ9" s="129">
        <v>2.6059999999999999</v>
      </c>
      <c r="AR9" s="129">
        <v>2.6139999999999999</v>
      </c>
      <c r="AS9" s="129">
        <v>2.6160000000000001</v>
      </c>
      <c r="AT9" s="129">
        <v>2.6190000000000002</v>
      </c>
      <c r="AU9" s="129">
        <v>2.6219999999999999</v>
      </c>
      <c r="AV9" s="129">
        <v>2.63</v>
      </c>
      <c r="AW9" s="129">
        <v>2.6240000000000001</v>
      </c>
      <c r="AX9" s="129">
        <v>2.6259999999999999</v>
      </c>
      <c r="AY9" s="129">
        <v>2.6240000000000001</v>
      </c>
      <c r="AZ9" s="129">
        <v>2.6269999999999998</v>
      </c>
      <c r="BA9" s="129">
        <v>2.6429999999999998</v>
      </c>
      <c r="BB9" s="129">
        <v>2.6669999999999998</v>
      </c>
      <c r="BC9" s="129">
        <v>2.6749999999999998</v>
      </c>
      <c r="BD9" s="129">
        <v>2.6869999999999998</v>
      </c>
      <c r="BE9" s="129">
        <v>2.7069999999999999</v>
      </c>
      <c r="BF9" s="129">
        <v>2.7170000000000001</v>
      </c>
      <c r="BG9" s="129">
        <v>2.7349999999999999</v>
      </c>
      <c r="BH9" s="129">
        <v>2.7509999999999999</v>
      </c>
      <c r="BI9" s="129">
        <v>2.7669999999999999</v>
      </c>
      <c r="BJ9" s="129">
        <v>2.7839999999999998</v>
      </c>
      <c r="BK9" s="129">
        <v>2.7989999999999999</v>
      </c>
      <c r="BL9" s="129">
        <v>2.8140000000000001</v>
      </c>
      <c r="BM9" s="129">
        <v>2.831</v>
      </c>
      <c r="BN9" s="129">
        <v>2.847</v>
      </c>
      <c r="BO9" s="129">
        <v>2.863</v>
      </c>
      <c r="BP9" s="129">
        <v>2.88</v>
      </c>
      <c r="BQ9" s="129">
        <v>2.8969999999999998</v>
      </c>
      <c r="BR9" s="129">
        <v>2.9140000000000001</v>
      </c>
      <c r="BS9" s="129">
        <v>2.9319999999999999</v>
      </c>
      <c r="BT9" s="129">
        <v>2.9510000000000001</v>
      </c>
      <c r="BU9" s="129">
        <v>2.97</v>
      </c>
      <c r="BV9" s="129">
        <v>2.9870000000000001</v>
      </c>
    </row>
    <row r="10" spans="1:75">
      <c r="A10" s="120" t="s">
        <v>223</v>
      </c>
      <c r="B10" s="120" t="s">
        <v>224</v>
      </c>
      <c r="C10" s="129">
        <v>2.036</v>
      </c>
      <c r="D10" s="129">
        <v>2.0609999999999999</v>
      </c>
      <c r="E10" s="129">
        <v>2.0659999999999998</v>
      </c>
      <c r="F10" s="129">
        <v>2.0880000000000001</v>
      </c>
      <c r="G10" s="129">
        <v>2.105</v>
      </c>
      <c r="H10" s="129">
        <v>2.1160000000000001</v>
      </c>
      <c r="I10" s="129">
        <v>2.15</v>
      </c>
      <c r="J10" s="129">
        <v>2.17</v>
      </c>
      <c r="K10" s="129">
        <v>2.1880000000000002</v>
      </c>
      <c r="L10" s="129">
        <v>2.2149999999999999</v>
      </c>
      <c r="M10" s="129">
        <v>2.2349999999999999</v>
      </c>
      <c r="N10" s="129">
        <v>2.222</v>
      </c>
      <c r="O10" s="129">
        <v>2.2349999999999999</v>
      </c>
      <c r="P10" s="129">
        <v>2.262</v>
      </c>
      <c r="Q10" s="129">
        <v>2.2749999999999999</v>
      </c>
      <c r="R10" s="129">
        <v>2.3029999999999999</v>
      </c>
      <c r="S10" s="129">
        <v>2.3220000000000001</v>
      </c>
      <c r="T10" s="129">
        <v>2.363</v>
      </c>
      <c r="U10" s="129">
        <v>2.403</v>
      </c>
      <c r="V10" s="129">
        <v>2.3519999999999999</v>
      </c>
      <c r="W10" s="129">
        <v>2.3460000000000001</v>
      </c>
      <c r="X10" s="129">
        <v>2.351</v>
      </c>
      <c r="Y10" s="129">
        <v>2.371</v>
      </c>
      <c r="Z10" s="129">
        <v>2.3849999999999998</v>
      </c>
      <c r="AA10" s="129">
        <v>2.3849999999999998</v>
      </c>
      <c r="AB10" s="129">
        <v>2.3860000000000001</v>
      </c>
      <c r="AC10" s="129">
        <v>2.4009999999999998</v>
      </c>
      <c r="AD10" s="129">
        <v>2.4239999999999999</v>
      </c>
      <c r="AE10" s="129">
        <v>2.4369999999999998</v>
      </c>
      <c r="AF10" s="129">
        <v>2.4809999999999999</v>
      </c>
      <c r="AG10" s="129">
        <v>2.492</v>
      </c>
      <c r="AH10" s="129">
        <v>2.4990000000000001</v>
      </c>
      <c r="AI10" s="129">
        <v>2.52</v>
      </c>
      <c r="AJ10" s="129">
        <v>2.524</v>
      </c>
      <c r="AK10" s="129">
        <v>2.5329999999999999</v>
      </c>
      <c r="AL10" s="129">
        <v>2.5499999999999998</v>
      </c>
      <c r="AM10" s="129">
        <v>2.5630000000000002</v>
      </c>
      <c r="AN10" s="129">
        <v>2.5590000000000002</v>
      </c>
      <c r="AO10" s="129">
        <v>2.5750000000000002</v>
      </c>
      <c r="AP10" s="129">
        <v>2.589</v>
      </c>
      <c r="AQ10" s="129">
        <v>2.6059999999999999</v>
      </c>
      <c r="AR10" s="129">
        <v>2.6139999999999999</v>
      </c>
      <c r="AS10" s="129">
        <v>2.6160000000000001</v>
      </c>
      <c r="AT10" s="129">
        <v>2.6190000000000002</v>
      </c>
      <c r="AU10" s="129">
        <v>2.6219999999999999</v>
      </c>
      <c r="AV10" s="129">
        <v>2.63</v>
      </c>
      <c r="AW10" s="129">
        <v>2.6240000000000001</v>
      </c>
      <c r="AX10" s="129">
        <v>2.6259999999999999</v>
      </c>
      <c r="AY10" s="129">
        <v>2.6240000000000001</v>
      </c>
      <c r="AZ10" s="129">
        <v>2.6269999999999998</v>
      </c>
      <c r="BA10" s="129">
        <v>2.6429999999999998</v>
      </c>
      <c r="BB10" s="129">
        <v>2.6669999999999998</v>
      </c>
      <c r="BC10" s="129">
        <v>2.6749999999999998</v>
      </c>
      <c r="BD10" s="129">
        <v>2.694</v>
      </c>
      <c r="BE10" s="129">
        <v>2.7170000000000001</v>
      </c>
      <c r="BF10" s="129">
        <v>2.7320000000000002</v>
      </c>
      <c r="BG10" s="129">
        <v>2.7530000000000001</v>
      </c>
      <c r="BH10" s="129">
        <v>2.7770000000000001</v>
      </c>
      <c r="BI10" s="129">
        <v>2.7989999999999999</v>
      </c>
      <c r="BJ10" s="129">
        <v>2.823</v>
      </c>
      <c r="BK10" s="129">
        <v>2.8450000000000002</v>
      </c>
      <c r="BL10" s="129">
        <v>2.8690000000000002</v>
      </c>
      <c r="BM10" s="129">
        <v>2.8929999999999998</v>
      </c>
      <c r="BN10" s="129">
        <v>2.9180000000000001</v>
      </c>
      <c r="BO10" s="129">
        <v>2.9430000000000001</v>
      </c>
      <c r="BP10" s="129">
        <v>2.9689999999999999</v>
      </c>
      <c r="BQ10" s="129">
        <v>2.996</v>
      </c>
      <c r="BR10" s="129">
        <v>3.024</v>
      </c>
      <c r="BS10" s="129">
        <v>3.0510000000000002</v>
      </c>
      <c r="BT10" s="129">
        <v>3.08</v>
      </c>
      <c r="BU10" s="129">
        <v>3.11</v>
      </c>
      <c r="BV10" s="129">
        <v>3.1379999999999999</v>
      </c>
    </row>
    <row r="12" spans="1:75"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</row>
    <row r="13" spans="1:75"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</row>
    <row r="14" spans="1:75"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</row>
    <row r="15" spans="1:75"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</row>
    <row r="16" spans="1:75"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</row>
    <row r="17" spans="3:63"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Z17" s="131" t="s">
        <v>225</v>
      </c>
      <c r="BA17" s="132"/>
      <c r="BB17" s="132"/>
      <c r="BC17" s="133" t="s">
        <v>226</v>
      </c>
      <c r="BD17" s="134"/>
      <c r="BE17" s="134"/>
      <c r="BF17" s="134"/>
      <c r="BG17" s="134"/>
      <c r="BH17" s="134"/>
      <c r="BI17" s="132"/>
      <c r="BJ17" s="132"/>
      <c r="BK17" s="132"/>
    </row>
    <row r="18" spans="3:63">
      <c r="AZ18" s="135"/>
      <c r="BA18" s="136"/>
      <c r="BB18" s="136"/>
      <c r="BC18" s="136"/>
      <c r="BD18" s="136"/>
      <c r="BE18" s="136"/>
      <c r="BF18" s="136"/>
      <c r="BG18" s="136"/>
      <c r="BH18" s="136"/>
      <c r="BI18" s="136"/>
      <c r="BJ18" s="136"/>
      <c r="BK18" s="137"/>
    </row>
    <row r="19" spans="3:63">
      <c r="AZ19" s="139"/>
      <c r="BA19" s="140" t="s">
        <v>227</v>
      </c>
      <c r="BB19" s="141" t="s">
        <v>228</v>
      </c>
      <c r="BC19" s="141"/>
      <c r="BD19" s="141"/>
      <c r="BE19" s="141"/>
      <c r="BF19" s="141"/>
      <c r="BG19" s="141"/>
      <c r="BH19" s="141"/>
      <c r="BI19" s="141"/>
      <c r="BJ19" s="141"/>
      <c r="BK19" s="142"/>
    </row>
    <row r="20" spans="3:63">
      <c r="AZ20" s="139"/>
      <c r="BA20" s="141"/>
      <c r="BB20" s="120" t="s">
        <v>201</v>
      </c>
      <c r="BC20" s="141"/>
      <c r="BD20" s="141"/>
      <c r="BE20" s="141"/>
      <c r="BF20" s="141"/>
      <c r="BG20" s="141"/>
      <c r="BH20" s="141"/>
      <c r="BI20" s="141"/>
      <c r="BJ20" s="141"/>
      <c r="BK20" s="143" t="s">
        <v>229</v>
      </c>
    </row>
    <row r="21" spans="3:63">
      <c r="AZ21" s="139"/>
      <c r="BA21" s="141"/>
      <c r="BB21" s="129">
        <f>BF9</f>
        <v>2.7170000000000001</v>
      </c>
      <c r="BC21" s="141"/>
      <c r="BD21" s="141"/>
      <c r="BE21" s="141"/>
      <c r="BF21" s="141"/>
      <c r="BG21" s="141"/>
      <c r="BH21" s="141"/>
      <c r="BI21" s="141"/>
      <c r="BJ21" s="141"/>
      <c r="BK21" s="144">
        <f>BB21</f>
        <v>2.7170000000000001</v>
      </c>
    </row>
    <row r="22" spans="3:63">
      <c r="AZ22" s="139"/>
      <c r="BA22" s="141"/>
      <c r="BB22" s="141"/>
      <c r="BC22" s="141"/>
      <c r="BD22" s="141"/>
      <c r="BE22" s="141"/>
      <c r="BF22" s="141"/>
      <c r="BG22" s="141"/>
      <c r="BH22" s="141"/>
      <c r="BI22" s="141"/>
      <c r="BJ22" s="141"/>
      <c r="BK22" s="145"/>
    </row>
    <row r="23" spans="3:63">
      <c r="AZ23" s="139"/>
      <c r="BA23" s="140" t="s">
        <v>230</v>
      </c>
      <c r="BB23" s="141" t="s">
        <v>231</v>
      </c>
      <c r="BC23" s="141"/>
      <c r="BD23" s="141"/>
      <c r="BE23" s="141"/>
      <c r="BF23" s="141"/>
      <c r="BG23" s="141"/>
      <c r="BH23" s="141"/>
      <c r="BI23" s="141"/>
      <c r="BJ23" s="141"/>
      <c r="BK23" s="145"/>
    </row>
    <row r="24" spans="3:63">
      <c r="AZ24" s="139"/>
      <c r="BA24" s="141"/>
      <c r="BB24" s="120" t="s">
        <v>202</v>
      </c>
      <c r="BC24" s="120" t="s">
        <v>203</v>
      </c>
      <c r="BD24" s="120" t="s">
        <v>204</v>
      </c>
      <c r="BE24" s="120" t="s">
        <v>205</v>
      </c>
      <c r="BF24" s="120" t="s">
        <v>206</v>
      </c>
      <c r="BG24" s="120" t="s">
        <v>207</v>
      </c>
      <c r="BH24" s="120" t="s">
        <v>208</v>
      </c>
      <c r="BI24" s="120" t="s">
        <v>209</v>
      </c>
      <c r="BJ24" s="141"/>
      <c r="BK24" s="145"/>
    </row>
    <row r="25" spans="3:63">
      <c r="AZ25" s="139"/>
      <c r="BA25" s="141"/>
      <c r="BB25" s="129">
        <f>BG9</f>
        <v>2.7349999999999999</v>
      </c>
      <c r="BC25" s="129">
        <f t="shared" ref="BC25:BI25" si="0">BH9</f>
        <v>2.7509999999999999</v>
      </c>
      <c r="BD25" s="129">
        <f t="shared" si="0"/>
        <v>2.7669999999999999</v>
      </c>
      <c r="BE25" s="129">
        <f t="shared" si="0"/>
        <v>2.7839999999999998</v>
      </c>
      <c r="BF25" s="129">
        <f t="shared" si="0"/>
        <v>2.7989999999999999</v>
      </c>
      <c r="BG25" s="129">
        <f t="shared" si="0"/>
        <v>2.8140000000000001</v>
      </c>
      <c r="BH25" s="129">
        <f t="shared" si="0"/>
        <v>2.831</v>
      </c>
      <c r="BI25" s="129">
        <f t="shared" si="0"/>
        <v>2.847</v>
      </c>
      <c r="BJ25" s="141"/>
      <c r="BK25" s="144">
        <f>AVERAGE(BB25:BI25)</f>
        <v>2.7909999999999999</v>
      </c>
    </row>
    <row r="26" spans="3:63">
      <c r="AZ26" s="139"/>
      <c r="BA26" s="141"/>
      <c r="BB26" s="141"/>
      <c r="BC26" s="141"/>
      <c r="BD26" s="141"/>
      <c r="BE26" s="141"/>
      <c r="BF26" s="141"/>
      <c r="BG26" s="141"/>
      <c r="BH26" s="141"/>
      <c r="BI26" s="141"/>
      <c r="BJ26" s="141"/>
      <c r="BK26" s="145"/>
    </row>
    <row r="27" spans="3:63">
      <c r="AZ27" s="139"/>
      <c r="BA27" s="141"/>
      <c r="BB27" s="141"/>
      <c r="BC27" s="141"/>
      <c r="BD27" s="141"/>
      <c r="BE27" s="141"/>
      <c r="BF27" s="141"/>
      <c r="BG27" s="141"/>
      <c r="BH27" s="141"/>
      <c r="BI27" s="141"/>
      <c r="BJ27" s="146" t="s">
        <v>39</v>
      </c>
      <c r="BK27" s="147">
        <f>(BK25-BK21)/BK21</f>
        <v>2.7235921972764018E-2</v>
      </c>
    </row>
    <row r="28" spans="3:63">
      <c r="AZ28" s="148"/>
      <c r="BA28" s="149"/>
      <c r="BB28" s="149"/>
      <c r="BC28" s="149"/>
      <c r="BD28" s="149"/>
      <c r="BE28" s="149"/>
      <c r="BF28" s="149"/>
      <c r="BG28" s="149"/>
      <c r="BH28" s="149"/>
      <c r="BI28" s="149"/>
      <c r="BJ28" s="149"/>
      <c r="BK28" s="150"/>
    </row>
    <row r="29" spans="3:63">
      <c r="AZ29" s="132"/>
      <c r="BA29" s="132"/>
      <c r="BB29" s="132"/>
      <c r="BC29" s="132"/>
      <c r="BD29" s="132"/>
      <c r="BE29" s="132"/>
      <c r="BF29" s="132"/>
      <c r="BG29" s="132"/>
      <c r="BH29" s="132"/>
      <c r="BI29" s="132"/>
      <c r="BJ29" s="132"/>
      <c r="BK29" s="132"/>
    </row>
    <row r="30" spans="3:63">
      <c r="AZ30" s="132"/>
      <c r="BA30" s="132"/>
      <c r="BB30" s="132"/>
      <c r="BC30" s="132"/>
      <c r="BD30" s="132"/>
      <c r="BE30" s="132"/>
      <c r="BF30" s="132"/>
      <c r="BG30" s="132"/>
      <c r="BH30" s="132"/>
      <c r="BI30" s="132"/>
      <c r="BJ30" s="132"/>
      <c r="BK30" s="132"/>
    </row>
    <row r="31" spans="3:63">
      <c r="AZ31" s="131" t="s">
        <v>232</v>
      </c>
      <c r="BA31" s="132"/>
      <c r="BB31" s="132"/>
      <c r="BC31" s="133" t="s">
        <v>233</v>
      </c>
      <c r="BD31" s="134"/>
      <c r="BE31" s="134"/>
      <c r="BF31" s="134"/>
      <c r="BG31" s="134"/>
      <c r="BH31" s="134"/>
      <c r="BI31" s="132"/>
      <c r="BJ31" s="132"/>
      <c r="BK31" s="132"/>
    </row>
    <row r="32" spans="3:63">
      <c r="AZ32" s="135"/>
      <c r="BA32" s="136"/>
      <c r="BB32" s="136"/>
      <c r="BC32" s="136"/>
      <c r="BD32" s="136"/>
      <c r="BE32" s="136"/>
      <c r="BF32" s="136"/>
      <c r="BG32" s="136"/>
      <c r="BH32" s="136"/>
      <c r="BI32" s="136"/>
      <c r="BJ32" s="136"/>
      <c r="BK32" s="137"/>
    </row>
    <row r="33" spans="52:63">
      <c r="AZ33" s="139"/>
      <c r="BA33" s="140" t="s">
        <v>227</v>
      </c>
      <c r="BB33" s="141" t="s">
        <v>139</v>
      </c>
      <c r="BC33" s="141"/>
      <c r="BD33" s="141"/>
      <c r="BE33" s="141"/>
      <c r="BF33" s="141"/>
      <c r="BG33" s="141"/>
      <c r="BH33" s="141"/>
      <c r="BI33" s="141"/>
      <c r="BJ33" s="141"/>
      <c r="BK33" s="142"/>
    </row>
    <row r="34" spans="52:63">
      <c r="AZ34" s="139"/>
      <c r="BA34" s="141"/>
      <c r="BB34" s="151" t="s">
        <v>188</v>
      </c>
      <c r="BC34" s="151" t="s">
        <v>189</v>
      </c>
      <c r="BD34" s="152" t="s">
        <v>190</v>
      </c>
      <c r="BE34" s="152" t="s">
        <v>191</v>
      </c>
      <c r="BF34" s="141"/>
      <c r="BG34" s="141"/>
      <c r="BH34" s="141"/>
      <c r="BI34" s="141"/>
      <c r="BJ34" s="141"/>
      <c r="BK34" s="143" t="s">
        <v>229</v>
      </c>
    </row>
    <row r="35" spans="52:63">
      <c r="AZ35" s="139"/>
      <c r="BA35" s="141"/>
      <c r="BB35" s="153">
        <f>AT11</f>
        <v>0</v>
      </c>
      <c r="BC35" s="153">
        <f>AU11</f>
        <v>0</v>
      </c>
      <c r="BD35" s="153">
        <f>AV11</f>
        <v>0</v>
      </c>
      <c r="BE35" s="153">
        <f>AW11</f>
        <v>0</v>
      </c>
      <c r="BF35" s="141"/>
      <c r="BG35" s="141"/>
      <c r="BH35" s="141"/>
      <c r="BI35" s="141"/>
      <c r="BJ35" s="141"/>
      <c r="BK35" s="144">
        <f>AVERAGE(BB35:BE35)</f>
        <v>0</v>
      </c>
    </row>
    <row r="36" spans="52:63">
      <c r="AZ36" s="139"/>
      <c r="BA36" s="141"/>
      <c r="BB36" s="141"/>
      <c r="BC36" s="141"/>
      <c r="BD36" s="141"/>
      <c r="BE36" s="141"/>
      <c r="BF36" s="141"/>
      <c r="BG36" s="141"/>
      <c r="BH36" s="141"/>
      <c r="BI36" s="141"/>
      <c r="BJ36" s="141"/>
      <c r="BK36" s="145"/>
    </row>
    <row r="37" spans="52:63">
      <c r="AZ37" s="139"/>
      <c r="BA37" s="140" t="s">
        <v>230</v>
      </c>
      <c r="BB37" s="141" t="s">
        <v>234</v>
      </c>
      <c r="BC37" s="141"/>
      <c r="BD37" s="141"/>
      <c r="BE37" s="141"/>
      <c r="BF37" s="141"/>
      <c r="BG37" s="141"/>
      <c r="BH37" s="141"/>
      <c r="BI37" s="141"/>
      <c r="BJ37" s="141"/>
      <c r="BK37" s="145"/>
    </row>
    <row r="38" spans="52:63">
      <c r="AZ38" s="139"/>
      <c r="BA38" s="141"/>
      <c r="BB38" s="152" t="s">
        <v>200</v>
      </c>
      <c r="BC38" s="152" t="s">
        <v>201</v>
      </c>
      <c r="BD38" s="152" t="s">
        <v>202</v>
      </c>
      <c r="BE38" s="152" t="s">
        <v>203</v>
      </c>
      <c r="BF38" s="152" t="s">
        <v>204</v>
      </c>
      <c r="BG38" s="152" t="s">
        <v>205</v>
      </c>
      <c r="BH38" s="152" t="s">
        <v>206</v>
      </c>
      <c r="BI38" s="152" t="s">
        <v>207</v>
      </c>
      <c r="BJ38" s="141"/>
      <c r="BK38" s="145"/>
    </row>
    <row r="39" spans="52:63">
      <c r="AZ39" s="139"/>
      <c r="BA39" s="141"/>
      <c r="BB39" s="153">
        <f>BF11</f>
        <v>0</v>
      </c>
      <c r="BC39" s="153">
        <f t="shared" ref="BC39:BI39" si="1">BG11</f>
        <v>0</v>
      </c>
      <c r="BD39" s="153">
        <f t="shared" si="1"/>
        <v>0</v>
      </c>
      <c r="BE39" s="153">
        <f t="shared" si="1"/>
        <v>0</v>
      </c>
      <c r="BF39" s="153">
        <f t="shared" si="1"/>
        <v>0</v>
      </c>
      <c r="BG39" s="153">
        <f t="shared" si="1"/>
        <v>0</v>
      </c>
      <c r="BH39" s="153">
        <f t="shared" si="1"/>
        <v>0</v>
      </c>
      <c r="BI39" s="153">
        <f t="shared" si="1"/>
        <v>0</v>
      </c>
      <c r="BJ39" s="141"/>
      <c r="BK39" s="144">
        <f>AVERAGE(BB39:BI39)</f>
        <v>0</v>
      </c>
    </row>
    <row r="40" spans="52:63">
      <c r="AZ40" s="139"/>
      <c r="BA40" s="141"/>
      <c r="BB40" s="141"/>
      <c r="BC40" s="141"/>
      <c r="BD40" s="141"/>
      <c r="BE40" s="141"/>
      <c r="BF40" s="141"/>
      <c r="BG40" s="141"/>
      <c r="BH40" s="141"/>
      <c r="BI40" s="141"/>
      <c r="BJ40" s="141"/>
      <c r="BK40" s="145"/>
    </row>
    <row r="41" spans="52:63">
      <c r="AZ41" s="139"/>
      <c r="BA41" s="141"/>
      <c r="BB41" s="141"/>
      <c r="BC41" s="141"/>
      <c r="BD41" s="141"/>
      <c r="BE41" s="141"/>
      <c r="BF41" s="141"/>
      <c r="BG41" s="141"/>
      <c r="BH41" s="141"/>
      <c r="BI41" s="141"/>
      <c r="BJ41" s="146" t="s">
        <v>39</v>
      </c>
      <c r="BK41" s="147" t="e">
        <f>(BK39-BK35)/BK35</f>
        <v>#DIV/0!</v>
      </c>
    </row>
    <row r="42" spans="52:63">
      <c r="AZ42" s="148"/>
      <c r="BA42" s="149"/>
      <c r="BB42" s="149"/>
      <c r="BC42" s="149"/>
      <c r="BD42" s="149"/>
      <c r="BE42" s="149"/>
      <c r="BF42" s="149"/>
      <c r="BG42" s="149"/>
      <c r="BH42" s="149"/>
      <c r="BI42" s="149"/>
      <c r="BJ42" s="149"/>
      <c r="BK42" s="150"/>
    </row>
  </sheetData>
  <mergeCells count="3">
    <mergeCell ref="A1:B1"/>
    <mergeCell ref="A2:B2"/>
    <mergeCell ref="A3:B3"/>
  </mergeCells>
  <pageMargins left="0.25" right="0.25" top="1" bottom="1" header="0.5" footer="0.5"/>
  <pageSetup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29"/>
  <sheetViews>
    <sheetView workbookViewId="0">
      <selection activeCell="N30" sqref="N30"/>
    </sheetView>
  </sheetViews>
  <sheetFormatPr defaultRowHeight="15"/>
  <cols>
    <col min="2" max="2" width="49.140625" bestFit="1" customWidth="1"/>
    <col min="3" max="3" width="13.7109375" style="397" bestFit="1" customWidth="1"/>
    <col min="8" max="8" width="34.140625" bestFit="1" customWidth="1"/>
    <col min="9" max="9" width="12.5703125" style="396" bestFit="1" customWidth="1"/>
    <col min="20" max="20" width="34.140625" bestFit="1" customWidth="1"/>
  </cols>
  <sheetData>
    <row r="4" spans="1:9">
      <c r="A4" s="969" t="s">
        <v>403</v>
      </c>
      <c r="B4" s="969"/>
      <c r="C4" s="969"/>
      <c r="G4" s="968" t="s">
        <v>404</v>
      </c>
      <c r="H4" s="968"/>
      <c r="I4" s="968"/>
    </row>
    <row r="5" spans="1:9">
      <c r="A5" t="s">
        <v>8</v>
      </c>
      <c r="G5" t="s">
        <v>8</v>
      </c>
    </row>
    <row r="6" spans="1:9">
      <c r="A6" t="s">
        <v>366</v>
      </c>
      <c r="B6" t="s">
        <v>367</v>
      </c>
      <c r="C6" s="397">
        <v>55892.192967800889</v>
      </c>
      <c r="H6" t="s">
        <v>9</v>
      </c>
      <c r="I6" s="396">
        <v>62582.026977599991</v>
      </c>
    </row>
    <row r="7" spans="1:9">
      <c r="A7" t="s">
        <v>368</v>
      </c>
      <c r="B7" t="s">
        <v>369</v>
      </c>
      <c r="C7" s="397">
        <v>34275.384615384617</v>
      </c>
      <c r="H7" t="s">
        <v>9</v>
      </c>
      <c r="I7" s="396">
        <v>55891.784909999995</v>
      </c>
    </row>
    <row r="8" spans="1:9">
      <c r="A8" t="s">
        <v>370</v>
      </c>
      <c r="B8" t="s">
        <v>371</v>
      </c>
      <c r="C8" s="397">
        <v>36724.41860465116</v>
      </c>
      <c r="H8" t="s">
        <v>9</v>
      </c>
      <c r="I8" s="396">
        <v>43080.242587199995</v>
      </c>
    </row>
    <row r="9" spans="1:9">
      <c r="A9" t="s">
        <v>372</v>
      </c>
      <c r="B9" t="s">
        <v>373</v>
      </c>
      <c r="C9" s="397">
        <v>52486.975616752723</v>
      </c>
      <c r="H9" t="s">
        <v>11</v>
      </c>
      <c r="I9" s="396">
        <v>34274.366807441889</v>
      </c>
    </row>
    <row r="10" spans="1:9">
      <c r="H10" t="s">
        <v>11</v>
      </c>
      <c r="I10" s="396">
        <v>60791.602996799891</v>
      </c>
    </row>
    <row r="11" spans="1:9">
      <c r="A11" t="s">
        <v>42</v>
      </c>
    </row>
    <row r="12" spans="1:9">
      <c r="A12" t="s">
        <v>374</v>
      </c>
      <c r="B12" t="s">
        <v>375</v>
      </c>
      <c r="C12" s="397">
        <v>57939.28564102565</v>
      </c>
      <c r="G12" t="s">
        <v>12</v>
      </c>
    </row>
    <row r="13" spans="1:9">
      <c r="A13" t="s">
        <v>376</v>
      </c>
      <c r="B13" t="s">
        <v>377</v>
      </c>
      <c r="C13" s="397">
        <v>22880</v>
      </c>
      <c r="H13" t="s">
        <v>400</v>
      </c>
      <c r="I13" s="396">
        <v>55913.012126399997</v>
      </c>
    </row>
    <row r="14" spans="1:9">
      <c r="A14" t="s">
        <v>378</v>
      </c>
      <c r="B14" t="s">
        <v>379</v>
      </c>
      <c r="C14" s="397">
        <v>61661.538461538461</v>
      </c>
      <c r="H14" t="s">
        <v>408</v>
      </c>
      <c r="I14" s="396">
        <v>30700</v>
      </c>
    </row>
    <row r="15" spans="1:9">
      <c r="H15" t="s">
        <v>253</v>
      </c>
      <c r="I15" s="396">
        <v>35643.839999999997</v>
      </c>
    </row>
    <row r="16" spans="1:9">
      <c r="A16" t="s">
        <v>380</v>
      </c>
      <c r="H16" t="s">
        <v>113</v>
      </c>
      <c r="I16" s="396">
        <v>62582.026977599991</v>
      </c>
    </row>
    <row r="17" spans="1:9">
      <c r="A17" t="s">
        <v>381</v>
      </c>
      <c r="B17" t="s">
        <v>382</v>
      </c>
      <c r="C17" s="397">
        <v>56666.666666666672</v>
      </c>
      <c r="H17" t="s">
        <v>116</v>
      </c>
      <c r="I17" s="396">
        <v>47826.752999999997</v>
      </c>
    </row>
    <row r="18" spans="1:9">
      <c r="H18" t="s">
        <v>118</v>
      </c>
      <c r="I18" s="396">
        <v>56771.161199999995</v>
      </c>
    </row>
    <row r="19" spans="1:9">
      <c r="A19" t="s">
        <v>383</v>
      </c>
      <c r="H19" t="s">
        <v>119</v>
      </c>
      <c r="I19" s="396">
        <v>38208.632127093711</v>
      </c>
    </row>
    <row r="20" spans="1:9">
      <c r="A20" t="s">
        <v>384</v>
      </c>
      <c r="B20" t="s">
        <v>385</v>
      </c>
      <c r="C20" s="397">
        <v>39126.422155688619</v>
      </c>
      <c r="H20" t="s">
        <v>110</v>
      </c>
      <c r="I20" s="396">
        <v>38208.632127093711</v>
      </c>
    </row>
    <row r="21" spans="1:9">
      <c r="A21" t="s">
        <v>386</v>
      </c>
      <c r="B21" t="s">
        <v>387</v>
      </c>
      <c r="C21" s="397">
        <v>52583.509316770185</v>
      </c>
      <c r="H21" t="s">
        <v>405</v>
      </c>
      <c r="I21" s="399">
        <v>47723.237561999995</v>
      </c>
    </row>
    <row r="22" spans="1:9">
      <c r="A22" t="s">
        <v>388</v>
      </c>
      <c r="B22" t="s">
        <v>389</v>
      </c>
      <c r="C22" s="397">
        <v>52848.910411622281</v>
      </c>
      <c r="H22" t="s">
        <v>406</v>
      </c>
      <c r="I22" s="399">
        <v>48246.056039999989</v>
      </c>
    </row>
    <row r="23" spans="1:9">
      <c r="A23" t="s">
        <v>390</v>
      </c>
      <c r="B23" t="s">
        <v>391</v>
      </c>
      <c r="C23" s="397">
        <v>41486.436616343162</v>
      </c>
      <c r="H23" t="s">
        <v>407</v>
      </c>
      <c r="I23" s="396">
        <v>30700</v>
      </c>
    </row>
    <row r="24" spans="1:9">
      <c r="A24" t="s">
        <v>392</v>
      </c>
      <c r="B24" t="s">
        <v>393</v>
      </c>
      <c r="C24" s="397">
        <v>26519.586063465315</v>
      </c>
    </row>
    <row r="25" spans="1:9">
      <c r="G25" t="s">
        <v>42</v>
      </c>
    </row>
    <row r="26" spans="1:9">
      <c r="A26" t="s">
        <v>110</v>
      </c>
      <c r="H26" t="s">
        <v>401</v>
      </c>
      <c r="I26" s="396">
        <v>129778.22184599999</v>
      </c>
    </row>
    <row r="27" spans="1:9">
      <c r="A27" t="s">
        <v>394</v>
      </c>
      <c r="B27" t="s">
        <v>395</v>
      </c>
      <c r="C27" s="397">
        <v>30528.95594743227</v>
      </c>
      <c r="H27" t="s">
        <v>402</v>
      </c>
      <c r="I27" s="396">
        <v>53399.039684495961</v>
      </c>
    </row>
    <row r="28" spans="1:9">
      <c r="A28" t="s">
        <v>396</v>
      </c>
      <c r="B28" t="s">
        <v>397</v>
      </c>
      <c r="C28" s="398">
        <v>31210</v>
      </c>
    </row>
    <row r="29" spans="1:9">
      <c r="A29" t="s">
        <v>398</v>
      </c>
      <c r="B29" t="s">
        <v>399</v>
      </c>
      <c r="C29" s="398">
        <v>24955.124055666005</v>
      </c>
    </row>
  </sheetData>
  <mergeCells count="2">
    <mergeCell ref="G4:I4"/>
    <mergeCell ref="A4:C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11"/>
  <sheetViews>
    <sheetView workbookViewId="0">
      <selection activeCell="U24" sqref="U24"/>
    </sheetView>
  </sheetViews>
  <sheetFormatPr defaultRowHeight="15"/>
  <cols>
    <col min="3" max="3" width="5" bestFit="1" customWidth="1"/>
    <col min="5" max="5" width="38" bestFit="1" customWidth="1"/>
  </cols>
  <sheetData>
    <row r="1" spans="3:7" ht="15.75" thickBot="1"/>
    <row r="2" spans="3:7" ht="15.75" thickBot="1">
      <c r="C2" s="970" t="s">
        <v>621</v>
      </c>
      <c r="D2" s="971"/>
      <c r="E2" s="971"/>
      <c r="F2" s="971"/>
      <c r="G2" s="972"/>
    </row>
    <row r="3" spans="3:7">
      <c r="C3" s="192" t="s">
        <v>108</v>
      </c>
      <c r="D3" s="394">
        <v>2103</v>
      </c>
      <c r="E3" s="394" t="s">
        <v>622</v>
      </c>
      <c r="F3" s="394"/>
      <c r="G3" s="168"/>
    </row>
    <row r="4" spans="3:7">
      <c r="C4" s="192"/>
      <c r="D4" s="394">
        <v>2406</v>
      </c>
      <c r="E4" s="394" t="s">
        <v>617</v>
      </c>
      <c r="F4" s="394"/>
      <c r="G4" s="168"/>
    </row>
    <row r="5" spans="3:7">
      <c r="C5" s="192"/>
      <c r="D5" s="394">
        <v>2110</v>
      </c>
      <c r="E5" s="394" t="s">
        <v>623</v>
      </c>
      <c r="F5" s="394"/>
      <c r="G5" s="168"/>
    </row>
    <row r="6" spans="3:7">
      <c r="C6" s="192"/>
      <c r="D6" s="394">
        <v>2119</v>
      </c>
      <c r="E6" s="394" t="s">
        <v>624</v>
      </c>
      <c r="F6" s="394"/>
      <c r="G6" s="168"/>
    </row>
    <row r="7" spans="3:7">
      <c r="C7" s="192"/>
      <c r="D7" s="394">
        <v>2121</v>
      </c>
      <c r="E7" s="394" t="s">
        <v>625</v>
      </c>
      <c r="F7" s="394"/>
      <c r="G7" s="168"/>
    </row>
    <row r="8" spans="3:7">
      <c r="C8" s="192"/>
      <c r="D8" s="394">
        <v>2405</v>
      </c>
      <c r="E8" s="394" t="s">
        <v>626</v>
      </c>
      <c r="F8" s="394"/>
      <c r="G8" s="168"/>
    </row>
    <row r="9" spans="3:7">
      <c r="C9" s="192" t="s">
        <v>107</v>
      </c>
      <c r="D9" s="394">
        <v>2218</v>
      </c>
      <c r="E9" s="394" t="s">
        <v>278</v>
      </c>
      <c r="F9" s="394"/>
      <c r="G9" s="168"/>
    </row>
    <row r="10" spans="3:7">
      <c r="C10" s="192"/>
      <c r="D10" s="394">
        <v>2220</v>
      </c>
      <c r="E10" s="394" t="s">
        <v>627</v>
      </c>
      <c r="F10" s="394"/>
      <c r="G10" s="168"/>
    </row>
    <row r="11" spans="3:7" ht="15.75" thickBot="1">
      <c r="C11" s="193" t="s">
        <v>257</v>
      </c>
      <c r="D11" s="395">
        <v>3253</v>
      </c>
      <c r="E11" s="395" t="s">
        <v>251</v>
      </c>
      <c r="F11" s="395"/>
      <c r="G11" s="169"/>
    </row>
  </sheetData>
  <mergeCells count="1">
    <mergeCell ref="C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2"/>
  <sheetViews>
    <sheetView topLeftCell="A31" workbookViewId="0">
      <selection activeCell="S11" sqref="S11"/>
    </sheetView>
  </sheetViews>
  <sheetFormatPr defaultColWidth="9.140625" defaultRowHeight="15"/>
  <cols>
    <col min="1" max="1" width="39.140625" style="227" customWidth="1"/>
    <col min="2" max="2" width="10.85546875" style="227" customWidth="1"/>
    <col min="3" max="3" width="11.140625" style="227" bestFit="1" customWidth="1"/>
    <col min="4" max="4" width="16.28515625" style="227" customWidth="1"/>
    <col min="5" max="5" width="11.28515625" style="227" customWidth="1"/>
    <col min="6" max="6" width="14.7109375" style="227" customWidth="1"/>
    <col min="7" max="7" width="9.140625" style="227"/>
    <col min="8" max="8" width="10.85546875" style="227" customWidth="1"/>
    <col min="9" max="9" width="10.42578125" style="227" customWidth="1"/>
    <col min="10" max="10" width="10.5703125" style="227" bestFit="1" customWidth="1"/>
    <col min="11" max="11" width="9.140625" style="227"/>
    <col min="12" max="12" width="3.7109375" style="227" customWidth="1"/>
    <col min="13" max="13" width="4" style="227" customWidth="1"/>
    <col min="14" max="14" width="6.140625" style="227" customWidth="1"/>
    <col min="15" max="15" width="12" style="227" bestFit="1" customWidth="1"/>
    <col min="16" max="16" width="15.42578125" style="227" customWidth="1"/>
    <col min="17" max="18" width="15.42578125" style="227" hidden="1" customWidth="1"/>
    <col min="19" max="19" width="15.28515625" style="227" customWidth="1"/>
    <col min="20" max="16384" width="9.140625" style="227"/>
  </cols>
  <sheetData>
    <row r="1" spans="1:19">
      <c r="O1" s="227" t="s">
        <v>315</v>
      </c>
      <c r="P1" s="243">
        <v>128.039852221182</v>
      </c>
      <c r="Q1" s="243"/>
      <c r="R1" s="243"/>
    </row>
    <row r="2" spans="1:19" s="244" customFormat="1"/>
    <row r="3" spans="1:19" s="244" customFormat="1" ht="45.75" thickBot="1">
      <c r="B3" s="245"/>
      <c r="C3" s="245"/>
      <c r="D3" s="245"/>
      <c r="E3" s="245"/>
      <c r="F3" s="245"/>
      <c r="G3" s="245"/>
      <c r="H3" s="245"/>
      <c r="I3" s="245"/>
      <c r="J3" s="245"/>
      <c r="K3" s="245"/>
      <c r="N3" s="227"/>
      <c r="O3" s="244" t="s">
        <v>316</v>
      </c>
      <c r="P3" s="244" t="s">
        <v>317</v>
      </c>
      <c r="Q3" s="244" t="s">
        <v>318</v>
      </c>
      <c r="R3" s="244" t="s">
        <v>319</v>
      </c>
      <c r="S3" s="244" t="s">
        <v>320</v>
      </c>
    </row>
    <row r="4" spans="1:19" s="244" customFormat="1" ht="15.75" thickBot="1">
      <c r="B4" s="246"/>
      <c r="C4" s="246"/>
      <c r="D4" s="246"/>
      <c r="E4" s="246"/>
      <c r="F4" s="247"/>
      <c r="G4" s="246"/>
      <c r="H4" s="246"/>
      <c r="I4" s="246"/>
      <c r="J4" s="246"/>
      <c r="K4" s="248"/>
      <c r="N4" s="249" t="s">
        <v>321</v>
      </c>
      <c r="O4" s="250"/>
      <c r="P4" s="251">
        <f>B12</f>
        <v>165590</v>
      </c>
      <c r="Q4" s="252"/>
      <c r="R4" s="252"/>
      <c r="S4" s="253">
        <f>C12</f>
        <v>34600</v>
      </c>
    </row>
    <row r="5" spans="1:19" s="244" customFormat="1" ht="19.5" customHeight="1" thickBot="1">
      <c r="N5" s="254" t="s">
        <v>322</v>
      </c>
      <c r="O5" s="255"/>
      <c r="P5" s="256">
        <f>B13</f>
        <v>156000</v>
      </c>
      <c r="Q5" s="257"/>
      <c r="R5" s="257"/>
      <c r="S5" s="258">
        <f>C13</f>
        <v>36397</v>
      </c>
    </row>
    <row r="6" spans="1:19" s="244" customFormat="1">
      <c r="N6" s="259" t="s">
        <v>323</v>
      </c>
      <c r="O6" s="260"/>
      <c r="P6" s="261"/>
      <c r="Q6" s="262"/>
      <c r="R6" s="262"/>
      <c r="S6" s="263"/>
    </row>
    <row r="7" spans="1:19" s="244" customFormat="1">
      <c r="N7" s="264" t="s">
        <v>324</v>
      </c>
      <c r="O7" s="260"/>
      <c r="P7" s="265">
        <f>B15</f>
        <v>156000</v>
      </c>
      <c r="Q7" s="266">
        <v>169535</v>
      </c>
      <c r="R7" s="266">
        <v>33534</v>
      </c>
      <c r="S7" s="267">
        <f>C15</f>
        <v>35736</v>
      </c>
    </row>
    <row r="8" spans="1:19" s="244" customFormat="1" ht="14.25" customHeight="1">
      <c r="A8" s="882" t="s">
        <v>325</v>
      </c>
      <c r="B8" s="882"/>
      <c r="C8" s="882"/>
      <c r="D8" s="882"/>
      <c r="E8" s="882"/>
      <c r="F8" s="882"/>
      <c r="G8" s="882"/>
      <c r="H8" s="882"/>
      <c r="I8" s="882"/>
      <c r="J8" s="882"/>
      <c r="K8" s="882"/>
      <c r="N8" s="264" t="s">
        <v>326</v>
      </c>
      <c r="O8" s="260"/>
      <c r="P8" s="265">
        <f>B16</f>
        <v>164000</v>
      </c>
      <c r="Q8" s="266">
        <v>159543</v>
      </c>
      <c r="R8" s="266">
        <v>34566</v>
      </c>
      <c r="S8" s="267">
        <f>C16</f>
        <v>41030</v>
      </c>
    </row>
    <row r="9" spans="1:19" s="244" customFormat="1" ht="15.75" thickBot="1">
      <c r="H9" s="246">
        <v>14.5</v>
      </c>
      <c r="N9" s="268" t="s">
        <v>102</v>
      </c>
      <c r="O9" s="269"/>
      <c r="P9" s="270">
        <f>B17</f>
        <v>164000</v>
      </c>
      <c r="Q9" s="271">
        <v>161716</v>
      </c>
      <c r="R9" s="271">
        <v>28308</v>
      </c>
      <c r="S9" s="272">
        <f>C17</f>
        <v>38512</v>
      </c>
    </row>
    <row r="10" spans="1:19" s="244" customFormat="1">
      <c r="H10" s="246">
        <v>13.92</v>
      </c>
      <c r="I10" s="312">
        <f>H9*(1+2.72%)</f>
        <v>14.894400000000001</v>
      </c>
      <c r="J10" s="304" t="s">
        <v>339</v>
      </c>
    </row>
    <row r="11" spans="1:19" s="244" customFormat="1" ht="78" customHeight="1" thickBot="1">
      <c r="B11" s="245" t="s">
        <v>327</v>
      </c>
      <c r="C11" s="245" t="s">
        <v>328</v>
      </c>
      <c r="D11" s="245" t="s">
        <v>329</v>
      </c>
      <c r="E11" s="245" t="s">
        <v>330</v>
      </c>
      <c r="F11" s="245" t="s">
        <v>331</v>
      </c>
      <c r="G11" s="245" t="s">
        <v>332</v>
      </c>
      <c r="H11" s="245" t="s">
        <v>333</v>
      </c>
      <c r="I11" s="245" t="s">
        <v>334</v>
      </c>
      <c r="J11" s="245" t="s">
        <v>99</v>
      </c>
      <c r="K11" s="245" t="s">
        <v>335</v>
      </c>
    </row>
    <row r="12" spans="1:19" s="244" customFormat="1" ht="15.75" thickBot="1">
      <c r="A12" s="249" t="s">
        <v>321</v>
      </c>
      <c r="B12" s="273">
        <v>165590</v>
      </c>
      <c r="C12" s="273">
        <v>34600</v>
      </c>
      <c r="D12" s="273">
        <f>B12-C12</f>
        <v>130990</v>
      </c>
      <c r="E12" s="274">
        <v>249</v>
      </c>
      <c r="F12" s="275">
        <v>1014</v>
      </c>
      <c r="G12" s="276">
        <v>126.15</v>
      </c>
      <c r="H12" s="277">
        <f>$H$10*E12</f>
        <v>3466.08</v>
      </c>
      <c r="I12" s="277">
        <f>F12*G12+H12</f>
        <v>131382.18</v>
      </c>
      <c r="J12" s="277">
        <f>I12-D12</f>
        <v>392.17999999999302</v>
      </c>
      <c r="K12" s="278">
        <f>(I12-D12)/D12</f>
        <v>2.9939690052675242E-3</v>
      </c>
    </row>
    <row r="13" spans="1:19" s="244" customFormat="1" ht="15.75" thickBot="1">
      <c r="A13" s="279" t="s">
        <v>322</v>
      </c>
      <c r="B13" s="280">
        <v>156000</v>
      </c>
      <c r="C13" s="280">
        <v>36397</v>
      </c>
      <c r="D13" s="280">
        <f>B13-C13</f>
        <v>119603</v>
      </c>
      <c r="E13" s="281">
        <v>197</v>
      </c>
      <c r="F13" s="282">
        <v>1257</v>
      </c>
      <c r="G13" s="283">
        <v>126.15</v>
      </c>
      <c r="H13" s="284">
        <f>$H$10*E13</f>
        <v>2742.24</v>
      </c>
      <c r="I13" s="284">
        <f>F13*G13+H13</f>
        <v>161312.79</v>
      </c>
      <c r="J13" s="284">
        <f>I13-D13</f>
        <v>41709.790000000008</v>
      </c>
      <c r="K13" s="285">
        <f>(I13-D13)/D13</f>
        <v>0.34873531600377922</v>
      </c>
    </row>
    <row r="14" spans="1:19" s="244" customFormat="1">
      <c r="A14" s="279" t="s">
        <v>336</v>
      </c>
      <c r="B14" s="286"/>
      <c r="C14" s="286"/>
      <c r="D14" s="286"/>
      <c r="E14" s="287"/>
      <c r="F14" s="288"/>
      <c r="G14" s="289"/>
      <c r="H14" s="286"/>
      <c r="I14" s="286"/>
      <c r="J14" s="286"/>
      <c r="K14" s="290"/>
    </row>
    <row r="15" spans="1:19" s="244" customFormat="1" ht="20.25" customHeight="1">
      <c r="A15" s="264" t="s">
        <v>324</v>
      </c>
      <c r="B15" s="273">
        <v>156000</v>
      </c>
      <c r="C15" s="273">
        <v>35736</v>
      </c>
      <c r="D15" s="273">
        <f>B15-C15</f>
        <v>120264</v>
      </c>
      <c r="E15" s="274">
        <v>40</v>
      </c>
      <c r="F15" s="275">
        <v>993</v>
      </c>
      <c r="G15" s="276">
        <v>126.15</v>
      </c>
      <c r="H15" s="277">
        <f>$H$10*E15</f>
        <v>556.79999999999995</v>
      </c>
      <c r="I15" s="277">
        <f>F15*G15+H15</f>
        <v>125823.75000000001</v>
      </c>
      <c r="J15" s="277">
        <f>I15-D15</f>
        <v>5559.7500000000146</v>
      </c>
      <c r="K15" s="291">
        <f>(I15-D15)/D15</f>
        <v>4.6229545000997928E-2</v>
      </c>
    </row>
    <row r="16" spans="1:19">
      <c r="A16" s="264" t="s">
        <v>326</v>
      </c>
      <c r="B16" s="273">
        <v>164000</v>
      </c>
      <c r="C16" s="273">
        <v>41030</v>
      </c>
      <c r="D16" s="273">
        <f>B16-C16</f>
        <v>122970</v>
      </c>
      <c r="E16" s="274">
        <v>80</v>
      </c>
      <c r="F16" s="275">
        <v>1015</v>
      </c>
      <c r="G16" s="276">
        <v>126.15</v>
      </c>
      <c r="H16" s="277">
        <f>$H$10*E16</f>
        <v>1113.5999999999999</v>
      </c>
      <c r="I16" s="277">
        <f>F16*G16+H16</f>
        <v>129155.85</v>
      </c>
      <c r="J16" s="277">
        <f>I16-D16</f>
        <v>6185.8500000000058</v>
      </c>
      <c r="K16" s="291">
        <f>(I16-D16)/D16</f>
        <v>5.0303732617711684E-2</v>
      </c>
    </row>
    <row r="17" spans="1:15" ht="15.75" thickBot="1">
      <c r="A17" s="268" t="s">
        <v>102</v>
      </c>
      <c r="B17" s="292">
        <v>164000</v>
      </c>
      <c r="C17" s="292">
        <v>38512</v>
      </c>
      <c r="D17" s="292">
        <f>B17-C17</f>
        <v>125488</v>
      </c>
      <c r="E17" s="293">
        <v>52</v>
      </c>
      <c r="F17" s="294">
        <v>930</v>
      </c>
      <c r="G17" s="295">
        <v>126.15</v>
      </c>
      <c r="H17" s="296">
        <f>$H$10*E17</f>
        <v>723.84</v>
      </c>
      <c r="I17" s="296">
        <f>F17*G17+H17</f>
        <v>118043.34</v>
      </c>
      <c r="J17" s="296">
        <f>I17-D17</f>
        <v>-7444.6600000000035</v>
      </c>
      <c r="K17" s="297">
        <f>(I17-D17)/D17</f>
        <v>-5.9325672574270079E-2</v>
      </c>
    </row>
    <row r="18" spans="1:15">
      <c r="B18" s="298">
        <f>SUM(B15:B17)</f>
        <v>484000</v>
      </c>
      <c r="C18" s="298">
        <f>SUM(C15:C17)</f>
        <v>115278</v>
      </c>
      <c r="D18" s="298">
        <f>SUM(D15:D17)</f>
        <v>368722</v>
      </c>
      <c r="E18" s="299">
        <f>SUM(E15:E17)</f>
        <v>172</v>
      </c>
      <c r="F18" s="300">
        <f>SUM(F15:F17)</f>
        <v>2938</v>
      </c>
      <c r="G18" s="300"/>
      <c r="H18" s="298">
        <f>SUM(H15:H17)</f>
        <v>2394.2399999999998</v>
      </c>
      <c r="I18" s="298">
        <f>SUM(I15:I17)</f>
        <v>373022.94000000006</v>
      </c>
      <c r="J18" s="301">
        <f>I18-D18</f>
        <v>4300.9400000000605</v>
      </c>
      <c r="K18" s="248">
        <f>SUM(K15:K17)</f>
        <v>3.7207605044439533E-2</v>
      </c>
    </row>
    <row r="21" spans="1:15" ht="90.75" thickBot="1">
      <c r="A21" s="302"/>
      <c r="B21" s="303" t="s">
        <v>327</v>
      </c>
      <c r="C21" s="303" t="s">
        <v>337</v>
      </c>
      <c r="D21" s="303" t="s">
        <v>338</v>
      </c>
      <c r="E21" s="303" t="s">
        <v>330</v>
      </c>
      <c r="F21" s="303" t="s">
        <v>331</v>
      </c>
      <c r="G21" s="303" t="s">
        <v>332</v>
      </c>
      <c r="H21" s="303" t="s">
        <v>333</v>
      </c>
      <c r="I21" s="303" t="s">
        <v>334</v>
      </c>
      <c r="J21" s="303" t="s">
        <v>99</v>
      </c>
      <c r="K21" s="303" t="s">
        <v>335</v>
      </c>
      <c r="O21" s="304"/>
    </row>
    <row r="22" spans="1:15" ht="15.75" thickBot="1">
      <c r="A22" s="305" t="s">
        <v>278</v>
      </c>
      <c r="B22" s="306">
        <f>SUM(B12+B13+B18)</f>
        <v>805590</v>
      </c>
      <c r="C22" s="306">
        <f>SUM(C12+C13+C18)</f>
        <v>186275</v>
      </c>
      <c r="D22" s="306">
        <f>B22-C22</f>
        <v>619315</v>
      </c>
      <c r="E22" s="307">
        <f>SUM(E12:E17)</f>
        <v>618</v>
      </c>
      <c r="F22" s="308">
        <f>SUM(F12:F17)</f>
        <v>5209</v>
      </c>
      <c r="G22" s="309">
        <f>G17</f>
        <v>126.15</v>
      </c>
      <c r="H22" s="310">
        <f>SUM(H12:H17)</f>
        <v>8602.56</v>
      </c>
      <c r="I22" s="310">
        <f>G22*F22+H22</f>
        <v>665717.91</v>
      </c>
      <c r="J22" s="310">
        <f>I22-D22</f>
        <v>46402.910000000033</v>
      </c>
      <c r="K22" s="311">
        <f>(I22-D22)/D22</f>
        <v>7.4926184574893279E-2</v>
      </c>
      <c r="O22" s="304"/>
    </row>
  </sheetData>
  <mergeCells count="1">
    <mergeCell ref="A8:K8"/>
  </mergeCells>
  <pageMargins left="0.25" right="0.25" top="0.75" bottom="0.75" header="0.3" footer="0.3"/>
  <pageSetup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27"/>
  <sheetViews>
    <sheetView topLeftCell="BD1" workbookViewId="0">
      <selection activeCell="BV23" sqref="BV23"/>
    </sheetView>
  </sheetViews>
  <sheetFormatPr defaultRowHeight="12.75"/>
  <cols>
    <col min="1" max="1" width="38.42578125" style="356" customWidth="1"/>
    <col min="2" max="2" width="12.85546875" style="361" customWidth="1"/>
    <col min="3" max="58" width="7.7109375" style="356" customWidth="1"/>
    <col min="59" max="59" width="13" style="356" customWidth="1"/>
    <col min="60" max="60" width="8.42578125" style="356" customWidth="1"/>
    <col min="61" max="61" width="8.140625" style="356" customWidth="1"/>
    <col min="62" max="67" width="8.140625" style="356" bestFit="1" customWidth="1"/>
    <col min="68" max="68" width="7.42578125" style="356" bestFit="1" customWidth="1"/>
    <col min="69" max="69" width="9" style="356" bestFit="1" customWidth="1"/>
    <col min="70" max="82" width="7.7109375" style="356" customWidth="1"/>
    <col min="83" max="256" width="9.140625" style="356"/>
    <col min="257" max="257" width="38.42578125" style="356" customWidth="1"/>
    <col min="258" max="258" width="12.85546875" style="356" customWidth="1"/>
    <col min="259" max="314" width="7.7109375" style="356" customWidth="1"/>
    <col min="315" max="315" width="13" style="356" customWidth="1"/>
    <col min="316" max="316" width="8.42578125" style="356" customWidth="1"/>
    <col min="317" max="317" width="8.140625" style="356" customWidth="1"/>
    <col min="318" max="323" width="8.140625" style="356" bestFit="1" customWidth="1"/>
    <col min="324" max="324" width="7.42578125" style="356" bestFit="1" customWidth="1"/>
    <col min="325" max="325" width="9" style="356" bestFit="1" customWidth="1"/>
    <col min="326" max="338" width="7.7109375" style="356" customWidth="1"/>
    <col min="339" max="512" width="9.140625" style="356"/>
    <col min="513" max="513" width="38.42578125" style="356" customWidth="1"/>
    <col min="514" max="514" width="12.85546875" style="356" customWidth="1"/>
    <col min="515" max="570" width="7.7109375" style="356" customWidth="1"/>
    <col min="571" max="571" width="13" style="356" customWidth="1"/>
    <col min="572" max="572" width="8.42578125" style="356" customWidth="1"/>
    <col min="573" max="573" width="8.140625" style="356" customWidth="1"/>
    <col min="574" max="579" width="8.140625" style="356" bestFit="1" customWidth="1"/>
    <col min="580" max="580" width="7.42578125" style="356" bestFit="1" customWidth="1"/>
    <col min="581" max="581" width="9" style="356" bestFit="1" customWidth="1"/>
    <col min="582" max="594" width="7.7109375" style="356" customWidth="1"/>
    <col min="595" max="768" width="9.140625" style="356"/>
    <col min="769" max="769" width="38.42578125" style="356" customWidth="1"/>
    <col min="770" max="770" width="12.85546875" style="356" customWidth="1"/>
    <col min="771" max="826" width="7.7109375" style="356" customWidth="1"/>
    <col min="827" max="827" width="13" style="356" customWidth="1"/>
    <col min="828" max="828" width="8.42578125" style="356" customWidth="1"/>
    <col min="829" max="829" width="8.140625" style="356" customWidth="1"/>
    <col min="830" max="835" width="8.140625" style="356" bestFit="1" customWidth="1"/>
    <col min="836" max="836" width="7.42578125" style="356" bestFit="1" customWidth="1"/>
    <col min="837" max="837" width="9" style="356" bestFit="1" customWidth="1"/>
    <col min="838" max="850" width="7.7109375" style="356" customWidth="1"/>
    <col min="851" max="1024" width="9.140625" style="356"/>
    <col min="1025" max="1025" width="38.42578125" style="356" customWidth="1"/>
    <col min="1026" max="1026" width="12.85546875" style="356" customWidth="1"/>
    <col min="1027" max="1082" width="7.7109375" style="356" customWidth="1"/>
    <col min="1083" max="1083" width="13" style="356" customWidth="1"/>
    <col min="1084" max="1084" width="8.42578125" style="356" customWidth="1"/>
    <col min="1085" max="1085" width="8.140625" style="356" customWidth="1"/>
    <col min="1086" max="1091" width="8.140625" style="356" bestFit="1" customWidth="1"/>
    <col min="1092" max="1092" width="7.42578125" style="356" bestFit="1" customWidth="1"/>
    <col min="1093" max="1093" width="9" style="356" bestFit="1" customWidth="1"/>
    <col min="1094" max="1106" width="7.7109375" style="356" customWidth="1"/>
    <col min="1107" max="1280" width="9.140625" style="356"/>
    <col min="1281" max="1281" width="38.42578125" style="356" customWidth="1"/>
    <col min="1282" max="1282" width="12.85546875" style="356" customWidth="1"/>
    <col min="1283" max="1338" width="7.7109375" style="356" customWidth="1"/>
    <col min="1339" max="1339" width="13" style="356" customWidth="1"/>
    <col min="1340" max="1340" width="8.42578125" style="356" customWidth="1"/>
    <col min="1341" max="1341" width="8.140625" style="356" customWidth="1"/>
    <col min="1342" max="1347" width="8.140625" style="356" bestFit="1" customWidth="1"/>
    <col min="1348" max="1348" width="7.42578125" style="356" bestFit="1" customWidth="1"/>
    <col min="1349" max="1349" width="9" style="356" bestFit="1" customWidth="1"/>
    <col min="1350" max="1362" width="7.7109375" style="356" customWidth="1"/>
    <col min="1363" max="1536" width="9.140625" style="356"/>
    <col min="1537" max="1537" width="38.42578125" style="356" customWidth="1"/>
    <col min="1538" max="1538" width="12.85546875" style="356" customWidth="1"/>
    <col min="1539" max="1594" width="7.7109375" style="356" customWidth="1"/>
    <col min="1595" max="1595" width="13" style="356" customWidth="1"/>
    <col min="1596" max="1596" width="8.42578125" style="356" customWidth="1"/>
    <col min="1597" max="1597" width="8.140625" style="356" customWidth="1"/>
    <col min="1598" max="1603" width="8.140625" style="356" bestFit="1" customWidth="1"/>
    <col min="1604" max="1604" width="7.42578125" style="356" bestFit="1" customWidth="1"/>
    <col min="1605" max="1605" width="9" style="356" bestFit="1" customWidth="1"/>
    <col min="1606" max="1618" width="7.7109375" style="356" customWidth="1"/>
    <col min="1619" max="1792" width="9.140625" style="356"/>
    <col min="1793" max="1793" width="38.42578125" style="356" customWidth="1"/>
    <col min="1794" max="1794" width="12.85546875" style="356" customWidth="1"/>
    <col min="1795" max="1850" width="7.7109375" style="356" customWidth="1"/>
    <col min="1851" max="1851" width="13" style="356" customWidth="1"/>
    <col min="1852" max="1852" width="8.42578125" style="356" customWidth="1"/>
    <col min="1853" max="1853" width="8.140625" style="356" customWidth="1"/>
    <col min="1854" max="1859" width="8.140625" style="356" bestFit="1" customWidth="1"/>
    <col min="1860" max="1860" width="7.42578125" style="356" bestFit="1" customWidth="1"/>
    <col min="1861" max="1861" width="9" style="356" bestFit="1" customWidth="1"/>
    <col min="1862" max="1874" width="7.7109375" style="356" customWidth="1"/>
    <col min="1875" max="2048" width="9.140625" style="356"/>
    <col min="2049" max="2049" width="38.42578125" style="356" customWidth="1"/>
    <col min="2050" max="2050" width="12.85546875" style="356" customWidth="1"/>
    <col min="2051" max="2106" width="7.7109375" style="356" customWidth="1"/>
    <col min="2107" max="2107" width="13" style="356" customWidth="1"/>
    <col min="2108" max="2108" width="8.42578125" style="356" customWidth="1"/>
    <col min="2109" max="2109" width="8.140625" style="356" customWidth="1"/>
    <col min="2110" max="2115" width="8.140625" style="356" bestFit="1" customWidth="1"/>
    <col min="2116" max="2116" width="7.42578125" style="356" bestFit="1" customWidth="1"/>
    <col min="2117" max="2117" width="9" style="356" bestFit="1" customWidth="1"/>
    <col min="2118" max="2130" width="7.7109375" style="356" customWidth="1"/>
    <col min="2131" max="2304" width="9.140625" style="356"/>
    <col min="2305" max="2305" width="38.42578125" style="356" customWidth="1"/>
    <col min="2306" max="2306" width="12.85546875" style="356" customWidth="1"/>
    <col min="2307" max="2362" width="7.7109375" style="356" customWidth="1"/>
    <col min="2363" max="2363" width="13" style="356" customWidth="1"/>
    <col min="2364" max="2364" width="8.42578125" style="356" customWidth="1"/>
    <col min="2365" max="2365" width="8.140625" style="356" customWidth="1"/>
    <col min="2366" max="2371" width="8.140625" style="356" bestFit="1" customWidth="1"/>
    <col min="2372" max="2372" width="7.42578125" style="356" bestFit="1" customWidth="1"/>
    <col min="2373" max="2373" width="9" style="356" bestFit="1" customWidth="1"/>
    <col min="2374" max="2386" width="7.7109375" style="356" customWidth="1"/>
    <col min="2387" max="2560" width="9.140625" style="356"/>
    <col min="2561" max="2561" width="38.42578125" style="356" customWidth="1"/>
    <col min="2562" max="2562" width="12.85546875" style="356" customWidth="1"/>
    <col min="2563" max="2618" width="7.7109375" style="356" customWidth="1"/>
    <col min="2619" max="2619" width="13" style="356" customWidth="1"/>
    <col min="2620" max="2620" width="8.42578125" style="356" customWidth="1"/>
    <col min="2621" max="2621" width="8.140625" style="356" customWidth="1"/>
    <col min="2622" max="2627" width="8.140625" style="356" bestFit="1" customWidth="1"/>
    <col min="2628" max="2628" width="7.42578125" style="356" bestFit="1" customWidth="1"/>
    <col min="2629" max="2629" width="9" style="356" bestFit="1" customWidth="1"/>
    <col min="2630" max="2642" width="7.7109375" style="356" customWidth="1"/>
    <col min="2643" max="2816" width="9.140625" style="356"/>
    <col min="2817" max="2817" width="38.42578125" style="356" customWidth="1"/>
    <col min="2818" max="2818" width="12.85546875" style="356" customWidth="1"/>
    <col min="2819" max="2874" width="7.7109375" style="356" customWidth="1"/>
    <col min="2875" max="2875" width="13" style="356" customWidth="1"/>
    <col min="2876" max="2876" width="8.42578125" style="356" customWidth="1"/>
    <col min="2877" max="2877" width="8.140625" style="356" customWidth="1"/>
    <col min="2878" max="2883" width="8.140625" style="356" bestFit="1" customWidth="1"/>
    <col min="2884" max="2884" width="7.42578125" style="356" bestFit="1" customWidth="1"/>
    <col min="2885" max="2885" width="9" style="356" bestFit="1" customWidth="1"/>
    <col min="2886" max="2898" width="7.7109375" style="356" customWidth="1"/>
    <col min="2899" max="3072" width="9.140625" style="356"/>
    <col min="3073" max="3073" width="38.42578125" style="356" customWidth="1"/>
    <col min="3074" max="3074" width="12.85546875" style="356" customWidth="1"/>
    <col min="3075" max="3130" width="7.7109375" style="356" customWidth="1"/>
    <col min="3131" max="3131" width="13" style="356" customWidth="1"/>
    <col min="3132" max="3132" width="8.42578125" style="356" customWidth="1"/>
    <col min="3133" max="3133" width="8.140625" style="356" customWidth="1"/>
    <col min="3134" max="3139" width="8.140625" style="356" bestFit="1" customWidth="1"/>
    <col min="3140" max="3140" width="7.42578125" style="356" bestFit="1" customWidth="1"/>
    <col min="3141" max="3141" width="9" style="356" bestFit="1" customWidth="1"/>
    <col min="3142" max="3154" width="7.7109375" style="356" customWidth="1"/>
    <col min="3155" max="3328" width="9.140625" style="356"/>
    <col min="3329" max="3329" width="38.42578125" style="356" customWidth="1"/>
    <col min="3330" max="3330" width="12.85546875" style="356" customWidth="1"/>
    <col min="3331" max="3386" width="7.7109375" style="356" customWidth="1"/>
    <col min="3387" max="3387" width="13" style="356" customWidth="1"/>
    <col min="3388" max="3388" width="8.42578125" style="356" customWidth="1"/>
    <col min="3389" max="3389" width="8.140625" style="356" customWidth="1"/>
    <col min="3390" max="3395" width="8.140625" style="356" bestFit="1" customWidth="1"/>
    <col min="3396" max="3396" width="7.42578125" style="356" bestFit="1" customWidth="1"/>
    <col min="3397" max="3397" width="9" style="356" bestFit="1" customWidth="1"/>
    <col min="3398" max="3410" width="7.7109375" style="356" customWidth="1"/>
    <col min="3411" max="3584" width="9.140625" style="356"/>
    <col min="3585" max="3585" width="38.42578125" style="356" customWidth="1"/>
    <col min="3586" max="3586" width="12.85546875" style="356" customWidth="1"/>
    <col min="3587" max="3642" width="7.7109375" style="356" customWidth="1"/>
    <col min="3643" max="3643" width="13" style="356" customWidth="1"/>
    <col min="3644" max="3644" width="8.42578125" style="356" customWidth="1"/>
    <col min="3645" max="3645" width="8.140625" style="356" customWidth="1"/>
    <col min="3646" max="3651" width="8.140625" style="356" bestFit="1" customWidth="1"/>
    <col min="3652" max="3652" width="7.42578125" style="356" bestFit="1" customWidth="1"/>
    <col min="3653" max="3653" width="9" style="356" bestFit="1" customWidth="1"/>
    <col min="3654" max="3666" width="7.7109375" style="356" customWidth="1"/>
    <col min="3667" max="3840" width="9.140625" style="356"/>
    <col min="3841" max="3841" width="38.42578125" style="356" customWidth="1"/>
    <col min="3842" max="3842" width="12.85546875" style="356" customWidth="1"/>
    <col min="3843" max="3898" width="7.7109375" style="356" customWidth="1"/>
    <col min="3899" max="3899" width="13" style="356" customWidth="1"/>
    <col min="3900" max="3900" width="8.42578125" style="356" customWidth="1"/>
    <col min="3901" max="3901" width="8.140625" style="356" customWidth="1"/>
    <col min="3902" max="3907" width="8.140625" style="356" bestFit="1" customWidth="1"/>
    <col min="3908" max="3908" width="7.42578125" style="356" bestFit="1" customWidth="1"/>
    <col min="3909" max="3909" width="9" style="356" bestFit="1" customWidth="1"/>
    <col min="3910" max="3922" width="7.7109375" style="356" customWidth="1"/>
    <col min="3923" max="4096" width="9.140625" style="356"/>
    <col min="4097" max="4097" width="38.42578125" style="356" customWidth="1"/>
    <col min="4098" max="4098" width="12.85546875" style="356" customWidth="1"/>
    <col min="4099" max="4154" width="7.7109375" style="356" customWidth="1"/>
    <col min="4155" max="4155" width="13" style="356" customWidth="1"/>
    <col min="4156" max="4156" width="8.42578125" style="356" customWidth="1"/>
    <col min="4157" max="4157" width="8.140625" style="356" customWidth="1"/>
    <col min="4158" max="4163" width="8.140625" style="356" bestFit="1" customWidth="1"/>
    <col min="4164" max="4164" width="7.42578125" style="356" bestFit="1" customWidth="1"/>
    <col min="4165" max="4165" width="9" style="356" bestFit="1" customWidth="1"/>
    <col min="4166" max="4178" width="7.7109375" style="356" customWidth="1"/>
    <col min="4179" max="4352" width="9.140625" style="356"/>
    <col min="4353" max="4353" width="38.42578125" style="356" customWidth="1"/>
    <col min="4354" max="4354" width="12.85546875" style="356" customWidth="1"/>
    <col min="4355" max="4410" width="7.7109375" style="356" customWidth="1"/>
    <col min="4411" max="4411" width="13" style="356" customWidth="1"/>
    <col min="4412" max="4412" width="8.42578125" style="356" customWidth="1"/>
    <col min="4413" max="4413" width="8.140625" style="356" customWidth="1"/>
    <col min="4414" max="4419" width="8.140625" style="356" bestFit="1" customWidth="1"/>
    <col min="4420" max="4420" width="7.42578125" style="356" bestFit="1" customWidth="1"/>
    <col min="4421" max="4421" width="9" style="356" bestFit="1" customWidth="1"/>
    <col min="4422" max="4434" width="7.7109375" style="356" customWidth="1"/>
    <col min="4435" max="4608" width="9.140625" style="356"/>
    <col min="4609" max="4609" width="38.42578125" style="356" customWidth="1"/>
    <col min="4610" max="4610" width="12.85546875" style="356" customWidth="1"/>
    <col min="4611" max="4666" width="7.7109375" style="356" customWidth="1"/>
    <col min="4667" max="4667" width="13" style="356" customWidth="1"/>
    <col min="4668" max="4668" width="8.42578125" style="356" customWidth="1"/>
    <col min="4669" max="4669" width="8.140625" style="356" customWidth="1"/>
    <col min="4670" max="4675" width="8.140625" style="356" bestFit="1" customWidth="1"/>
    <col min="4676" max="4676" width="7.42578125" style="356" bestFit="1" customWidth="1"/>
    <col min="4677" max="4677" width="9" style="356" bestFit="1" customWidth="1"/>
    <col min="4678" max="4690" width="7.7109375" style="356" customWidth="1"/>
    <col min="4691" max="4864" width="9.140625" style="356"/>
    <col min="4865" max="4865" width="38.42578125" style="356" customWidth="1"/>
    <col min="4866" max="4866" width="12.85546875" style="356" customWidth="1"/>
    <col min="4867" max="4922" width="7.7109375" style="356" customWidth="1"/>
    <col min="4923" max="4923" width="13" style="356" customWidth="1"/>
    <col min="4924" max="4924" width="8.42578125" style="356" customWidth="1"/>
    <col min="4925" max="4925" width="8.140625" style="356" customWidth="1"/>
    <col min="4926" max="4931" width="8.140625" style="356" bestFit="1" customWidth="1"/>
    <col min="4932" max="4932" width="7.42578125" style="356" bestFit="1" customWidth="1"/>
    <col min="4933" max="4933" width="9" style="356" bestFit="1" customWidth="1"/>
    <col min="4934" max="4946" width="7.7109375" style="356" customWidth="1"/>
    <col min="4947" max="5120" width="9.140625" style="356"/>
    <col min="5121" max="5121" width="38.42578125" style="356" customWidth="1"/>
    <col min="5122" max="5122" width="12.85546875" style="356" customWidth="1"/>
    <col min="5123" max="5178" width="7.7109375" style="356" customWidth="1"/>
    <col min="5179" max="5179" width="13" style="356" customWidth="1"/>
    <col min="5180" max="5180" width="8.42578125" style="356" customWidth="1"/>
    <col min="5181" max="5181" width="8.140625" style="356" customWidth="1"/>
    <col min="5182" max="5187" width="8.140625" style="356" bestFit="1" customWidth="1"/>
    <col min="5188" max="5188" width="7.42578125" style="356" bestFit="1" customWidth="1"/>
    <col min="5189" max="5189" width="9" style="356" bestFit="1" customWidth="1"/>
    <col min="5190" max="5202" width="7.7109375" style="356" customWidth="1"/>
    <col min="5203" max="5376" width="9.140625" style="356"/>
    <col min="5377" max="5377" width="38.42578125" style="356" customWidth="1"/>
    <col min="5378" max="5378" width="12.85546875" style="356" customWidth="1"/>
    <col min="5379" max="5434" width="7.7109375" style="356" customWidth="1"/>
    <col min="5435" max="5435" width="13" style="356" customWidth="1"/>
    <col min="5436" max="5436" width="8.42578125" style="356" customWidth="1"/>
    <col min="5437" max="5437" width="8.140625" style="356" customWidth="1"/>
    <col min="5438" max="5443" width="8.140625" style="356" bestFit="1" customWidth="1"/>
    <col min="5444" max="5444" width="7.42578125" style="356" bestFit="1" customWidth="1"/>
    <col min="5445" max="5445" width="9" style="356" bestFit="1" customWidth="1"/>
    <col min="5446" max="5458" width="7.7109375" style="356" customWidth="1"/>
    <col min="5459" max="5632" width="9.140625" style="356"/>
    <col min="5633" max="5633" width="38.42578125" style="356" customWidth="1"/>
    <col min="5634" max="5634" width="12.85546875" style="356" customWidth="1"/>
    <col min="5635" max="5690" width="7.7109375" style="356" customWidth="1"/>
    <col min="5691" max="5691" width="13" style="356" customWidth="1"/>
    <col min="5692" max="5692" width="8.42578125" style="356" customWidth="1"/>
    <col min="5693" max="5693" width="8.140625" style="356" customWidth="1"/>
    <col min="5694" max="5699" width="8.140625" style="356" bestFit="1" customWidth="1"/>
    <col min="5700" max="5700" width="7.42578125" style="356" bestFit="1" customWidth="1"/>
    <col min="5701" max="5701" width="9" style="356" bestFit="1" customWidth="1"/>
    <col min="5702" max="5714" width="7.7109375" style="356" customWidth="1"/>
    <col min="5715" max="5888" width="9.140625" style="356"/>
    <col min="5889" max="5889" width="38.42578125" style="356" customWidth="1"/>
    <col min="5890" max="5890" width="12.85546875" style="356" customWidth="1"/>
    <col min="5891" max="5946" width="7.7109375" style="356" customWidth="1"/>
    <col min="5947" max="5947" width="13" style="356" customWidth="1"/>
    <col min="5948" max="5948" width="8.42578125" style="356" customWidth="1"/>
    <col min="5949" max="5949" width="8.140625" style="356" customWidth="1"/>
    <col min="5950" max="5955" width="8.140625" style="356" bestFit="1" customWidth="1"/>
    <col min="5956" max="5956" width="7.42578125" style="356" bestFit="1" customWidth="1"/>
    <col min="5957" max="5957" width="9" style="356" bestFit="1" customWidth="1"/>
    <col min="5958" max="5970" width="7.7109375" style="356" customWidth="1"/>
    <col min="5971" max="6144" width="9.140625" style="356"/>
    <col min="6145" max="6145" width="38.42578125" style="356" customWidth="1"/>
    <col min="6146" max="6146" width="12.85546875" style="356" customWidth="1"/>
    <col min="6147" max="6202" width="7.7109375" style="356" customWidth="1"/>
    <col min="6203" max="6203" width="13" style="356" customWidth="1"/>
    <col min="6204" max="6204" width="8.42578125" style="356" customWidth="1"/>
    <col min="6205" max="6205" width="8.140625" style="356" customWidth="1"/>
    <col min="6206" max="6211" width="8.140625" style="356" bestFit="1" customWidth="1"/>
    <col min="6212" max="6212" width="7.42578125" style="356" bestFit="1" customWidth="1"/>
    <col min="6213" max="6213" width="9" style="356" bestFit="1" customWidth="1"/>
    <col min="6214" max="6226" width="7.7109375" style="356" customWidth="1"/>
    <col min="6227" max="6400" width="9.140625" style="356"/>
    <col min="6401" max="6401" width="38.42578125" style="356" customWidth="1"/>
    <col min="6402" max="6402" width="12.85546875" style="356" customWidth="1"/>
    <col min="6403" max="6458" width="7.7109375" style="356" customWidth="1"/>
    <col min="6459" max="6459" width="13" style="356" customWidth="1"/>
    <col min="6460" max="6460" width="8.42578125" style="356" customWidth="1"/>
    <col min="6461" max="6461" width="8.140625" style="356" customWidth="1"/>
    <col min="6462" max="6467" width="8.140625" style="356" bestFit="1" customWidth="1"/>
    <col min="6468" max="6468" width="7.42578125" style="356" bestFit="1" customWidth="1"/>
    <col min="6469" max="6469" width="9" style="356" bestFit="1" customWidth="1"/>
    <col min="6470" max="6482" width="7.7109375" style="356" customWidth="1"/>
    <col min="6483" max="6656" width="9.140625" style="356"/>
    <col min="6657" max="6657" width="38.42578125" style="356" customWidth="1"/>
    <col min="6658" max="6658" width="12.85546875" style="356" customWidth="1"/>
    <col min="6659" max="6714" width="7.7109375" style="356" customWidth="1"/>
    <col min="6715" max="6715" width="13" style="356" customWidth="1"/>
    <col min="6716" max="6716" width="8.42578125" style="356" customWidth="1"/>
    <col min="6717" max="6717" width="8.140625" style="356" customWidth="1"/>
    <col min="6718" max="6723" width="8.140625" style="356" bestFit="1" customWidth="1"/>
    <col min="6724" max="6724" width="7.42578125" style="356" bestFit="1" customWidth="1"/>
    <col min="6725" max="6725" width="9" style="356" bestFit="1" customWidth="1"/>
    <col min="6726" max="6738" width="7.7109375" style="356" customWidth="1"/>
    <col min="6739" max="6912" width="9.140625" style="356"/>
    <col min="6913" max="6913" width="38.42578125" style="356" customWidth="1"/>
    <col min="6914" max="6914" width="12.85546875" style="356" customWidth="1"/>
    <col min="6915" max="6970" width="7.7109375" style="356" customWidth="1"/>
    <col min="6971" max="6971" width="13" style="356" customWidth="1"/>
    <col min="6972" max="6972" width="8.42578125" style="356" customWidth="1"/>
    <col min="6973" max="6973" width="8.140625" style="356" customWidth="1"/>
    <col min="6974" max="6979" width="8.140625" style="356" bestFit="1" customWidth="1"/>
    <col min="6980" max="6980" width="7.42578125" style="356" bestFit="1" customWidth="1"/>
    <col min="6981" max="6981" width="9" style="356" bestFit="1" customWidth="1"/>
    <col min="6982" max="6994" width="7.7109375" style="356" customWidth="1"/>
    <col min="6995" max="7168" width="9.140625" style="356"/>
    <col min="7169" max="7169" width="38.42578125" style="356" customWidth="1"/>
    <col min="7170" max="7170" width="12.85546875" style="356" customWidth="1"/>
    <col min="7171" max="7226" width="7.7109375" style="356" customWidth="1"/>
    <col min="7227" max="7227" width="13" style="356" customWidth="1"/>
    <col min="7228" max="7228" width="8.42578125" style="356" customWidth="1"/>
    <col min="7229" max="7229" width="8.140625" style="356" customWidth="1"/>
    <col min="7230" max="7235" width="8.140625" style="356" bestFit="1" customWidth="1"/>
    <col min="7236" max="7236" width="7.42578125" style="356" bestFit="1" customWidth="1"/>
    <col min="7237" max="7237" width="9" style="356" bestFit="1" customWidth="1"/>
    <col min="7238" max="7250" width="7.7109375" style="356" customWidth="1"/>
    <col min="7251" max="7424" width="9.140625" style="356"/>
    <col min="7425" max="7425" width="38.42578125" style="356" customWidth="1"/>
    <col min="7426" max="7426" width="12.85546875" style="356" customWidth="1"/>
    <col min="7427" max="7482" width="7.7109375" style="356" customWidth="1"/>
    <col min="7483" max="7483" width="13" style="356" customWidth="1"/>
    <col min="7484" max="7484" width="8.42578125" style="356" customWidth="1"/>
    <col min="7485" max="7485" width="8.140625" style="356" customWidth="1"/>
    <col min="7486" max="7491" width="8.140625" style="356" bestFit="1" customWidth="1"/>
    <col min="7492" max="7492" width="7.42578125" style="356" bestFit="1" customWidth="1"/>
    <col min="7493" max="7493" width="9" style="356" bestFit="1" customWidth="1"/>
    <col min="7494" max="7506" width="7.7109375" style="356" customWidth="1"/>
    <col min="7507" max="7680" width="9.140625" style="356"/>
    <col min="7681" max="7681" width="38.42578125" style="356" customWidth="1"/>
    <col min="7682" max="7682" width="12.85546875" style="356" customWidth="1"/>
    <col min="7683" max="7738" width="7.7109375" style="356" customWidth="1"/>
    <col min="7739" max="7739" width="13" style="356" customWidth="1"/>
    <col min="7740" max="7740" width="8.42578125" style="356" customWidth="1"/>
    <col min="7741" max="7741" width="8.140625" style="356" customWidth="1"/>
    <col min="7742" max="7747" width="8.140625" style="356" bestFit="1" customWidth="1"/>
    <col min="7748" max="7748" width="7.42578125" style="356" bestFit="1" customWidth="1"/>
    <col min="7749" max="7749" width="9" style="356" bestFit="1" customWidth="1"/>
    <col min="7750" max="7762" width="7.7109375" style="356" customWidth="1"/>
    <col min="7763" max="7936" width="9.140625" style="356"/>
    <col min="7937" max="7937" width="38.42578125" style="356" customWidth="1"/>
    <col min="7938" max="7938" width="12.85546875" style="356" customWidth="1"/>
    <col min="7939" max="7994" width="7.7109375" style="356" customWidth="1"/>
    <col min="7995" max="7995" width="13" style="356" customWidth="1"/>
    <col min="7996" max="7996" width="8.42578125" style="356" customWidth="1"/>
    <col min="7997" max="7997" width="8.140625" style="356" customWidth="1"/>
    <col min="7998" max="8003" width="8.140625" style="356" bestFit="1" customWidth="1"/>
    <col min="8004" max="8004" width="7.42578125" style="356" bestFit="1" customWidth="1"/>
    <col min="8005" max="8005" width="9" style="356" bestFit="1" customWidth="1"/>
    <col min="8006" max="8018" width="7.7109375" style="356" customWidth="1"/>
    <col min="8019" max="8192" width="9.140625" style="356"/>
    <col min="8193" max="8193" width="38.42578125" style="356" customWidth="1"/>
    <col min="8194" max="8194" width="12.85546875" style="356" customWidth="1"/>
    <col min="8195" max="8250" width="7.7109375" style="356" customWidth="1"/>
    <col min="8251" max="8251" width="13" style="356" customWidth="1"/>
    <col min="8252" max="8252" width="8.42578125" style="356" customWidth="1"/>
    <col min="8253" max="8253" width="8.140625" style="356" customWidth="1"/>
    <col min="8254" max="8259" width="8.140625" style="356" bestFit="1" customWidth="1"/>
    <col min="8260" max="8260" width="7.42578125" style="356" bestFit="1" customWidth="1"/>
    <col min="8261" max="8261" width="9" style="356" bestFit="1" customWidth="1"/>
    <col min="8262" max="8274" width="7.7109375" style="356" customWidth="1"/>
    <col min="8275" max="8448" width="9.140625" style="356"/>
    <col min="8449" max="8449" width="38.42578125" style="356" customWidth="1"/>
    <col min="8450" max="8450" width="12.85546875" style="356" customWidth="1"/>
    <col min="8451" max="8506" width="7.7109375" style="356" customWidth="1"/>
    <col min="8507" max="8507" width="13" style="356" customWidth="1"/>
    <col min="8508" max="8508" width="8.42578125" style="356" customWidth="1"/>
    <col min="8509" max="8509" width="8.140625" style="356" customWidth="1"/>
    <col min="8510" max="8515" width="8.140625" style="356" bestFit="1" customWidth="1"/>
    <col min="8516" max="8516" width="7.42578125" style="356" bestFit="1" customWidth="1"/>
    <col min="8517" max="8517" width="9" style="356" bestFit="1" customWidth="1"/>
    <col min="8518" max="8530" width="7.7109375" style="356" customWidth="1"/>
    <col min="8531" max="8704" width="9.140625" style="356"/>
    <col min="8705" max="8705" width="38.42578125" style="356" customWidth="1"/>
    <col min="8706" max="8706" width="12.85546875" style="356" customWidth="1"/>
    <col min="8707" max="8762" width="7.7109375" style="356" customWidth="1"/>
    <col min="8763" max="8763" width="13" style="356" customWidth="1"/>
    <col min="8764" max="8764" width="8.42578125" style="356" customWidth="1"/>
    <col min="8765" max="8765" width="8.140625" style="356" customWidth="1"/>
    <col min="8766" max="8771" width="8.140625" style="356" bestFit="1" customWidth="1"/>
    <col min="8772" max="8772" width="7.42578125" style="356" bestFit="1" customWidth="1"/>
    <col min="8773" max="8773" width="9" style="356" bestFit="1" customWidth="1"/>
    <col min="8774" max="8786" width="7.7109375" style="356" customWidth="1"/>
    <col min="8787" max="8960" width="9.140625" style="356"/>
    <col min="8961" max="8961" width="38.42578125" style="356" customWidth="1"/>
    <col min="8962" max="8962" width="12.85546875" style="356" customWidth="1"/>
    <col min="8963" max="9018" width="7.7109375" style="356" customWidth="1"/>
    <col min="9019" max="9019" width="13" style="356" customWidth="1"/>
    <col min="9020" max="9020" width="8.42578125" style="356" customWidth="1"/>
    <col min="9021" max="9021" width="8.140625" style="356" customWidth="1"/>
    <col min="9022" max="9027" width="8.140625" style="356" bestFit="1" customWidth="1"/>
    <col min="9028" max="9028" width="7.42578125" style="356" bestFit="1" customWidth="1"/>
    <col min="9029" max="9029" width="9" style="356" bestFit="1" customWidth="1"/>
    <col min="9030" max="9042" width="7.7109375" style="356" customWidth="1"/>
    <col min="9043" max="9216" width="9.140625" style="356"/>
    <col min="9217" max="9217" width="38.42578125" style="356" customWidth="1"/>
    <col min="9218" max="9218" width="12.85546875" style="356" customWidth="1"/>
    <col min="9219" max="9274" width="7.7109375" style="356" customWidth="1"/>
    <col min="9275" max="9275" width="13" style="356" customWidth="1"/>
    <col min="9276" max="9276" width="8.42578125" style="356" customWidth="1"/>
    <col min="9277" max="9277" width="8.140625" style="356" customWidth="1"/>
    <col min="9278" max="9283" width="8.140625" style="356" bestFit="1" customWidth="1"/>
    <col min="9284" max="9284" width="7.42578125" style="356" bestFit="1" customWidth="1"/>
    <col min="9285" max="9285" width="9" style="356" bestFit="1" customWidth="1"/>
    <col min="9286" max="9298" width="7.7109375" style="356" customWidth="1"/>
    <col min="9299" max="9472" width="9.140625" style="356"/>
    <col min="9473" max="9473" width="38.42578125" style="356" customWidth="1"/>
    <col min="9474" max="9474" width="12.85546875" style="356" customWidth="1"/>
    <col min="9475" max="9530" width="7.7109375" style="356" customWidth="1"/>
    <col min="9531" max="9531" width="13" style="356" customWidth="1"/>
    <col min="9532" max="9532" width="8.42578125" style="356" customWidth="1"/>
    <col min="9533" max="9533" width="8.140625" style="356" customWidth="1"/>
    <col min="9534" max="9539" width="8.140625" style="356" bestFit="1" customWidth="1"/>
    <col min="9540" max="9540" width="7.42578125" style="356" bestFit="1" customWidth="1"/>
    <col min="9541" max="9541" width="9" style="356" bestFit="1" customWidth="1"/>
    <col min="9542" max="9554" width="7.7109375" style="356" customWidth="1"/>
    <col min="9555" max="9728" width="9.140625" style="356"/>
    <col min="9729" max="9729" width="38.42578125" style="356" customWidth="1"/>
    <col min="9730" max="9730" width="12.85546875" style="356" customWidth="1"/>
    <col min="9731" max="9786" width="7.7109375" style="356" customWidth="1"/>
    <col min="9787" max="9787" width="13" style="356" customWidth="1"/>
    <col min="9788" max="9788" width="8.42578125" style="356" customWidth="1"/>
    <col min="9789" max="9789" width="8.140625" style="356" customWidth="1"/>
    <col min="9790" max="9795" width="8.140625" style="356" bestFit="1" customWidth="1"/>
    <col min="9796" max="9796" width="7.42578125" style="356" bestFit="1" customWidth="1"/>
    <col min="9797" max="9797" width="9" style="356" bestFit="1" customWidth="1"/>
    <col min="9798" max="9810" width="7.7109375" style="356" customWidth="1"/>
    <col min="9811" max="9984" width="9.140625" style="356"/>
    <col min="9985" max="9985" width="38.42578125" style="356" customWidth="1"/>
    <col min="9986" max="9986" width="12.85546875" style="356" customWidth="1"/>
    <col min="9987" max="10042" width="7.7109375" style="356" customWidth="1"/>
    <col min="10043" max="10043" width="13" style="356" customWidth="1"/>
    <col min="10044" max="10044" width="8.42578125" style="356" customWidth="1"/>
    <col min="10045" max="10045" width="8.140625" style="356" customWidth="1"/>
    <col min="10046" max="10051" width="8.140625" style="356" bestFit="1" customWidth="1"/>
    <col min="10052" max="10052" width="7.42578125" style="356" bestFit="1" customWidth="1"/>
    <col min="10053" max="10053" width="9" style="356" bestFit="1" customWidth="1"/>
    <col min="10054" max="10066" width="7.7109375" style="356" customWidth="1"/>
    <col min="10067" max="10240" width="9.140625" style="356"/>
    <col min="10241" max="10241" width="38.42578125" style="356" customWidth="1"/>
    <col min="10242" max="10242" width="12.85546875" style="356" customWidth="1"/>
    <col min="10243" max="10298" width="7.7109375" style="356" customWidth="1"/>
    <col min="10299" max="10299" width="13" style="356" customWidth="1"/>
    <col min="10300" max="10300" width="8.42578125" style="356" customWidth="1"/>
    <col min="10301" max="10301" width="8.140625" style="356" customWidth="1"/>
    <col min="10302" max="10307" width="8.140625" style="356" bestFit="1" customWidth="1"/>
    <col min="10308" max="10308" width="7.42578125" style="356" bestFit="1" customWidth="1"/>
    <col min="10309" max="10309" width="9" style="356" bestFit="1" customWidth="1"/>
    <col min="10310" max="10322" width="7.7109375" style="356" customWidth="1"/>
    <col min="10323" max="10496" width="9.140625" style="356"/>
    <col min="10497" max="10497" width="38.42578125" style="356" customWidth="1"/>
    <col min="10498" max="10498" width="12.85546875" style="356" customWidth="1"/>
    <col min="10499" max="10554" width="7.7109375" style="356" customWidth="1"/>
    <col min="10555" max="10555" width="13" style="356" customWidth="1"/>
    <col min="10556" max="10556" width="8.42578125" style="356" customWidth="1"/>
    <col min="10557" max="10557" width="8.140625" style="356" customWidth="1"/>
    <col min="10558" max="10563" width="8.140625" style="356" bestFit="1" customWidth="1"/>
    <col min="10564" max="10564" width="7.42578125" style="356" bestFit="1" customWidth="1"/>
    <col min="10565" max="10565" width="9" style="356" bestFit="1" customWidth="1"/>
    <col min="10566" max="10578" width="7.7109375" style="356" customWidth="1"/>
    <col min="10579" max="10752" width="9.140625" style="356"/>
    <col min="10753" max="10753" width="38.42578125" style="356" customWidth="1"/>
    <col min="10754" max="10754" width="12.85546875" style="356" customWidth="1"/>
    <col min="10755" max="10810" width="7.7109375" style="356" customWidth="1"/>
    <col min="10811" max="10811" width="13" style="356" customWidth="1"/>
    <col min="10812" max="10812" width="8.42578125" style="356" customWidth="1"/>
    <col min="10813" max="10813" width="8.140625" style="356" customWidth="1"/>
    <col min="10814" max="10819" width="8.140625" style="356" bestFit="1" customWidth="1"/>
    <col min="10820" max="10820" width="7.42578125" style="356" bestFit="1" customWidth="1"/>
    <col min="10821" max="10821" width="9" style="356" bestFit="1" customWidth="1"/>
    <col min="10822" max="10834" width="7.7109375" style="356" customWidth="1"/>
    <col min="10835" max="11008" width="9.140625" style="356"/>
    <col min="11009" max="11009" width="38.42578125" style="356" customWidth="1"/>
    <col min="11010" max="11010" width="12.85546875" style="356" customWidth="1"/>
    <col min="11011" max="11066" width="7.7109375" style="356" customWidth="1"/>
    <col min="11067" max="11067" width="13" style="356" customWidth="1"/>
    <col min="11068" max="11068" width="8.42578125" style="356" customWidth="1"/>
    <col min="11069" max="11069" width="8.140625" style="356" customWidth="1"/>
    <col min="11070" max="11075" width="8.140625" style="356" bestFit="1" customWidth="1"/>
    <col min="11076" max="11076" width="7.42578125" style="356" bestFit="1" customWidth="1"/>
    <col min="11077" max="11077" width="9" style="356" bestFit="1" customWidth="1"/>
    <col min="11078" max="11090" width="7.7109375" style="356" customWidth="1"/>
    <col min="11091" max="11264" width="9.140625" style="356"/>
    <col min="11265" max="11265" width="38.42578125" style="356" customWidth="1"/>
    <col min="11266" max="11266" width="12.85546875" style="356" customWidth="1"/>
    <col min="11267" max="11322" width="7.7109375" style="356" customWidth="1"/>
    <col min="11323" max="11323" width="13" style="356" customWidth="1"/>
    <col min="11324" max="11324" width="8.42578125" style="356" customWidth="1"/>
    <col min="11325" max="11325" width="8.140625" style="356" customWidth="1"/>
    <col min="11326" max="11331" width="8.140625" style="356" bestFit="1" customWidth="1"/>
    <col min="11332" max="11332" width="7.42578125" style="356" bestFit="1" customWidth="1"/>
    <col min="11333" max="11333" width="9" style="356" bestFit="1" customWidth="1"/>
    <col min="11334" max="11346" width="7.7109375" style="356" customWidth="1"/>
    <col min="11347" max="11520" width="9.140625" style="356"/>
    <col min="11521" max="11521" width="38.42578125" style="356" customWidth="1"/>
    <col min="11522" max="11522" width="12.85546875" style="356" customWidth="1"/>
    <col min="11523" max="11578" width="7.7109375" style="356" customWidth="1"/>
    <col min="11579" max="11579" width="13" style="356" customWidth="1"/>
    <col min="11580" max="11580" width="8.42578125" style="356" customWidth="1"/>
    <col min="11581" max="11581" width="8.140625" style="356" customWidth="1"/>
    <col min="11582" max="11587" width="8.140625" style="356" bestFit="1" customWidth="1"/>
    <col min="11588" max="11588" width="7.42578125" style="356" bestFit="1" customWidth="1"/>
    <col min="11589" max="11589" width="9" style="356" bestFit="1" customWidth="1"/>
    <col min="11590" max="11602" width="7.7109375" style="356" customWidth="1"/>
    <col min="11603" max="11776" width="9.140625" style="356"/>
    <col min="11777" max="11777" width="38.42578125" style="356" customWidth="1"/>
    <col min="11778" max="11778" width="12.85546875" style="356" customWidth="1"/>
    <col min="11779" max="11834" width="7.7109375" style="356" customWidth="1"/>
    <col min="11835" max="11835" width="13" style="356" customWidth="1"/>
    <col min="11836" max="11836" width="8.42578125" style="356" customWidth="1"/>
    <col min="11837" max="11837" width="8.140625" style="356" customWidth="1"/>
    <col min="11838" max="11843" width="8.140625" style="356" bestFit="1" customWidth="1"/>
    <col min="11844" max="11844" width="7.42578125" style="356" bestFit="1" customWidth="1"/>
    <col min="11845" max="11845" width="9" style="356" bestFit="1" customWidth="1"/>
    <col min="11846" max="11858" width="7.7109375" style="356" customWidth="1"/>
    <col min="11859" max="12032" width="9.140625" style="356"/>
    <col min="12033" max="12033" width="38.42578125" style="356" customWidth="1"/>
    <col min="12034" max="12034" width="12.85546875" style="356" customWidth="1"/>
    <col min="12035" max="12090" width="7.7109375" style="356" customWidth="1"/>
    <col min="12091" max="12091" width="13" style="356" customWidth="1"/>
    <col min="12092" max="12092" width="8.42578125" style="356" customWidth="1"/>
    <col min="12093" max="12093" width="8.140625" style="356" customWidth="1"/>
    <col min="12094" max="12099" width="8.140625" style="356" bestFit="1" customWidth="1"/>
    <col min="12100" max="12100" width="7.42578125" style="356" bestFit="1" customWidth="1"/>
    <col min="12101" max="12101" width="9" style="356" bestFit="1" customWidth="1"/>
    <col min="12102" max="12114" width="7.7109375" style="356" customWidth="1"/>
    <col min="12115" max="12288" width="9.140625" style="356"/>
    <col min="12289" max="12289" width="38.42578125" style="356" customWidth="1"/>
    <col min="12290" max="12290" width="12.85546875" style="356" customWidth="1"/>
    <col min="12291" max="12346" width="7.7109375" style="356" customWidth="1"/>
    <col min="12347" max="12347" width="13" style="356" customWidth="1"/>
    <col min="12348" max="12348" width="8.42578125" style="356" customWidth="1"/>
    <col min="12349" max="12349" width="8.140625" style="356" customWidth="1"/>
    <col min="12350" max="12355" width="8.140625" style="356" bestFit="1" customWidth="1"/>
    <col min="12356" max="12356" width="7.42578125" style="356" bestFit="1" customWidth="1"/>
    <col min="12357" max="12357" width="9" style="356" bestFit="1" customWidth="1"/>
    <col min="12358" max="12370" width="7.7109375" style="356" customWidth="1"/>
    <col min="12371" max="12544" width="9.140625" style="356"/>
    <col min="12545" max="12545" width="38.42578125" style="356" customWidth="1"/>
    <col min="12546" max="12546" width="12.85546875" style="356" customWidth="1"/>
    <col min="12547" max="12602" width="7.7109375" style="356" customWidth="1"/>
    <col min="12603" max="12603" width="13" style="356" customWidth="1"/>
    <col min="12604" max="12604" width="8.42578125" style="356" customWidth="1"/>
    <col min="12605" max="12605" width="8.140625" style="356" customWidth="1"/>
    <col min="12606" max="12611" width="8.140625" style="356" bestFit="1" customWidth="1"/>
    <col min="12612" max="12612" width="7.42578125" style="356" bestFit="1" customWidth="1"/>
    <col min="12613" max="12613" width="9" style="356" bestFit="1" customWidth="1"/>
    <col min="12614" max="12626" width="7.7109375" style="356" customWidth="1"/>
    <col min="12627" max="12800" width="9.140625" style="356"/>
    <col min="12801" max="12801" width="38.42578125" style="356" customWidth="1"/>
    <col min="12802" max="12802" width="12.85546875" style="356" customWidth="1"/>
    <col min="12803" max="12858" width="7.7109375" style="356" customWidth="1"/>
    <col min="12859" max="12859" width="13" style="356" customWidth="1"/>
    <col min="12860" max="12860" width="8.42578125" style="356" customWidth="1"/>
    <col min="12861" max="12861" width="8.140625" style="356" customWidth="1"/>
    <col min="12862" max="12867" width="8.140625" style="356" bestFit="1" customWidth="1"/>
    <col min="12868" max="12868" width="7.42578125" style="356" bestFit="1" customWidth="1"/>
    <col min="12869" max="12869" width="9" style="356" bestFit="1" customWidth="1"/>
    <col min="12870" max="12882" width="7.7109375" style="356" customWidth="1"/>
    <col min="12883" max="13056" width="9.140625" style="356"/>
    <col min="13057" max="13057" width="38.42578125" style="356" customWidth="1"/>
    <col min="13058" max="13058" width="12.85546875" style="356" customWidth="1"/>
    <col min="13059" max="13114" width="7.7109375" style="356" customWidth="1"/>
    <col min="13115" max="13115" width="13" style="356" customWidth="1"/>
    <col min="13116" max="13116" width="8.42578125" style="356" customWidth="1"/>
    <col min="13117" max="13117" width="8.140625" style="356" customWidth="1"/>
    <col min="13118" max="13123" width="8.140625" style="356" bestFit="1" customWidth="1"/>
    <col min="13124" max="13124" width="7.42578125" style="356" bestFit="1" customWidth="1"/>
    <col min="13125" max="13125" width="9" style="356" bestFit="1" customWidth="1"/>
    <col min="13126" max="13138" width="7.7109375" style="356" customWidth="1"/>
    <col min="13139" max="13312" width="9.140625" style="356"/>
    <col min="13313" max="13313" width="38.42578125" style="356" customWidth="1"/>
    <col min="13314" max="13314" width="12.85546875" style="356" customWidth="1"/>
    <col min="13315" max="13370" width="7.7109375" style="356" customWidth="1"/>
    <col min="13371" max="13371" width="13" style="356" customWidth="1"/>
    <col min="13372" max="13372" width="8.42578125" style="356" customWidth="1"/>
    <col min="13373" max="13373" width="8.140625" style="356" customWidth="1"/>
    <col min="13374" max="13379" width="8.140625" style="356" bestFit="1" customWidth="1"/>
    <col min="13380" max="13380" width="7.42578125" style="356" bestFit="1" customWidth="1"/>
    <col min="13381" max="13381" width="9" style="356" bestFit="1" customWidth="1"/>
    <col min="13382" max="13394" width="7.7109375" style="356" customWidth="1"/>
    <col min="13395" max="13568" width="9.140625" style="356"/>
    <col min="13569" max="13569" width="38.42578125" style="356" customWidth="1"/>
    <col min="13570" max="13570" width="12.85546875" style="356" customWidth="1"/>
    <col min="13571" max="13626" width="7.7109375" style="356" customWidth="1"/>
    <col min="13627" max="13627" width="13" style="356" customWidth="1"/>
    <col min="13628" max="13628" width="8.42578125" style="356" customWidth="1"/>
    <col min="13629" max="13629" width="8.140625" style="356" customWidth="1"/>
    <col min="13630" max="13635" width="8.140625" style="356" bestFit="1" customWidth="1"/>
    <col min="13636" max="13636" width="7.42578125" style="356" bestFit="1" customWidth="1"/>
    <col min="13637" max="13637" width="9" style="356" bestFit="1" customWidth="1"/>
    <col min="13638" max="13650" width="7.7109375" style="356" customWidth="1"/>
    <col min="13651" max="13824" width="9.140625" style="356"/>
    <col min="13825" max="13825" width="38.42578125" style="356" customWidth="1"/>
    <col min="13826" max="13826" width="12.85546875" style="356" customWidth="1"/>
    <col min="13827" max="13882" width="7.7109375" style="356" customWidth="1"/>
    <col min="13883" max="13883" width="13" style="356" customWidth="1"/>
    <col min="13884" max="13884" width="8.42578125" style="356" customWidth="1"/>
    <col min="13885" max="13885" width="8.140625" style="356" customWidth="1"/>
    <col min="13886" max="13891" width="8.140625" style="356" bestFit="1" customWidth="1"/>
    <col min="13892" max="13892" width="7.42578125" style="356" bestFit="1" customWidth="1"/>
    <col min="13893" max="13893" width="9" style="356" bestFit="1" customWidth="1"/>
    <col min="13894" max="13906" width="7.7109375" style="356" customWidth="1"/>
    <col min="13907" max="14080" width="9.140625" style="356"/>
    <col min="14081" max="14081" width="38.42578125" style="356" customWidth="1"/>
    <col min="14082" max="14082" width="12.85546875" style="356" customWidth="1"/>
    <col min="14083" max="14138" width="7.7109375" style="356" customWidth="1"/>
    <col min="14139" max="14139" width="13" style="356" customWidth="1"/>
    <col min="14140" max="14140" width="8.42578125" style="356" customWidth="1"/>
    <col min="14141" max="14141" width="8.140625" style="356" customWidth="1"/>
    <col min="14142" max="14147" width="8.140625" style="356" bestFit="1" customWidth="1"/>
    <col min="14148" max="14148" width="7.42578125" style="356" bestFit="1" customWidth="1"/>
    <col min="14149" max="14149" width="9" style="356" bestFit="1" customWidth="1"/>
    <col min="14150" max="14162" width="7.7109375" style="356" customWidth="1"/>
    <col min="14163" max="14336" width="9.140625" style="356"/>
    <col min="14337" max="14337" width="38.42578125" style="356" customWidth="1"/>
    <col min="14338" max="14338" width="12.85546875" style="356" customWidth="1"/>
    <col min="14339" max="14394" width="7.7109375" style="356" customWidth="1"/>
    <col min="14395" max="14395" width="13" style="356" customWidth="1"/>
    <col min="14396" max="14396" width="8.42578125" style="356" customWidth="1"/>
    <col min="14397" max="14397" width="8.140625" style="356" customWidth="1"/>
    <col min="14398" max="14403" width="8.140625" style="356" bestFit="1" customWidth="1"/>
    <col min="14404" max="14404" width="7.42578125" style="356" bestFit="1" customWidth="1"/>
    <col min="14405" max="14405" width="9" style="356" bestFit="1" customWidth="1"/>
    <col min="14406" max="14418" width="7.7109375" style="356" customWidth="1"/>
    <col min="14419" max="14592" width="9.140625" style="356"/>
    <col min="14593" max="14593" width="38.42578125" style="356" customWidth="1"/>
    <col min="14594" max="14594" width="12.85546875" style="356" customWidth="1"/>
    <col min="14595" max="14650" width="7.7109375" style="356" customWidth="1"/>
    <col min="14651" max="14651" width="13" style="356" customWidth="1"/>
    <col min="14652" max="14652" width="8.42578125" style="356" customWidth="1"/>
    <col min="14653" max="14653" width="8.140625" style="356" customWidth="1"/>
    <col min="14654" max="14659" width="8.140625" style="356" bestFit="1" customWidth="1"/>
    <col min="14660" max="14660" width="7.42578125" style="356" bestFit="1" customWidth="1"/>
    <col min="14661" max="14661" width="9" style="356" bestFit="1" customWidth="1"/>
    <col min="14662" max="14674" width="7.7109375" style="356" customWidth="1"/>
    <col min="14675" max="14848" width="9.140625" style="356"/>
    <col min="14849" max="14849" width="38.42578125" style="356" customWidth="1"/>
    <col min="14850" max="14850" width="12.85546875" style="356" customWidth="1"/>
    <col min="14851" max="14906" width="7.7109375" style="356" customWidth="1"/>
    <col min="14907" max="14907" width="13" style="356" customWidth="1"/>
    <col min="14908" max="14908" width="8.42578125" style="356" customWidth="1"/>
    <col min="14909" max="14909" width="8.140625" style="356" customWidth="1"/>
    <col min="14910" max="14915" width="8.140625" style="356" bestFit="1" customWidth="1"/>
    <col min="14916" max="14916" width="7.42578125" style="356" bestFit="1" customWidth="1"/>
    <col min="14917" max="14917" width="9" style="356" bestFit="1" customWidth="1"/>
    <col min="14918" max="14930" width="7.7109375" style="356" customWidth="1"/>
    <col min="14931" max="15104" width="9.140625" style="356"/>
    <col min="15105" max="15105" width="38.42578125" style="356" customWidth="1"/>
    <col min="15106" max="15106" width="12.85546875" style="356" customWidth="1"/>
    <col min="15107" max="15162" width="7.7109375" style="356" customWidth="1"/>
    <col min="15163" max="15163" width="13" style="356" customWidth="1"/>
    <col min="15164" max="15164" width="8.42578125" style="356" customWidth="1"/>
    <col min="15165" max="15165" width="8.140625" style="356" customWidth="1"/>
    <col min="15166" max="15171" width="8.140625" style="356" bestFit="1" customWidth="1"/>
    <col min="15172" max="15172" width="7.42578125" style="356" bestFit="1" customWidth="1"/>
    <col min="15173" max="15173" width="9" style="356" bestFit="1" customWidth="1"/>
    <col min="15174" max="15186" width="7.7109375" style="356" customWidth="1"/>
    <col min="15187" max="15360" width="9.140625" style="356"/>
    <col min="15361" max="15361" width="38.42578125" style="356" customWidth="1"/>
    <col min="15362" max="15362" width="12.85546875" style="356" customWidth="1"/>
    <col min="15363" max="15418" width="7.7109375" style="356" customWidth="1"/>
    <col min="15419" max="15419" width="13" style="356" customWidth="1"/>
    <col min="15420" max="15420" width="8.42578125" style="356" customWidth="1"/>
    <col min="15421" max="15421" width="8.140625" style="356" customWidth="1"/>
    <col min="15422" max="15427" width="8.140625" style="356" bestFit="1" customWidth="1"/>
    <col min="15428" max="15428" width="7.42578125" style="356" bestFit="1" customWidth="1"/>
    <col min="15429" max="15429" width="9" style="356" bestFit="1" customWidth="1"/>
    <col min="15430" max="15442" width="7.7109375" style="356" customWidth="1"/>
    <col min="15443" max="15616" width="9.140625" style="356"/>
    <col min="15617" max="15617" width="38.42578125" style="356" customWidth="1"/>
    <col min="15618" max="15618" width="12.85546875" style="356" customWidth="1"/>
    <col min="15619" max="15674" width="7.7109375" style="356" customWidth="1"/>
    <col min="15675" max="15675" width="13" style="356" customWidth="1"/>
    <col min="15676" max="15676" width="8.42578125" style="356" customWidth="1"/>
    <col min="15677" max="15677" width="8.140625" style="356" customWidth="1"/>
    <col min="15678" max="15683" width="8.140625" style="356" bestFit="1" customWidth="1"/>
    <col min="15684" max="15684" width="7.42578125" style="356" bestFit="1" customWidth="1"/>
    <col min="15685" max="15685" width="9" style="356" bestFit="1" customWidth="1"/>
    <col min="15686" max="15698" width="7.7109375" style="356" customWidth="1"/>
    <col min="15699" max="15872" width="9.140625" style="356"/>
    <col min="15873" max="15873" width="38.42578125" style="356" customWidth="1"/>
    <col min="15874" max="15874" width="12.85546875" style="356" customWidth="1"/>
    <col min="15875" max="15930" width="7.7109375" style="356" customWidth="1"/>
    <col min="15931" max="15931" width="13" style="356" customWidth="1"/>
    <col min="15932" max="15932" width="8.42578125" style="356" customWidth="1"/>
    <col min="15933" max="15933" width="8.140625" style="356" customWidth="1"/>
    <col min="15934" max="15939" width="8.140625" style="356" bestFit="1" customWidth="1"/>
    <col min="15940" max="15940" width="7.42578125" style="356" bestFit="1" customWidth="1"/>
    <col min="15941" max="15941" width="9" style="356" bestFit="1" customWidth="1"/>
    <col min="15942" max="15954" width="7.7109375" style="356" customWidth="1"/>
    <col min="15955" max="16128" width="9.140625" style="356"/>
    <col min="16129" max="16129" width="38.42578125" style="356" customWidth="1"/>
    <col min="16130" max="16130" width="12.85546875" style="356" customWidth="1"/>
    <col min="16131" max="16186" width="7.7109375" style="356" customWidth="1"/>
    <col min="16187" max="16187" width="13" style="356" customWidth="1"/>
    <col min="16188" max="16188" width="8.42578125" style="356" customWidth="1"/>
    <col min="16189" max="16189" width="8.140625" style="356" customWidth="1"/>
    <col min="16190" max="16195" width="8.140625" style="356" bestFit="1" customWidth="1"/>
    <col min="16196" max="16196" width="7.42578125" style="356" bestFit="1" customWidth="1"/>
    <col min="16197" max="16197" width="9" style="356" bestFit="1" customWidth="1"/>
    <col min="16198" max="16210" width="7.7109375" style="356" customWidth="1"/>
    <col min="16211" max="16384" width="9.140625" style="356"/>
  </cols>
  <sheetData>
    <row r="1" spans="1:83" ht="18">
      <c r="A1" s="354" t="s">
        <v>137</v>
      </c>
      <c r="B1" s="355"/>
    </row>
    <row r="2" spans="1:83" ht="15.75">
      <c r="A2" s="357" t="s">
        <v>349</v>
      </c>
      <c r="B2" s="358"/>
    </row>
    <row r="3" spans="1:83" ht="15.75" thickBot="1">
      <c r="A3" s="359" t="s">
        <v>138</v>
      </c>
      <c r="B3" s="360"/>
    </row>
    <row r="6" spans="1:83">
      <c r="BI6" s="362" t="s">
        <v>142</v>
      </c>
      <c r="BJ6" s="362" t="s">
        <v>142</v>
      </c>
      <c r="BK6" s="362" t="s">
        <v>142</v>
      </c>
      <c r="BL6" s="362" t="s">
        <v>142</v>
      </c>
      <c r="BM6" s="363" t="s">
        <v>143</v>
      </c>
      <c r="BN6" s="363" t="s">
        <v>143</v>
      </c>
      <c r="BO6" s="363" t="s">
        <v>143</v>
      </c>
      <c r="BP6" s="363" t="s">
        <v>143</v>
      </c>
      <c r="BQ6" s="364" t="s">
        <v>144</v>
      </c>
      <c r="BR6" s="364" t="s">
        <v>144</v>
      </c>
      <c r="BS6" s="364" t="s">
        <v>144</v>
      </c>
      <c r="BT6" s="364" t="s">
        <v>144</v>
      </c>
      <c r="BU6" s="365" t="s">
        <v>350</v>
      </c>
      <c r="BV6" s="365" t="s">
        <v>350</v>
      </c>
      <c r="BW6" s="365" t="s">
        <v>350</v>
      </c>
      <c r="BX6" s="365" t="s">
        <v>350</v>
      </c>
      <c r="BY6" s="366" t="s">
        <v>351</v>
      </c>
      <c r="BZ6" s="366" t="s">
        <v>351</v>
      </c>
      <c r="CA6" s="366" t="s">
        <v>351</v>
      </c>
      <c r="CB6" s="366" t="s">
        <v>351</v>
      </c>
    </row>
    <row r="7" spans="1:83" s="361" customFormat="1">
      <c r="B7" s="361" t="s">
        <v>145</v>
      </c>
      <c r="C7" s="367" t="s">
        <v>146</v>
      </c>
      <c r="D7" s="367" t="s">
        <v>147</v>
      </c>
      <c r="E7" s="367" t="s">
        <v>148</v>
      </c>
      <c r="F7" s="367" t="s">
        <v>149</v>
      </c>
      <c r="G7" s="367" t="s">
        <v>150</v>
      </c>
      <c r="H7" s="367" t="s">
        <v>151</v>
      </c>
      <c r="I7" s="367" t="s">
        <v>152</v>
      </c>
      <c r="J7" s="367" t="s">
        <v>153</v>
      </c>
      <c r="K7" s="367" t="s">
        <v>154</v>
      </c>
      <c r="L7" s="367" t="s">
        <v>155</v>
      </c>
      <c r="M7" s="367" t="s">
        <v>156</v>
      </c>
      <c r="N7" s="367" t="s">
        <v>157</v>
      </c>
      <c r="O7" s="367" t="s">
        <v>158</v>
      </c>
      <c r="P7" s="367" t="s">
        <v>159</v>
      </c>
      <c r="Q7" s="367" t="s">
        <v>160</v>
      </c>
      <c r="R7" s="367" t="s">
        <v>161</v>
      </c>
      <c r="S7" s="367" t="s">
        <v>162</v>
      </c>
      <c r="T7" s="367" t="s">
        <v>163</v>
      </c>
      <c r="U7" s="367" t="s">
        <v>164</v>
      </c>
      <c r="V7" s="367" t="s">
        <v>165</v>
      </c>
      <c r="W7" s="367" t="s">
        <v>166</v>
      </c>
      <c r="X7" s="367" t="s">
        <v>167</v>
      </c>
      <c r="Y7" s="367" t="s">
        <v>168</v>
      </c>
      <c r="Z7" s="367" t="s">
        <v>169</v>
      </c>
      <c r="AA7" s="367" t="s">
        <v>170</v>
      </c>
      <c r="AB7" s="367" t="s">
        <v>171</v>
      </c>
      <c r="AC7" s="367" t="s">
        <v>172</v>
      </c>
      <c r="AD7" s="367" t="s">
        <v>173</v>
      </c>
      <c r="AE7" s="367" t="s">
        <v>174</v>
      </c>
      <c r="AF7" s="367" t="s">
        <v>175</v>
      </c>
      <c r="AG7" s="367" t="s">
        <v>176</v>
      </c>
      <c r="AH7" s="367" t="s">
        <v>177</v>
      </c>
      <c r="AI7" s="367" t="s">
        <v>178</v>
      </c>
      <c r="AJ7" s="367" t="s">
        <v>179</v>
      </c>
      <c r="AK7" s="367" t="s">
        <v>180</v>
      </c>
      <c r="AL7" s="367" t="s">
        <v>181</v>
      </c>
      <c r="AM7" s="367" t="s">
        <v>182</v>
      </c>
      <c r="AN7" s="367" t="s">
        <v>183</v>
      </c>
      <c r="AO7" s="367" t="s">
        <v>184</v>
      </c>
      <c r="AP7" s="367" t="s">
        <v>185</v>
      </c>
      <c r="AQ7" s="367" t="s">
        <v>186</v>
      </c>
      <c r="AR7" s="367" t="s">
        <v>187</v>
      </c>
      <c r="AS7" s="367" t="s">
        <v>188</v>
      </c>
      <c r="AT7" s="367" t="s">
        <v>189</v>
      </c>
      <c r="AU7" s="361" t="s">
        <v>190</v>
      </c>
      <c r="AV7" s="361" t="s">
        <v>191</v>
      </c>
      <c r="AW7" s="361" t="s">
        <v>192</v>
      </c>
      <c r="AX7" s="361" t="s">
        <v>193</v>
      </c>
      <c r="AY7" s="361" t="s">
        <v>194</v>
      </c>
      <c r="AZ7" s="361" t="s">
        <v>195</v>
      </c>
      <c r="BA7" s="361" t="s">
        <v>196</v>
      </c>
      <c r="BB7" s="361" t="s">
        <v>197</v>
      </c>
      <c r="BC7" s="361" t="s">
        <v>198</v>
      </c>
      <c r="BD7" s="361" t="s">
        <v>199</v>
      </c>
      <c r="BE7" s="361" t="s">
        <v>200</v>
      </c>
      <c r="BF7" s="361" t="s">
        <v>201</v>
      </c>
      <c r="BG7" s="361" t="s">
        <v>202</v>
      </c>
      <c r="BH7" s="361" t="s">
        <v>203</v>
      </c>
      <c r="BI7" s="361" t="s">
        <v>204</v>
      </c>
      <c r="BJ7" s="361" t="s">
        <v>205</v>
      </c>
      <c r="BK7" s="361" t="s">
        <v>206</v>
      </c>
      <c r="BL7" s="361" t="s">
        <v>207</v>
      </c>
      <c r="BM7" s="361" t="s">
        <v>208</v>
      </c>
      <c r="BN7" s="361" t="s">
        <v>209</v>
      </c>
      <c r="BO7" s="361" t="s">
        <v>210</v>
      </c>
      <c r="BP7" s="361" t="s">
        <v>211</v>
      </c>
      <c r="BQ7" s="361" t="s">
        <v>212</v>
      </c>
      <c r="BR7" s="361" t="s">
        <v>213</v>
      </c>
      <c r="BS7" s="361" t="s">
        <v>214</v>
      </c>
      <c r="BT7" s="361" t="s">
        <v>215</v>
      </c>
      <c r="BU7" s="361" t="s">
        <v>216</v>
      </c>
      <c r="BV7" s="361" t="s">
        <v>217</v>
      </c>
      <c r="BW7" s="361" t="s">
        <v>352</v>
      </c>
      <c r="BX7" s="361" t="s">
        <v>353</v>
      </c>
      <c r="BY7" s="361" t="s">
        <v>354</v>
      </c>
      <c r="BZ7" s="361" t="s">
        <v>355</v>
      </c>
      <c r="CA7" s="361" t="s">
        <v>356</v>
      </c>
      <c r="CB7" s="361" t="s">
        <v>357</v>
      </c>
      <c r="CC7" s="361" t="s">
        <v>358</v>
      </c>
      <c r="CD7" s="361" t="s">
        <v>359</v>
      </c>
      <c r="CE7" s="361" t="s">
        <v>218</v>
      </c>
    </row>
    <row r="8" spans="1:83">
      <c r="A8" s="361" t="s">
        <v>219</v>
      </c>
      <c r="B8" s="361" t="s">
        <v>220</v>
      </c>
      <c r="C8" s="368">
        <v>2.0339999999999998</v>
      </c>
      <c r="D8" s="368">
        <v>2.0590000000000002</v>
      </c>
      <c r="E8" s="368">
        <v>2.0640000000000001</v>
      </c>
      <c r="F8" s="368">
        <v>2.0870000000000002</v>
      </c>
      <c r="G8" s="368">
        <v>2.1040000000000001</v>
      </c>
      <c r="H8" s="368">
        <v>2.1150000000000002</v>
      </c>
      <c r="I8" s="368">
        <v>2.15</v>
      </c>
      <c r="J8" s="368">
        <v>2.169</v>
      </c>
      <c r="K8" s="368">
        <v>2.1880000000000002</v>
      </c>
      <c r="L8" s="368">
        <v>2.2130000000000001</v>
      </c>
      <c r="M8" s="368">
        <v>2.234</v>
      </c>
      <c r="N8" s="368">
        <v>2.2200000000000002</v>
      </c>
      <c r="O8" s="368">
        <v>2.234</v>
      </c>
      <c r="P8" s="368">
        <v>2.2589999999999999</v>
      </c>
      <c r="Q8" s="368">
        <v>2.2749999999999999</v>
      </c>
      <c r="R8" s="368">
        <v>2.3010000000000002</v>
      </c>
      <c r="S8" s="368">
        <v>2.3220000000000001</v>
      </c>
      <c r="T8" s="368">
        <v>2.363</v>
      </c>
      <c r="U8" s="368">
        <v>2.4039999999999999</v>
      </c>
      <c r="V8" s="368">
        <v>2.35</v>
      </c>
      <c r="W8" s="368">
        <v>2.3420000000000001</v>
      </c>
      <c r="X8" s="368">
        <v>2.347</v>
      </c>
      <c r="Y8" s="368">
        <v>2.367</v>
      </c>
      <c r="Z8" s="368">
        <v>2.38</v>
      </c>
      <c r="AA8" s="368">
        <v>2.3809999999999998</v>
      </c>
      <c r="AB8" s="368">
        <v>2.3839999999999999</v>
      </c>
      <c r="AC8" s="368">
        <v>2.3980000000000001</v>
      </c>
      <c r="AD8" s="368">
        <v>2.42</v>
      </c>
      <c r="AE8" s="368">
        <v>2.4340000000000002</v>
      </c>
      <c r="AF8" s="368">
        <v>2.4769999999999999</v>
      </c>
      <c r="AG8" s="368">
        <v>2.488</v>
      </c>
      <c r="AH8" s="368">
        <v>2.4950000000000001</v>
      </c>
      <c r="AI8" s="368">
        <v>2.5150000000000001</v>
      </c>
      <c r="AJ8" s="368">
        <v>2.5190000000000001</v>
      </c>
      <c r="AK8" s="368">
        <v>2.5289999999999999</v>
      </c>
      <c r="AL8" s="368">
        <v>2.5470000000000002</v>
      </c>
      <c r="AM8" s="368">
        <v>2.5569999999999999</v>
      </c>
      <c r="AN8" s="368">
        <v>2.5539999999999998</v>
      </c>
      <c r="AO8" s="368">
        <v>2.573</v>
      </c>
      <c r="AP8" s="368">
        <v>2.5870000000000002</v>
      </c>
      <c r="AQ8" s="368">
        <v>2.5979999999999999</v>
      </c>
      <c r="AR8" s="368">
        <v>2.6080000000000001</v>
      </c>
      <c r="AS8" s="368">
        <v>2.6139999999999999</v>
      </c>
      <c r="AT8" s="368">
        <v>2.6139999999999999</v>
      </c>
      <c r="AU8" s="356">
        <v>2.613</v>
      </c>
      <c r="AV8" s="356">
        <v>2.6230000000000002</v>
      </c>
      <c r="AW8" s="356">
        <v>2.6190000000000002</v>
      </c>
      <c r="AX8" s="356">
        <v>2.6240000000000001</v>
      </c>
      <c r="AY8" s="356">
        <v>2.6240000000000001</v>
      </c>
      <c r="AZ8" s="356">
        <v>2.6429999999999998</v>
      </c>
      <c r="BA8" s="356">
        <v>2.6640000000000001</v>
      </c>
      <c r="BB8" s="356">
        <v>2.6739999999999999</v>
      </c>
      <c r="BC8" s="356">
        <v>2.6949999999999998</v>
      </c>
      <c r="BD8" s="356">
        <v>2.694</v>
      </c>
      <c r="BE8" s="356">
        <v>2.706</v>
      </c>
      <c r="BF8" s="356">
        <v>2.714</v>
      </c>
      <c r="BG8" s="356">
        <v>2.746</v>
      </c>
      <c r="BH8" s="356">
        <v>2.7650000000000001</v>
      </c>
      <c r="BI8" s="356">
        <v>2.78</v>
      </c>
      <c r="BJ8" s="356">
        <v>2.8050000000000002</v>
      </c>
      <c r="BK8" s="356">
        <v>2.8250000000000002</v>
      </c>
      <c r="BL8" s="356">
        <v>2.8380000000000001</v>
      </c>
      <c r="BM8" s="356">
        <v>2.8479999999999999</v>
      </c>
      <c r="BN8" s="356">
        <v>2.8690000000000002</v>
      </c>
      <c r="BO8" s="356">
        <v>2.895</v>
      </c>
      <c r="BP8" s="356">
        <v>2.91</v>
      </c>
      <c r="BQ8" s="356">
        <v>2.9239999999999999</v>
      </c>
      <c r="BR8" s="356">
        <v>2.94</v>
      </c>
      <c r="BS8" s="356">
        <v>2.96</v>
      </c>
      <c r="BT8" s="356">
        <v>2.9790000000000001</v>
      </c>
      <c r="BU8" s="356">
        <v>2.9990000000000001</v>
      </c>
      <c r="BV8" s="356">
        <v>3.0169999999999999</v>
      </c>
      <c r="BW8" s="356">
        <v>3.0339999999999998</v>
      </c>
      <c r="BX8" s="356">
        <v>3.0510000000000002</v>
      </c>
      <c r="BY8" s="356">
        <v>3.07</v>
      </c>
      <c r="BZ8" s="356">
        <v>3.0880000000000001</v>
      </c>
      <c r="CA8" s="356">
        <v>3.1059999999999999</v>
      </c>
      <c r="CB8" s="356">
        <v>3.1219999999999999</v>
      </c>
      <c r="CC8" s="356">
        <v>3.14</v>
      </c>
      <c r="CD8" s="356">
        <v>3.1579999999999999</v>
      </c>
    </row>
    <row r="9" spans="1:83">
      <c r="A9" s="361" t="s">
        <v>221</v>
      </c>
      <c r="B9" s="361" t="s">
        <v>222</v>
      </c>
      <c r="C9" s="368">
        <v>2.0339999999999998</v>
      </c>
      <c r="D9" s="368">
        <v>2.0590000000000002</v>
      </c>
      <c r="E9" s="368">
        <v>2.0640000000000001</v>
      </c>
      <c r="F9" s="368">
        <v>2.0870000000000002</v>
      </c>
      <c r="G9" s="368">
        <v>2.1040000000000001</v>
      </c>
      <c r="H9" s="368">
        <v>2.1150000000000002</v>
      </c>
      <c r="I9" s="368">
        <v>2.15</v>
      </c>
      <c r="J9" s="368">
        <v>2.169</v>
      </c>
      <c r="K9" s="368">
        <v>2.1880000000000002</v>
      </c>
      <c r="L9" s="368">
        <v>2.2130000000000001</v>
      </c>
      <c r="M9" s="368">
        <v>2.234</v>
      </c>
      <c r="N9" s="368">
        <v>2.2200000000000002</v>
      </c>
      <c r="O9" s="368">
        <v>2.234</v>
      </c>
      <c r="P9" s="368">
        <v>2.2589999999999999</v>
      </c>
      <c r="Q9" s="368">
        <v>2.2749999999999999</v>
      </c>
      <c r="R9" s="368">
        <v>2.3010000000000002</v>
      </c>
      <c r="S9" s="368">
        <v>2.3220000000000001</v>
      </c>
      <c r="T9" s="368">
        <v>2.363</v>
      </c>
      <c r="U9" s="368">
        <v>2.4039999999999999</v>
      </c>
      <c r="V9" s="368">
        <v>2.35</v>
      </c>
      <c r="W9" s="368">
        <v>2.3420000000000001</v>
      </c>
      <c r="X9" s="368">
        <v>2.347</v>
      </c>
      <c r="Y9" s="368">
        <v>2.367</v>
      </c>
      <c r="Z9" s="368">
        <v>2.38</v>
      </c>
      <c r="AA9" s="368">
        <v>2.3809999999999998</v>
      </c>
      <c r="AB9" s="368">
        <v>2.3839999999999999</v>
      </c>
      <c r="AC9" s="368">
        <v>2.3980000000000001</v>
      </c>
      <c r="AD9" s="368">
        <v>2.42</v>
      </c>
      <c r="AE9" s="368">
        <v>2.4340000000000002</v>
      </c>
      <c r="AF9" s="368">
        <v>2.4769999999999999</v>
      </c>
      <c r="AG9" s="368">
        <v>2.488</v>
      </c>
      <c r="AH9" s="368">
        <v>2.4950000000000001</v>
      </c>
      <c r="AI9" s="368">
        <v>2.5150000000000001</v>
      </c>
      <c r="AJ9" s="368">
        <v>2.5190000000000001</v>
      </c>
      <c r="AK9" s="368">
        <v>2.5289999999999999</v>
      </c>
      <c r="AL9" s="368">
        <v>2.5470000000000002</v>
      </c>
      <c r="AM9" s="368">
        <v>2.5569999999999999</v>
      </c>
      <c r="AN9" s="368">
        <v>2.5539999999999998</v>
      </c>
      <c r="AO9" s="368">
        <v>2.573</v>
      </c>
      <c r="AP9" s="368">
        <v>2.5870000000000002</v>
      </c>
      <c r="AQ9" s="368">
        <v>2.5979999999999999</v>
      </c>
      <c r="AR9" s="368">
        <v>2.6080000000000001</v>
      </c>
      <c r="AS9" s="368">
        <v>2.6139999999999999</v>
      </c>
      <c r="AT9" s="368">
        <v>2.6139999999999999</v>
      </c>
      <c r="AU9" s="356">
        <v>2.613</v>
      </c>
      <c r="AV9" s="356">
        <v>2.6230000000000002</v>
      </c>
      <c r="AW9" s="356">
        <v>2.6190000000000002</v>
      </c>
      <c r="AX9" s="356">
        <v>2.6240000000000001</v>
      </c>
      <c r="AY9" s="356">
        <v>2.6240000000000001</v>
      </c>
      <c r="AZ9" s="356">
        <v>2.6429999999999998</v>
      </c>
      <c r="BA9" s="356">
        <v>2.6640000000000001</v>
      </c>
      <c r="BB9" s="356">
        <v>2.6739999999999999</v>
      </c>
      <c r="BC9" s="356">
        <v>2.6949999999999998</v>
      </c>
      <c r="BD9" s="356">
        <v>2.694</v>
      </c>
      <c r="BE9" s="356">
        <v>2.706</v>
      </c>
      <c r="BF9" s="356">
        <v>2.714</v>
      </c>
      <c r="BG9" s="356">
        <v>2.746</v>
      </c>
      <c r="BH9" s="356">
        <v>2.7650000000000001</v>
      </c>
      <c r="BI9" s="356">
        <v>2.78</v>
      </c>
      <c r="BJ9" s="356">
        <v>2.8010000000000002</v>
      </c>
      <c r="BK9" s="356">
        <v>2.8170000000000002</v>
      </c>
      <c r="BL9" s="356">
        <v>2.8260000000000001</v>
      </c>
      <c r="BM9" s="356">
        <v>2.8330000000000002</v>
      </c>
      <c r="BN9" s="356">
        <v>2.8519999999999999</v>
      </c>
      <c r="BO9" s="356">
        <v>2.8759999999999999</v>
      </c>
      <c r="BP9" s="356">
        <v>2.8879999999999999</v>
      </c>
      <c r="BQ9" s="356">
        <v>2.9</v>
      </c>
      <c r="BR9" s="356">
        <v>2.9129999999999998</v>
      </c>
      <c r="BS9" s="356">
        <v>2.931</v>
      </c>
      <c r="BT9" s="356">
        <v>2.9470000000000001</v>
      </c>
      <c r="BU9" s="356">
        <v>2.9630000000000001</v>
      </c>
      <c r="BV9" s="356">
        <v>2.9769999999999999</v>
      </c>
      <c r="BW9" s="356">
        <v>2.99</v>
      </c>
      <c r="BX9" s="356">
        <v>3.004</v>
      </c>
      <c r="BY9" s="356">
        <v>3.0190000000000001</v>
      </c>
      <c r="BZ9" s="356">
        <v>3.0339999999999998</v>
      </c>
      <c r="CA9" s="356">
        <v>3.0489999999999999</v>
      </c>
      <c r="CB9" s="356">
        <v>3.0619999999999998</v>
      </c>
      <c r="CC9" s="356">
        <v>3.0790000000000002</v>
      </c>
      <c r="CD9" s="356">
        <v>3.0950000000000002</v>
      </c>
    </row>
    <row r="10" spans="1:83">
      <c r="A10" s="361" t="s">
        <v>223</v>
      </c>
      <c r="B10" s="361" t="s">
        <v>224</v>
      </c>
      <c r="C10" s="368">
        <v>2.0339999999999998</v>
      </c>
      <c r="D10" s="368">
        <v>2.0590000000000002</v>
      </c>
      <c r="E10" s="368">
        <v>2.0640000000000001</v>
      </c>
      <c r="F10" s="368">
        <v>2.0870000000000002</v>
      </c>
      <c r="G10" s="368">
        <v>2.1040000000000001</v>
      </c>
      <c r="H10" s="368">
        <v>2.1150000000000002</v>
      </c>
      <c r="I10" s="368">
        <v>2.15</v>
      </c>
      <c r="J10" s="368">
        <v>2.169</v>
      </c>
      <c r="K10" s="368">
        <v>2.1880000000000002</v>
      </c>
      <c r="L10" s="368">
        <v>2.2130000000000001</v>
      </c>
      <c r="M10" s="368">
        <v>2.234</v>
      </c>
      <c r="N10" s="368">
        <v>2.2200000000000002</v>
      </c>
      <c r="O10" s="368">
        <v>2.234</v>
      </c>
      <c r="P10" s="368">
        <v>2.2589999999999999</v>
      </c>
      <c r="Q10" s="368">
        <v>2.2749999999999999</v>
      </c>
      <c r="R10" s="368">
        <v>2.3010000000000002</v>
      </c>
      <c r="S10" s="368">
        <v>2.3220000000000001</v>
      </c>
      <c r="T10" s="368">
        <v>2.363</v>
      </c>
      <c r="U10" s="368">
        <v>2.4039999999999999</v>
      </c>
      <c r="V10" s="368">
        <v>2.35</v>
      </c>
      <c r="W10" s="368">
        <v>2.3420000000000001</v>
      </c>
      <c r="X10" s="368">
        <v>2.347</v>
      </c>
      <c r="Y10" s="368">
        <v>2.367</v>
      </c>
      <c r="Z10" s="368">
        <v>2.38</v>
      </c>
      <c r="AA10" s="368">
        <v>2.3809999999999998</v>
      </c>
      <c r="AB10" s="368">
        <v>2.3839999999999999</v>
      </c>
      <c r="AC10" s="368">
        <v>2.3980000000000001</v>
      </c>
      <c r="AD10" s="368">
        <v>2.42</v>
      </c>
      <c r="AE10" s="368">
        <v>2.4340000000000002</v>
      </c>
      <c r="AF10" s="368">
        <v>2.4769999999999999</v>
      </c>
      <c r="AG10" s="368">
        <v>2.488</v>
      </c>
      <c r="AH10" s="368">
        <v>2.4950000000000001</v>
      </c>
      <c r="AI10" s="368">
        <v>2.5150000000000001</v>
      </c>
      <c r="AJ10" s="368">
        <v>2.5190000000000001</v>
      </c>
      <c r="AK10" s="368">
        <v>2.5289999999999999</v>
      </c>
      <c r="AL10" s="368">
        <v>2.5470000000000002</v>
      </c>
      <c r="AM10" s="368">
        <v>2.5569999999999999</v>
      </c>
      <c r="AN10" s="368">
        <v>2.5539999999999998</v>
      </c>
      <c r="AO10" s="368">
        <v>2.573</v>
      </c>
      <c r="AP10" s="368">
        <v>2.5870000000000002</v>
      </c>
      <c r="AQ10" s="368">
        <v>2.5979999999999999</v>
      </c>
      <c r="AR10" s="368">
        <v>2.6080000000000001</v>
      </c>
      <c r="AS10" s="368">
        <v>2.6139999999999999</v>
      </c>
      <c r="AT10" s="368">
        <v>2.6139999999999999</v>
      </c>
      <c r="AU10" s="356">
        <v>2.613</v>
      </c>
      <c r="AV10" s="356">
        <v>2.6230000000000002</v>
      </c>
      <c r="AW10" s="356">
        <v>2.6190000000000002</v>
      </c>
      <c r="AX10" s="356">
        <v>2.6240000000000001</v>
      </c>
      <c r="AY10" s="356">
        <v>2.6240000000000001</v>
      </c>
      <c r="AZ10" s="356">
        <v>2.6429999999999998</v>
      </c>
      <c r="BA10" s="356">
        <v>2.6640000000000001</v>
      </c>
      <c r="BB10" s="356">
        <v>2.6739999999999999</v>
      </c>
      <c r="BC10" s="356">
        <v>2.6949999999999998</v>
      </c>
      <c r="BD10" s="356">
        <v>2.694</v>
      </c>
      <c r="BE10" s="356">
        <v>2.706</v>
      </c>
      <c r="BF10" s="356">
        <v>2.714</v>
      </c>
      <c r="BG10" s="356">
        <v>2.746</v>
      </c>
      <c r="BH10" s="356">
        <v>2.7650000000000001</v>
      </c>
      <c r="BI10" s="356">
        <v>2.78</v>
      </c>
      <c r="BJ10" s="356">
        <v>2.806</v>
      </c>
      <c r="BK10" s="356">
        <v>2.827</v>
      </c>
      <c r="BL10" s="356">
        <v>2.8420000000000001</v>
      </c>
      <c r="BM10" s="356">
        <v>2.855</v>
      </c>
      <c r="BN10" s="356">
        <v>2.88</v>
      </c>
      <c r="BO10" s="356">
        <v>2.911</v>
      </c>
      <c r="BP10" s="356">
        <v>2.931</v>
      </c>
      <c r="BQ10" s="356">
        <v>2.95</v>
      </c>
      <c r="BR10" s="356">
        <v>2.972</v>
      </c>
      <c r="BS10" s="356">
        <v>2.9980000000000002</v>
      </c>
      <c r="BT10" s="356">
        <v>3.0230000000000001</v>
      </c>
      <c r="BU10" s="356">
        <v>3.0489999999999999</v>
      </c>
      <c r="BV10" s="356">
        <v>3.073</v>
      </c>
      <c r="BW10" s="356">
        <v>3.0979999999999999</v>
      </c>
      <c r="BX10" s="356">
        <v>3.1219999999999999</v>
      </c>
      <c r="BY10" s="356">
        <v>3.149</v>
      </c>
      <c r="BZ10" s="356">
        <v>3.1749999999999998</v>
      </c>
      <c r="CA10" s="356">
        <v>3.2010000000000001</v>
      </c>
      <c r="CB10" s="356">
        <v>3.2250000000000001</v>
      </c>
      <c r="CC10" s="356">
        <v>3.2519999999999998</v>
      </c>
      <c r="CD10" s="356">
        <v>3.278</v>
      </c>
    </row>
    <row r="15" spans="1:83">
      <c r="BF15" s="361"/>
    </row>
    <row r="16" spans="1:83">
      <c r="BF16" s="369" t="s">
        <v>225</v>
      </c>
      <c r="BG16" s="370"/>
      <c r="BH16" s="370"/>
      <c r="BI16" s="371" t="s">
        <v>635</v>
      </c>
      <c r="BJ16" s="372"/>
      <c r="BK16" s="372"/>
      <c r="BL16" s="372"/>
      <c r="BM16" s="372"/>
      <c r="BN16" s="372"/>
      <c r="BO16" s="370"/>
      <c r="BP16" s="370"/>
      <c r="BQ16" s="370"/>
    </row>
    <row r="17" spans="58:69">
      <c r="BF17" s="373"/>
      <c r="BG17" s="374"/>
      <c r="BH17" s="374"/>
      <c r="BI17" s="374"/>
      <c r="BJ17" s="374"/>
      <c r="BK17" s="374"/>
      <c r="BL17" s="374"/>
      <c r="BM17" s="374"/>
      <c r="BN17" s="374"/>
      <c r="BO17" s="374"/>
      <c r="BP17" s="374"/>
      <c r="BQ17" s="375"/>
    </row>
    <row r="18" spans="58:69">
      <c r="BF18" s="376"/>
      <c r="BG18" s="377" t="s">
        <v>227</v>
      </c>
      <c r="BH18" s="378" t="s">
        <v>636</v>
      </c>
      <c r="BI18" s="378"/>
      <c r="BJ18" s="378"/>
      <c r="BK18" s="378"/>
      <c r="BL18" s="378"/>
      <c r="BM18" s="378"/>
      <c r="BN18" s="378"/>
      <c r="BO18" s="378"/>
      <c r="BP18" s="378"/>
      <c r="BQ18" s="379"/>
    </row>
    <row r="19" spans="58:69">
      <c r="BF19" s="376"/>
      <c r="BG19" s="378"/>
      <c r="BH19" s="361" t="s">
        <v>209</v>
      </c>
      <c r="BI19" s="378"/>
      <c r="BJ19" s="378"/>
      <c r="BK19" s="378"/>
      <c r="BL19" s="378"/>
      <c r="BM19" s="378"/>
      <c r="BN19" s="378"/>
      <c r="BO19" s="378"/>
      <c r="BP19" s="378"/>
      <c r="BQ19" s="380" t="s">
        <v>229</v>
      </c>
    </row>
    <row r="20" spans="58:69">
      <c r="BF20" s="376"/>
      <c r="BG20" s="378"/>
      <c r="BH20" s="381">
        <f>BN9</f>
        <v>2.8519999999999999</v>
      </c>
      <c r="BI20" s="378"/>
      <c r="BJ20" s="378"/>
      <c r="BK20" s="378"/>
      <c r="BL20" s="378"/>
      <c r="BM20" s="378"/>
      <c r="BN20" s="378"/>
      <c r="BO20" s="378"/>
      <c r="BP20" s="378"/>
      <c r="BQ20" s="382">
        <f>BH20</f>
        <v>2.8519999999999999</v>
      </c>
    </row>
    <row r="21" spans="58:69">
      <c r="BF21" s="376"/>
      <c r="BG21" s="378"/>
      <c r="BH21" s="378"/>
      <c r="BI21" s="378"/>
      <c r="BJ21" s="378"/>
      <c r="BK21" s="378"/>
      <c r="BL21" s="378"/>
      <c r="BM21" s="378"/>
      <c r="BN21" s="378"/>
      <c r="BO21" s="378"/>
      <c r="BP21" s="378"/>
      <c r="BQ21" s="383"/>
    </row>
    <row r="22" spans="58:69">
      <c r="BF22" s="376"/>
      <c r="BG22" s="377" t="s">
        <v>230</v>
      </c>
      <c r="BH22" s="378" t="s">
        <v>364</v>
      </c>
      <c r="BI22" s="378"/>
      <c r="BJ22" s="378"/>
      <c r="BK22" s="378"/>
      <c r="BL22" s="378"/>
      <c r="BM22" s="378"/>
      <c r="BN22" s="378"/>
      <c r="BO22" s="378"/>
      <c r="BP22" s="378"/>
      <c r="BQ22" s="383"/>
    </row>
    <row r="23" spans="58:69">
      <c r="BF23" s="376"/>
      <c r="BG23" s="378"/>
      <c r="BH23" s="361" t="str">
        <f>BO7</f>
        <v>2020Q1</v>
      </c>
      <c r="BI23" s="361" t="str">
        <f t="shared" ref="BI23:BO23" si="0">BP7</f>
        <v>2020Q2</v>
      </c>
      <c r="BJ23" s="361" t="str">
        <f t="shared" si="0"/>
        <v>2020Q3</v>
      </c>
      <c r="BK23" s="361" t="str">
        <f t="shared" si="0"/>
        <v>2020Q4</v>
      </c>
      <c r="BL23" s="361" t="str">
        <f t="shared" si="0"/>
        <v>2021Q1</v>
      </c>
      <c r="BM23" s="361" t="str">
        <f t="shared" si="0"/>
        <v>2021Q2</v>
      </c>
      <c r="BN23" s="361" t="str">
        <f t="shared" si="0"/>
        <v>2021Q3</v>
      </c>
      <c r="BO23" s="361" t="str">
        <f t="shared" si="0"/>
        <v>2021Q4</v>
      </c>
      <c r="BP23" s="378"/>
      <c r="BQ23" s="383"/>
    </row>
    <row r="24" spans="58:69">
      <c r="BF24" s="376"/>
      <c r="BG24" s="378"/>
      <c r="BH24" s="368">
        <f>BO9</f>
        <v>2.8759999999999999</v>
      </c>
      <c r="BI24" s="368">
        <f t="shared" ref="BI24:BO24" si="1">BP9</f>
        <v>2.8879999999999999</v>
      </c>
      <c r="BJ24" s="368">
        <f t="shared" si="1"/>
        <v>2.9</v>
      </c>
      <c r="BK24" s="368">
        <f t="shared" si="1"/>
        <v>2.9129999999999998</v>
      </c>
      <c r="BL24" s="368">
        <f t="shared" si="1"/>
        <v>2.931</v>
      </c>
      <c r="BM24" s="368">
        <f t="shared" si="1"/>
        <v>2.9470000000000001</v>
      </c>
      <c r="BN24" s="368">
        <f t="shared" si="1"/>
        <v>2.9630000000000001</v>
      </c>
      <c r="BO24" s="368">
        <f t="shared" si="1"/>
        <v>2.9769999999999999</v>
      </c>
      <c r="BP24" s="378"/>
      <c r="BQ24" s="382">
        <f>AVERAGE(BH24:BO24)</f>
        <v>2.9243749999999999</v>
      </c>
    </row>
    <row r="25" spans="58:69">
      <c r="BF25" s="376"/>
      <c r="BG25" s="378"/>
      <c r="BH25" s="378"/>
      <c r="BI25" s="378"/>
      <c r="BJ25" s="378"/>
      <c r="BK25" s="378"/>
      <c r="BL25" s="378"/>
      <c r="BM25" s="378"/>
      <c r="BN25" s="378"/>
      <c r="BO25" s="378"/>
      <c r="BP25" s="378"/>
      <c r="BQ25" s="383"/>
    </row>
    <row r="26" spans="58:69">
      <c r="BF26" s="376"/>
      <c r="BG26" s="378"/>
      <c r="BH26" s="378"/>
      <c r="BI26" s="378"/>
      <c r="BJ26" s="378"/>
      <c r="BK26" s="378"/>
      <c r="BL26" s="378"/>
      <c r="BM26" s="378"/>
      <c r="BN26" s="378"/>
      <c r="BO26" s="378"/>
      <c r="BP26" s="384" t="s">
        <v>39</v>
      </c>
      <c r="BQ26" s="147">
        <f>(BQ24-BQ20)/BQ20</f>
        <v>2.5376928471248276E-2</v>
      </c>
    </row>
    <row r="27" spans="58:69">
      <c r="BF27" s="385"/>
      <c r="BG27" s="386"/>
      <c r="BH27" s="386"/>
      <c r="BI27" s="386"/>
      <c r="BJ27" s="386"/>
      <c r="BK27" s="386"/>
      <c r="BL27" s="386"/>
      <c r="BM27" s="386"/>
      <c r="BN27" s="386"/>
      <c r="BO27" s="386"/>
      <c r="BP27" s="386"/>
      <c r="BQ27" s="387"/>
    </row>
  </sheetData>
  <pageMargins left="0.25" right="0.2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5"/>
  <sheetViews>
    <sheetView topLeftCell="A7" workbookViewId="0">
      <selection activeCell="G30" sqref="G30"/>
    </sheetView>
  </sheetViews>
  <sheetFormatPr defaultRowHeight="15"/>
  <cols>
    <col min="2" max="2" width="11.85546875" customWidth="1"/>
    <col min="3" max="3" width="13.7109375" bestFit="1" customWidth="1"/>
    <col min="4" max="4" width="12.140625" bestFit="1" customWidth="1"/>
    <col min="5" max="5" width="11.140625" bestFit="1" customWidth="1"/>
  </cols>
  <sheetData>
    <row r="1" spans="1:5" ht="15.75" thickBot="1">
      <c r="B1" t="s">
        <v>249</v>
      </c>
      <c r="C1" s="199">
        <f>'Spring2017 CAF'!BK27</f>
        <v>2.7235921972764018E-2</v>
      </c>
    </row>
    <row r="2" spans="1:5" ht="38.25">
      <c r="A2" s="200" t="s">
        <v>106</v>
      </c>
      <c r="B2" s="201" t="s">
        <v>255</v>
      </c>
      <c r="C2" s="201" t="s">
        <v>244</v>
      </c>
      <c r="D2" s="201" t="s">
        <v>342</v>
      </c>
      <c r="E2" s="201" t="s">
        <v>343</v>
      </c>
    </row>
    <row r="3" spans="1:5">
      <c r="A3" s="202" t="s">
        <v>107</v>
      </c>
      <c r="B3" s="348">
        <v>3095548</v>
      </c>
      <c r="C3" s="348">
        <f>B3*(C1+1)</f>
        <v>3179858.1037909458</v>
      </c>
      <c r="D3" s="348">
        <f>C3-B3</f>
        <v>84310.103790945839</v>
      </c>
      <c r="E3" s="348">
        <f>D3*0.5</f>
        <v>42155.05189547292</v>
      </c>
    </row>
    <row r="4" spans="1:5" ht="15.75" thickBot="1">
      <c r="A4" s="349" t="s">
        <v>108</v>
      </c>
      <c r="B4" s="350">
        <v>137388</v>
      </c>
      <c r="C4" s="351">
        <f>B4*(C1+1)</f>
        <v>141129.88884799409</v>
      </c>
      <c r="D4" s="350">
        <f>C4-B4</f>
        <v>3741.8888479940942</v>
      </c>
      <c r="E4" s="350">
        <f>D4*0.5</f>
        <v>1870.9444239970471</v>
      </c>
    </row>
    <row r="5" spans="1:5" ht="16.5" thickTop="1" thickBot="1">
      <c r="A5" s="340" t="s">
        <v>109</v>
      </c>
      <c r="B5" s="341">
        <f>SUM(B3:B4)</f>
        <v>3232936</v>
      </c>
      <c r="C5" s="341">
        <f>SUM(C3:C4)</f>
        <v>3320987.99263894</v>
      </c>
      <c r="D5" s="341">
        <f>SUM(D3:D4)</f>
        <v>88051.992638939933</v>
      </c>
      <c r="E5" s="341">
        <f>SUM(E3:E4)</f>
        <v>44025.996319469967</v>
      </c>
    </row>
    <row r="8" spans="1:5" ht="15.75" thickBot="1"/>
    <row r="9" spans="1:5" ht="38.25">
      <c r="A9" s="200" t="s">
        <v>254</v>
      </c>
      <c r="B9" s="201" t="s">
        <v>255</v>
      </c>
      <c r="C9" s="201" t="s">
        <v>244</v>
      </c>
      <c r="D9" s="201" t="s">
        <v>342</v>
      </c>
      <c r="E9" s="201" t="s">
        <v>343</v>
      </c>
    </row>
    <row r="10" spans="1:5">
      <c r="A10" s="202" t="s">
        <v>107</v>
      </c>
      <c r="B10" s="348">
        <v>1070415</v>
      </c>
      <c r="C10" s="348">
        <f>B10*(C1+1)</f>
        <v>1099568.7394184761</v>
      </c>
      <c r="D10" s="348">
        <f>C10-B10</f>
        <v>29153.739418476122</v>
      </c>
      <c r="E10" s="348">
        <f>D10*0.5</f>
        <v>14576.869709238061</v>
      </c>
    </row>
    <row r="11" spans="1:5">
      <c r="A11" s="224" t="s">
        <v>282</v>
      </c>
      <c r="B11" s="225"/>
      <c r="C11" s="225"/>
      <c r="D11" s="225"/>
      <c r="E11" s="225"/>
    </row>
    <row r="12" spans="1:5" s="337" customFormat="1" ht="12">
      <c r="A12" s="338" t="s">
        <v>283</v>
      </c>
      <c r="B12" s="339">
        <f>B10+B11</f>
        <v>1070415</v>
      </c>
      <c r="C12" s="339">
        <f t="shared" ref="C12:E12" si="0">C10+C11</f>
        <v>1099568.7394184761</v>
      </c>
      <c r="D12" s="339">
        <f t="shared" si="0"/>
        <v>29153.739418476122</v>
      </c>
      <c r="E12" s="339">
        <f t="shared" si="0"/>
        <v>14576.869709238061</v>
      </c>
    </row>
    <row r="15" spans="1:5" ht="15.75" thickBot="1"/>
    <row r="16" spans="1:5" ht="25.5">
      <c r="A16" s="200" t="s">
        <v>253</v>
      </c>
      <c r="B16" s="201" t="s">
        <v>256</v>
      </c>
      <c r="C16" s="201" t="s">
        <v>244</v>
      </c>
      <c r="D16" s="201" t="s">
        <v>342</v>
      </c>
      <c r="E16" s="201" t="s">
        <v>343</v>
      </c>
    </row>
    <row r="17" spans="1:5">
      <c r="A17" s="346" t="s">
        <v>257</v>
      </c>
      <c r="B17" s="347">
        <v>132229</v>
      </c>
      <c r="C17" s="353">
        <f>3030*'1a. VR Assistant'!J22</f>
        <v>134765.24252346336</v>
      </c>
      <c r="D17" s="353">
        <f>C17-B17</f>
        <v>2536.2425234633556</v>
      </c>
      <c r="E17" s="353">
        <f>D17*0.5</f>
        <v>1268.1212617316778</v>
      </c>
    </row>
    <row r="19" spans="1:5" ht="15.75" thickBot="1"/>
    <row r="20" spans="1:5" ht="38.25">
      <c r="A20" s="200" t="s">
        <v>258</v>
      </c>
      <c r="B20" s="201" t="s">
        <v>346</v>
      </c>
      <c r="C20" s="201" t="s">
        <v>244</v>
      </c>
      <c r="D20" s="201" t="s">
        <v>342</v>
      </c>
      <c r="E20" s="201" t="s">
        <v>343</v>
      </c>
    </row>
    <row r="21" spans="1:5">
      <c r="A21" s="352" t="s">
        <v>108</v>
      </c>
      <c r="B21" s="351">
        <v>59994</v>
      </c>
      <c r="C21" s="351">
        <f>B21*(C1+1)</f>
        <v>61627.991902834008</v>
      </c>
      <c r="D21" s="351">
        <f>C21-B21</f>
        <v>1633.9919028340082</v>
      </c>
      <c r="E21" s="351">
        <f>D21*0.5</f>
        <v>816.99595141700411</v>
      </c>
    </row>
    <row r="23" spans="1:5" ht="15.75" thickBot="1"/>
    <row r="24" spans="1:5" ht="38.25">
      <c r="A24" s="200" t="s">
        <v>259</v>
      </c>
      <c r="B24" s="201" t="s">
        <v>255</v>
      </c>
      <c r="C24" s="201" t="s">
        <v>244</v>
      </c>
      <c r="D24" s="201" t="s">
        <v>342</v>
      </c>
      <c r="E24" s="201" t="s">
        <v>343</v>
      </c>
    </row>
    <row r="25" spans="1:5">
      <c r="A25" s="352" t="s">
        <v>108</v>
      </c>
      <c r="B25" s="351">
        <v>521472</v>
      </c>
      <c r="C25" s="351">
        <f>'5. DBCAN Model Budget'!K29*'5. DBCAN Model Budget'!K4</f>
        <v>558582.85279769392</v>
      </c>
      <c r="D25" s="351">
        <f>C25-B25</f>
        <v>37110.852797693922</v>
      </c>
      <c r="E25" s="351">
        <f>D25*0.5</f>
        <v>18555.426398846961</v>
      </c>
    </row>
    <row r="26" spans="1:5" ht="15.75" thickBot="1"/>
    <row r="27" spans="1:5" ht="38.25">
      <c r="A27" s="200" t="s">
        <v>260</v>
      </c>
      <c r="B27" s="201" t="s">
        <v>255</v>
      </c>
      <c r="C27" s="201" t="s">
        <v>244</v>
      </c>
      <c r="D27" s="201" t="s">
        <v>342</v>
      </c>
      <c r="E27" s="201" t="s">
        <v>343</v>
      </c>
    </row>
    <row r="28" spans="1:5">
      <c r="A28" s="352" t="s">
        <v>108</v>
      </c>
      <c r="B28" s="351">
        <v>472947</v>
      </c>
      <c r="C28" s="351">
        <f>B28*(C1+1)</f>
        <v>485828.14758925285</v>
      </c>
      <c r="D28" s="351">
        <f>C28-B28</f>
        <v>12881.147589252854</v>
      </c>
      <c r="E28" s="351">
        <f>D28*0.5</f>
        <v>6440.5737946264271</v>
      </c>
    </row>
    <row r="29" spans="1:5">
      <c r="A29" s="346" t="s">
        <v>257</v>
      </c>
      <c r="B29" s="347">
        <v>60496</v>
      </c>
      <c r="C29" s="347">
        <f>696*'1. O&amp;M Model Budget'!V18</f>
        <v>62136.835306678135</v>
      </c>
      <c r="D29" s="347">
        <f>C29-B29</f>
        <v>1640.8353066781347</v>
      </c>
      <c r="E29" s="347">
        <f>D29*0.5</f>
        <v>820.41765333906733</v>
      </c>
    </row>
    <row r="30" spans="1:5" ht="15.75" thickBot="1"/>
    <row r="31" spans="1:5" ht="25.5">
      <c r="A31" s="200" t="s">
        <v>345</v>
      </c>
      <c r="B31" s="201" t="s">
        <v>243</v>
      </c>
      <c r="C31" s="201" t="s">
        <v>244</v>
      </c>
      <c r="D31" s="201" t="s">
        <v>342</v>
      </c>
      <c r="E31" s="201" t="s">
        <v>343</v>
      </c>
    </row>
    <row r="32" spans="1:5">
      <c r="A32" t="s">
        <v>344</v>
      </c>
      <c r="B32" s="342">
        <f>B10+B3</f>
        <v>4165963</v>
      </c>
      <c r="C32" s="342">
        <f>C10+C3</f>
        <v>4279426.8432094222</v>
      </c>
      <c r="D32" s="342">
        <f>C32-B32</f>
        <v>113463.84320942219</v>
      </c>
      <c r="E32" s="342">
        <f>D32*0.5</f>
        <v>56731.921604711097</v>
      </c>
    </row>
    <row r="33" spans="1:7">
      <c r="A33" t="s">
        <v>108</v>
      </c>
      <c r="B33" s="342">
        <f>B28+B25+B21+B4</f>
        <v>1191801</v>
      </c>
      <c r="C33" s="342">
        <f>C28+C25+C21+C4</f>
        <v>1247168.881137775</v>
      </c>
      <c r="D33" s="342">
        <f>C33-B33</f>
        <v>55367.881137775024</v>
      </c>
      <c r="E33" s="342">
        <f>D33*0.5</f>
        <v>27683.940568887512</v>
      </c>
    </row>
    <row r="34" spans="1:7" ht="15.75" thickBot="1">
      <c r="A34" s="343" t="s">
        <v>257</v>
      </c>
      <c r="B34" s="344">
        <f>B29+B17</f>
        <v>192725</v>
      </c>
      <c r="C34" s="344">
        <f>C29+C17</f>
        <v>196902.0778301415</v>
      </c>
      <c r="D34" s="344">
        <f>D29+D17</f>
        <v>4177.0778301414903</v>
      </c>
      <c r="E34" s="344">
        <f>E29+E17</f>
        <v>2088.5389150707451</v>
      </c>
    </row>
    <row r="35" spans="1:7" ht="15.75" thickTop="1">
      <c r="B35" s="345">
        <f>SUM(B32:B34)</f>
        <v>5550489</v>
      </c>
      <c r="C35" s="345">
        <f>SUM(C32:C34)</f>
        <v>5723497.8021773389</v>
      </c>
      <c r="D35" s="345">
        <f t="shared" ref="D35:E35" si="1">SUM(D32:D34)</f>
        <v>173008.80217733872</v>
      </c>
      <c r="E35" s="345">
        <f t="shared" si="1"/>
        <v>86504.401088669358</v>
      </c>
      <c r="G35" s="223">
        <f>(C35-B35)/B35</f>
        <v>3.1170010818387148E-2</v>
      </c>
    </row>
  </sheetData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58"/>
  <sheetViews>
    <sheetView workbookViewId="0">
      <selection activeCell="N18" sqref="N18"/>
    </sheetView>
  </sheetViews>
  <sheetFormatPr defaultRowHeight="15"/>
  <cols>
    <col min="2" max="2" width="30" bestFit="1" customWidth="1"/>
    <col min="3" max="3" width="12.5703125" bestFit="1" customWidth="1"/>
    <col min="4" max="4" width="54.85546875" customWidth="1"/>
    <col min="6" max="6" width="21.42578125" bestFit="1" customWidth="1"/>
    <col min="7" max="7" width="6.7109375" bestFit="1" customWidth="1"/>
    <col min="8" max="8" width="52.140625" bestFit="1" customWidth="1"/>
  </cols>
  <sheetData>
    <row r="1" spans="2:15" ht="15.75" thickBot="1"/>
    <row r="2" spans="2:15" ht="15.75" thickBot="1">
      <c r="B2" s="883" t="s">
        <v>642</v>
      </c>
      <c r="C2" s="884"/>
      <c r="D2" s="885"/>
      <c r="E2" s="428"/>
      <c r="F2" s="886" t="s">
        <v>644</v>
      </c>
      <c r="G2" s="887"/>
      <c r="H2" s="888"/>
      <c r="I2" s="417"/>
      <c r="J2" s="417"/>
      <c r="K2" s="417"/>
      <c r="L2" s="417"/>
      <c r="M2" s="417"/>
      <c r="N2" s="417"/>
      <c r="O2" s="417"/>
    </row>
    <row r="3" spans="2:15">
      <c r="B3" s="420" t="s">
        <v>408</v>
      </c>
      <c r="C3" s="429">
        <v>30700</v>
      </c>
      <c r="D3" s="880" t="s">
        <v>660</v>
      </c>
      <c r="F3" s="420" t="s">
        <v>20</v>
      </c>
      <c r="G3" s="419">
        <v>0.21709999999999999</v>
      </c>
      <c r="H3" s="453" t="s">
        <v>44</v>
      </c>
      <c r="I3" s="417"/>
      <c r="J3" s="417"/>
      <c r="K3" s="417"/>
      <c r="L3" s="417"/>
      <c r="M3" s="417"/>
      <c r="N3" s="417"/>
      <c r="O3" s="417"/>
    </row>
    <row r="4" spans="2:15">
      <c r="B4" s="420" t="s">
        <v>407</v>
      </c>
      <c r="C4" s="429">
        <v>30700</v>
      </c>
      <c r="D4" s="881" t="s">
        <v>665</v>
      </c>
      <c r="F4" s="420" t="s">
        <v>36</v>
      </c>
      <c r="G4" s="419">
        <v>0.12</v>
      </c>
      <c r="H4" s="453" t="s">
        <v>265</v>
      </c>
      <c r="I4" s="417"/>
      <c r="J4" s="417"/>
      <c r="K4" s="417"/>
      <c r="L4" s="417"/>
      <c r="M4" s="417"/>
      <c r="N4" s="417"/>
      <c r="O4" s="417"/>
    </row>
    <row r="5" spans="2:15">
      <c r="B5" s="420" t="s">
        <v>666</v>
      </c>
      <c r="C5" s="429">
        <v>28080</v>
      </c>
      <c r="D5" s="881" t="s">
        <v>667</v>
      </c>
      <c r="F5" s="420" t="s">
        <v>347</v>
      </c>
      <c r="G5" s="419">
        <v>6.3E-3</v>
      </c>
      <c r="H5" s="881" t="s">
        <v>348</v>
      </c>
      <c r="I5" s="417"/>
      <c r="J5" s="417"/>
      <c r="K5" s="417"/>
      <c r="L5" s="417"/>
      <c r="M5" s="417"/>
      <c r="N5" s="417"/>
      <c r="O5" s="417"/>
    </row>
    <row r="6" spans="2:15" ht="15.75" thickBot="1">
      <c r="B6" s="420" t="s">
        <v>638</v>
      </c>
      <c r="C6" s="429">
        <v>34274.366807441889</v>
      </c>
      <c r="D6" s="881" t="s">
        <v>664</v>
      </c>
      <c r="F6" s="430" t="s">
        <v>37</v>
      </c>
      <c r="G6" s="433">
        <f>'Spring 2019 CAF'!BU25</f>
        <v>1.8120393120392975E-2</v>
      </c>
      <c r="H6" s="454" t="s">
        <v>648</v>
      </c>
      <c r="I6" s="417"/>
      <c r="J6" s="417"/>
      <c r="K6" s="417"/>
      <c r="L6" s="417"/>
      <c r="M6" s="417"/>
      <c r="N6" s="417"/>
      <c r="O6" s="417"/>
    </row>
    <row r="7" spans="2:15">
      <c r="B7" s="420" t="s">
        <v>251</v>
      </c>
      <c r="C7" s="429">
        <v>35643.839999999997</v>
      </c>
      <c r="D7" s="453" t="s">
        <v>661</v>
      </c>
      <c r="F7" s="417"/>
      <c r="G7" s="417"/>
      <c r="H7" s="417"/>
      <c r="I7" s="417"/>
      <c r="J7" s="417"/>
      <c r="K7" s="417"/>
      <c r="L7" s="417"/>
      <c r="M7" s="417"/>
      <c r="N7" s="417"/>
      <c r="O7" s="417"/>
    </row>
    <row r="8" spans="2:15">
      <c r="B8" s="420" t="s">
        <v>119</v>
      </c>
      <c r="C8" s="429">
        <v>38208.632127093711</v>
      </c>
      <c r="D8" s="453" t="s">
        <v>662</v>
      </c>
      <c r="F8" s="417"/>
      <c r="G8" s="417"/>
      <c r="H8" s="417"/>
      <c r="I8" s="417"/>
      <c r="J8" s="417"/>
      <c r="K8" s="417"/>
      <c r="L8" s="417"/>
      <c r="M8" s="417"/>
      <c r="N8" s="417"/>
      <c r="O8" s="417"/>
    </row>
    <row r="9" spans="2:15">
      <c r="B9" s="420" t="s">
        <v>110</v>
      </c>
      <c r="C9" s="429">
        <v>38208.632127093711</v>
      </c>
      <c r="D9" s="453" t="s">
        <v>662</v>
      </c>
      <c r="F9" s="417"/>
      <c r="G9" s="417"/>
      <c r="H9" s="417"/>
      <c r="I9" s="417"/>
      <c r="J9" s="417"/>
      <c r="K9" s="417"/>
      <c r="L9" s="417"/>
      <c r="M9" s="417"/>
      <c r="N9" s="417"/>
      <c r="O9" s="417"/>
    </row>
    <row r="10" spans="2:15">
      <c r="B10" s="420" t="s">
        <v>637</v>
      </c>
      <c r="C10" s="429">
        <v>43080.242587199995</v>
      </c>
      <c r="D10" s="453" t="s">
        <v>664</v>
      </c>
      <c r="F10" s="417"/>
      <c r="G10" s="417"/>
      <c r="H10" s="417"/>
      <c r="I10" s="417"/>
      <c r="J10" s="417"/>
      <c r="K10" s="417"/>
      <c r="L10" s="417"/>
      <c r="M10" s="417"/>
      <c r="N10" s="417"/>
      <c r="O10" s="417"/>
    </row>
    <row r="11" spans="2:15">
      <c r="B11" s="420" t="s">
        <v>405</v>
      </c>
      <c r="C11" s="429">
        <v>47723.237561999995</v>
      </c>
      <c r="D11" s="453" t="s">
        <v>663</v>
      </c>
      <c r="F11" s="417"/>
      <c r="G11" s="417"/>
      <c r="H11" s="417"/>
      <c r="I11" s="417"/>
      <c r="J11" s="417"/>
      <c r="K11" s="417"/>
      <c r="L11" s="417"/>
      <c r="M11" s="417"/>
      <c r="N11" s="417"/>
      <c r="O11" s="417"/>
    </row>
    <row r="12" spans="2:15">
      <c r="B12" s="420" t="s">
        <v>116</v>
      </c>
      <c r="C12" s="429">
        <v>47826.752999999997</v>
      </c>
      <c r="D12" s="453" t="s">
        <v>662</v>
      </c>
      <c r="F12" s="417"/>
      <c r="G12" s="417"/>
      <c r="H12" s="417"/>
      <c r="I12" s="417"/>
      <c r="J12" s="417"/>
      <c r="K12" s="417"/>
      <c r="L12" s="417"/>
      <c r="M12" s="417"/>
      <c r="N12" s="417"/>
      <c r="O12" s="417"/>
    </row>
    <row r="13" spans="2:15">
      <c r="B13" s="420" t="s">
        <v>406</v>
      </c>
      <c r="C13" s="429">
        <v>48246.056039999989</v>
      </c>
      <c r="D13" s="453" t="s">
        <v>663</v>
      </c>
      <c r="F13" s="417"/>
      <c r="G13" s="417"/>
      <c r="H13" s="417"/>
      <c r="I13" s="417"/>
      <c r="J13" s="417"/>
      <c r="K13" s="417"/>
      <c r="L13" s="417"/>
      <c r="M13" s="417"/>
      <c r="N13" s="417"/>
      <c r="O13" s="417"/>
    </row>
    <row r="14" spans="2:15">
      <c r="B14" s="420" t="s">
        <v>641</v>
      </c>
      <c r="C14" s="429">
        <v>53399.039684495961</v>
      </c>
      <c r="D14" s="453" t="s">
        <v>663</v>
      </c>
      <c r="F14" s="417"/>
      <c r="G14" s="417"/>
      <c r="H14" s="417"/>
      <c r="I14" s="417"/>
      <c r="J14" s="417"/>
      <c r="K14" s="417"/>
      <c r="L14" s="417"/>
      <c r="M14" s="417"/>
      <c r="N14" s="417"/>
      <c r="O14" s="417"/>
    </row>
    <row r="15" spans="2:15">
      <c r="B15" s="420" t="s">
        <v>637</v>
      </c>
      <c r="C15" s="429">
        <v>55891.784909999995</v>
      </c>
      <c r="D15" s="453" t="s">
        <v>663</v>
      </c>
      <c r="F15" s="417"/>
      <c r="G15" s="417"/>
      <c r="H15" s="417"/>
      <c r="I15" s="417"/>
      <c r="J15" s="417"/>
      <c r="K15" s="417"/>
      <c r="L15" s="417"/>
      <c r="M15" s="417"/>
      <c r="N15" s="417"/>
      <c r="O15" s="417"/>
    </row>
    <row r="16" spans="2:15">
      <c r="B16" s="420" t="s">
        <v>639</v>
      </c>
      <c r="C16" s="429">
        <v>55913.012126399997</v>
      </c>
      <c r="D16" s="453" t="s">
        <v>659</v>
      </c>
      <c r="F16" s="417"/>
      <c r="G16" s="417"/>
      <c r="H16" s="417"/>
      <c r="I16" s="417"/>
      <c r="J16" s="417"/>
      <c r="K16" s="417"/>
      <c r="L16" s="417"/>
      <c r="M16" s="417"/>
      <c r="N16" s="417"/>
      <c r="O16" s="417"/>
    </row>
    <row r="17" spans="2:15">
      <c r="B17" s="420" t="s">
        <v>118</v>
      </c>
      <c r="C17" s="429">
        <v>56771.161199999995</v>
      </c>
      <c r="D17" s="453" t="s">
        <v>662</v>
      </c>
      <c r="F17" s="417"/>
      <c r="G17" s="417"/>
      <c r="H17" s="417"/>
      <c r="I17" s="417"/>
      <c r="J17" s="417"/>
      <c r="K17" s="417"/>
      <c r="L17" s="417"/>
      <c r="M17" s="417"/>
      <c r="N17" s="417"/>
      <c r="O17" s="417"/>
    </row>
    <row r="18" spans="2:15">
      <c r="B18" s="420" t="s">
        <v>638</v>
      </c>
      <c r="C18" s="429">
        <v>60791.602996799891</v>
      </c>
      <c r="D18" s="453" t="s">
        <v>659</v>
      </c>
      <c r="F18" s="417"/>
      <c r="G18" s="417"/>
      <c r="H18" s="417"/>
      <c r="I18" s="417"/>
      <c r="J18" s="417"/>
      <c r="K18" s="417"/>
      <c r="L18" s="417"/>
      <c r="M18" s="417"/>
      <c r="N18" s="417"/>
      <c r="O18" s="417"/>
    </row>
    <row r="19" spans="2:15">
      <c r="B19" s="420" t="s">
        <v>637</v>
      </c>
      <c r="C19" s="429">
        <v>62582.026977599991</v>
      </c>
      <c r="D19" s="453" t="s">
        <v>659</v>
      </c>
      <c r="F19" s="417"/>
      <c r="G19" s="417"/>
      <c r="H19" s="417"/>
      <c r="I19" s="417"/>
      <c r="J19" s="417"/>
      <c r="K19" s="417"/>
      <c r="L19" s="417"/>
      <c r="M19" s="417"/>
      <c r="N19" s="417"/>
      <c r="O19" s="417"/>
    </row>
    <row r="20" spans="2:15">
      <c r="B20" s="420" t="s">
        <v>113</v>
      </c>
      <c r="C20" s="429">
        <v>62582.026977599991</v>
      </c>
      <c r="D20" s="453" t="s">
        <v>662</v>
      </c>
      <c r="F20" s="417"/>
      <c r="G20" s="417"/>
      <c r="H20" s="417"/>
      <c r="I20" s="417"/>
      <c r="J20" s="417"/>
      <c r="K20" s="417"/>
      <c r="L20" s="417"/>
      <c r="M20" s="417"/>
      <c r="N20" s="417"/>
      <c r="O20" s="417"/>
    </row>
    <row r="21" spans="2:15" ht="15.75" thickBot="1">
      <c r="B21" s="430" t="s">
        <v>640</v>
      </c>
      <c r="C21" s="431">
        <v>129778.22184599999</v>
      </c>
      <c r="D21" s="454" t="s">
        <v>663</v>
      </c>
      <c r="E21" s="417"/>
      <c r="F21" s="417"/>
      <c r="G21" s="417"/>
      <c r="H21" s="417"/>
      <c r="I21" s="417"/>
      <c r="J21" s="417"/>
      <c r="K21" s="417"/>
      <c r="L21" s="417"/>
      <c r="M21" s="417"/>
      <c r="N21" s="417"/>
      <c r="O21" s="417"/>
    </row>
    <row r="22" spans="2:15">
      <c r="B22" s="417"/>
      <c r="C22" s="417"/>
      <c r="D22" s="417"/>
      <c r="E22" s="417"/>
      <c r="F22" s="417"/>
      <c r="G22" s="417"/>
      <c r="H22" s="417"/>
      <c r="I22" s="417"/>
      <c r="J22" s="417"/>
      <c r="K22" s="417"/>
      <c r="L22" s="417"/>
      <c r="M22" s="417"/>
      <c r="N22" s="417"/>
      <c r="O22" s="417"/>
    </row>
    <row r="23" spans="2:15" ht="15.75" thickBot="1">
      <c r="B23" s="417"/>
      <c r="C23" s="417"/>
      <c r="D23" s="417"/>
      <c r="E23" s="417"/>
      <c r="F23" s="417"/>
      <c r="G23" s="417"/>
      <c r="H23" s="417"/>
      <c r="I23" s="417"/>
      <c r="J23" s="417"/>
      <c r="K23" s="417"/>
      <c r="L23" s="417"/>
      <c r="M23" s="417"/>
      <c r="N23" s="417"/>
      <c r="O23" s="417"/>
    </row>
    <row r="24" spans="2:15" ht="15.75" thickBot="1">
      <c r="B24" s="889" t="s">
        <v>643</v>
      </c>
      <c r="C24" s="890"/>
      <c r="D24" s="891"/>
      <c r="E24" s="417"/>
      <c r="F24" s="417"/>
      <c r="G24" s="417"/>
      <c r="H24" s="417"/>
      <c r="I24" s="417"/>
      <c r="J24" s="417"/>
      <c r="K24" s="417"/>
      <c r="L24" s="417"/>
      <c r="M24" s="417"/>
      <c r="N24" s="417"/>
      <c r="O24" s="417"/>
    </row>
    <row r="25" spans="2:15">
      <c r="B25" s="420" t="s">
        <v>22</v>
      </c>
      <c r="C25" s="429">
        <v>11139.778</v>
      </c>
      <c r="D25" s="452" t="s">
        <v>650</v>
      </c>
      <c r="E25" s="417"/>
      <c r="F25" s="417"/>
      <c r="G25" s="417"/>
      <c r="H25" s="417"/>
      <c r="I25" s="417"/>
      <c r="J25" s="417"/>
      <c r="K25" s="417"/>
      <c r="L25" s="417"/>
      <c r="M25" s="417"/>
      <c r="N25" s="417"/>
      <c r="O25" s="417"/>
    </row>
    <row r="26" spans="2:15">
      <c r="B26" s="420" t="s">
        <v>26</v>
      </c>
      <c r="C26" s="429">
        <v>47939.008000000002</v>
      </c>
      <c r="D26" s="453" t="s">
        <v>650</v>
      </c>
      <c r="E26" s="417"/>
      <c r="F26" s="417"/>
      <c r="G26" s="417"/>
      <c r="H26" s="417"/>
      <c r="I26" s="417"/>
      <c r="J26" s="417"/>
      <c r="K26" s="417"/>
      <c r="L26" s="417"/>
      <c r="M26" s="417"/>
      <c r="N26" s="417"/>
      <c r="O26" s="417"/>
    </row>
    <row r="27" spans="2:15">
      <c r="B27" s="420" t="s">
        <v>78</v>
      </c>
      <c r="C27" s="429">
        <v>3074.7664999999997</v>
      </c>
      <c r="D27" s="453" t="s">
        <v>650</v>
      </c>
      <c r="E27" s="417"/>
      <c r="F27" s="417"/>
      <c r="G27" s="417"/>
      <c r="H27" s="417"/>
      <c r="I27" s="417"/>
      <c r="J27" s="417"/>
      <c r="K27" s="417"/>
      <c r="L27" s="417"/>
      <c r="M27" s="417"/>
      <c r="N27" s="417"/>
      <c r="O27" s="417"/>
    </row>
    <row r="28" spans="2:15">
      <c r="B28" s="420" t="s">
        <v>22</v>
      </c>
      <c r="C28" s="429">
        <v>1591</v>
      </c>
      <c r="D28" s="453" t="s">
        <v>267</v>
      </c>
      <c r="E28" s="417"/>
      <c r="F28" s="417"/>
      <c r="G28" s="417"/>
      <c r="H28" s="417"/>
      <c r="I28" s="417"/>
      <c r="J28" s="417"/>
      <c r="K28" s="417"/>
      <c r="L28" s="417"/>
      <c r="M28" s="417"/>
      <c r="N28" s="417"/>
      <c r="O28" s="417"/>
    </row>
    <row r="29" spans="2:15">
      <c r="B29" s="420" t="s">
        <v>247</v>
      </c>
      <c r="C29" s="429">
        <v>20000</v>
      </c>
      <c r="D29" s="453" t="s">
        <v>267</v>
      </c>
      <c r="E29" s="417"/>
      <c r="F29" s="417"/>
      <c r="G29" s="417"/>
      <c r="H29" s="417"/>
      <c r="I29" s="417"/>
      <c r="J29" s="417"/>
      <c r="K29" s="417"/>
      <c r="L29" s="417"/>
      <c r="M29" s="417"/>
      <c r="N29" s="417"/>
      <c r="O29" s="417"/>
    </row>
    <row r="30" spans="2:15">
      <c r="B30" s="420" t="s">
        <v>78</v>
      </c>
      <c r="C30" s="429">
        <v>439</v>
      </c>
      <c r="D30" s="453" t="s">
        <v>266</v>
      </c>
      <c r="E30" s="417"/>
      <c r="F30" s="417"/>
      <c r="G30" s="417"/>
      <c r="H30" s="417"/>
      <c r="I30" s="417"/>
      <c r="J30" s="417"/>
      <c r="K30" s="417"/>
      <c r="L30" s="417"/>
      <c r="M30" s="417"/>
      <c r="N30" s="417"/>
      <c r="O30" s="417"/>
    </row>
    <row r="31" spans="2:15">
      <c r="B31" s="420" t="s">
        <v>22</v>
      </c>
      <c r="C31" s="429">
        <v>2648.1974999999998</v>
      </c>
      <c r="D31" s="453" t="s">
        <v>651</v>
      </c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</row>
    <row r="32" spans="2:15">
      <c r="B32" s="420" t="s">
        <v>130</v>
      </c>
      <c r="C32" s="429">
        <v>193.89499999999998</v>
      </c>
      <c r="D32" s="453" t="s">
        <v>651</v>
      </c>
      <c r="E32" s="417"/>
      <c r="F32" s="417"/>
      <c r="G32" s="417"/>
      <c r="H32" s="417"/>
      <c r="I32" s="417"/>
      <c r="J32" s="417"/>
      <c r="K32" s="417"/>
      <c r="L32" s="417"/>
      <c r="M32" s="417"/>
      <c r="N32" s="417"/>
      <c r="O32" s="417"/>
    </row>
    <row r="33" spans="2:15">
      <c r="B33" s="420" t="s">
        <v>131</v>
      </c>
      <c r="C33" s="429">
        <v>8752.7411896222184</v>
      </c>
      <c r="D33" s="453" t="s">
        <v>651</v>
      </c>
      <c r="E33" s="417"/>
      <c r="F33" s="417"/>
      <c r="G33" s="417"/>
      <c r="H33" s="417"/>
      <c r="I33" s="417"/>
      <c r="J33" s="417"/>
      <c r="K33" s="417"/>
      <c r="L33" s="417"/>
      <c r="M33" s="417"/>
      <c r="N33" s="417"/>
      <c r="O33" s="417"/>
    </row>
    <row r="34" spans="2:15">
      <c r="B34" s="420" t="s">
        <v>26</v>
      </c>
      <c r="C34" s="429">
        <v>41403.030427199992</v>
      </c>
      <c r="D34" s="453" t="s">
        <v>652</v>
      </c>
      <c r="E34" s="417"/>
      <c r="F34" s="417"/>
      <c r="G34" s="417"/>
      <c r="H34" s="417"/>
      <c r="I34" s="417"/>
      <c r="J34" s="417"/>
      <c r="K34" s="417"/>
      <c r="L34" s="417"/>
      <c r="M34" s="417"/>
      <c r="N34" s="417"/>
      <c r="O34" s="417"/>
    </row>
    <row r="35" spans="2:15">
      <c r="B35" s="420" t="s">
        <v>52</v>
      </c>
      <c r="C35" s="429">
        <v>8386.0607999999993</v>
      </c>
      <c r="D35" s="453" t="s">
        <v>652</v>
      </c>
      <c r="E35" s="417"/>
      <c r="F35" s="417"/>
      <c r="G35" s="417"/>
      <c r="H35" s="417"/>
      <c r="I35" s="417"/>
      <c r="J35" s="417"/>
      <c r="K35" s="417"/>
      <c r="L35" s="417"/>
      <c r="M35" s="417"/>
      <c r="N35" s="417"/>
      <c r="O35" s="417"/>
    </row>
    <row r="36" spans="2:15">
      <c r="B36" s="420" t="s">
        <v>45</v>
      </c>
      <c r="C36" s="429">
        <v>12379.922255999998</v>
      </c>
      <c r="D36" s="453" t="s">
        <v>652</v>
      </c>
      <c r="E36" s="417"/>
      <c r="F36" s="417"/>
      <c r="G36" s="417"/>
      <c r="H36" s="417"/>
      <c r="I36" s="417"/>
      <c r="J36" s="417"/>
      <c r="K36" s="417"/>
      <c r="L36" s="417"/>
      <c r="M36" s="417"/>
      <c r="N36" s="417"/>
      <c r="O36" s="417"/>
    </row>
    <row r="37" spans="2:15">
      <c r="B37" s="420" t="s">
        <v>22</v>
      </c>
      <c r="C37" s="429">
        <v>69130.492204799986</v>
      </c>
      <c r="D37" s="453" t="s">
        <v>653</v>
      </c>
      <c r="E37" s="417"/>
      <c r="F37" s="417"/>
      <c r="G37" s="417"/>
      <c r="H37" s="417"/>
      <c r="I37" s="417"/>
      <c r="J37" s="417"/>
      <c r="K37" s="417"/>
      <c r="L37" s="417"/>
      <c r="M37" s="417"/>
      <c r="N37" s="417"/>
      <c r="O37" s="417"/>
    </row>
    <row r="38" spans="2:15">
      <c r="B38" s="420" t="s">
        <v>24</v>
      </c>
      <c r="C38" s="429">
        <v>18.868636799999997</v>
      </c>
      <c r="D38" s="453" t="s">
        <v>653</v>
      </c>
      <c r="E38" s="417"/>
      <c r="F38" s="417"/>
      <c r="G38" s="417"/>
      <c r="H38" s="417"/>
      <c r="I38" s="417"/>
      <c r="J38" s="417"/>
      <c r="K38" s="417"/>
      <c r="L38" s="417"/>
      <c r="M38" s="417"/>
      <c r="N38" s="417"/>
      <c r="O38" s="417"/>
    </row>
    <row r="39" spans="2:15">
      <c r="B39" s="420" t="s">
        <v>27</v>
      </c>
      <c r="C39" s="429">
        <v>56.127499999999998</v>
      </c>
      <c r="D39" s="453" t="s">
        <v>654</v>
      </c>
      <c r="E39" s="417"/>
      <c r="F39" s="417"/>
      <c r="G39" s="417"/>
      <c r="H39" s="417"/>
      <c r="I39" s="417"/>
      <c r="J39" s="417"/>
      <c r="K39" s="417"/>
      <c r="L39" s="417"/>
      <c r="M39" s="417"/>
      <c r="N39" s="417"/>
      <c r="O39" s="417"/>
    </row>
    <row r="40" spans="2:15">
      <c r="B40" s="420" t="s">
        <v>29</v>
      </c>
      <c r="C40" s="429">
        <v>127.5625</v>
      </c>
      <c r="D40" s="453" t="s">
        <v>655</v>
      </c>
      <c r="E40" s="417"/>
      <c r="F40" s="417"/>
      <c r="G40" s="417"/>
      <c r="H40" s="417"/>
      <c r="I40" s="417"/>
      <c r="J40" s="417"/>
      <c r="K40" s="417"/>
      <c r="L40" s="417"/>
      <c r="M40" s="417"/>
      <c r="N40" s="417"/>
      <c r="O40" s="417"/>
    </row>
    <row r="41" spans="2:15">
      <c r="B41" s="420" t="s">
        <v>31</v>
      </c>
      <c r="C41" s="429">
        <v>556.59090499999991</v>
      </c>
      <c r="D41" s="453" t="s">
        <v>656</v>
      </c>
      <c r="E41" s="417"/>
      <c r="F41" s="417"/>
      <c r="G41" s="417"/>
      <c r="H41" s="417"/>
      <c r="I41" s="417"/>
      <c r="J41" s="417"/>
      <c r="K41" s="417"/>
      <c r="L41" s="417"/>
      <c r="M41" s="417"/>
      <c r="N41" s="417"/>
      <c r="O41" s="417"/>
    </row>
    <row r="42" spans="2:15">
      <c r="B42" s="420" t="s">
        <v>34</v>
      </c>
      <c r="C42" s="429">
        <v>1028.3407055999999</v>
      </c>
      <c r="D42" s="453" t="s">
        <v>653</v>
      </c>
      <c r="E42" s="417"/>
      <c r="F42" s="417"/>
      <c r="G42" s="417"/>
      <c r="H42" s="417"/>
      <c r="I42" s="417"/>
      <c r="J42" s="417"/>
      <c r="K42" s="417"/>
      <c r="L42" s="417"/>
      <c r="M42" s="417"/>
      <c r="N42" s="417"/>
      <c r="O42" s="417"/>
    </row>
    <row r="43" spans="2:15" ht="15.75" thickBot="1">
      <c r="B43" s="430" t="s">
        <v>35</v>
      </c>
      <c r="C43" s="431">
        <v>314.47727999999995</v>
      </c>
      <c r="D43" s="454" t="s">
        <v>653</v>
      </c>
      <c r="E43" s="417"/>
      <c r="F43" s="417"/>
      <c r="G43" s="417"/>
      <c r="H43" s="417"/>
      <c r="I43" s="417"/>
      <c r="J43" s="417"/>
      <c r="K43" s="417"/>
      <c r="L43" s="417"/>
      <c r="M43" s="417"/>
      <c r="N43" s="417"/>
      <c r="O43" s="417"/>
    </row>
    <row r="44" spans="2:15">
      <c r="D44" s="417"/>
      <c r="E44" s="417"/>
      <c r="F44" s="417"/>
      <c r="G44" s="417"/>
      <c r="H44" s="417"/>
      <c r="I44" s="417"/>
      <c r="J44" s="417"/>
      <c r="K44" s="417"/>
      <c r="L44" s="417"/>
      <c r="M44" s="417"/>
      <c r="N44" s="417"/>
      <c r="O44" s="417"/>
    </row>
    <row r="45" spans="2:15">
      <c r="D45" s="417"/>
      <c r="E45" s="417"/>
      <c r="F45" s="417"/>
      <c r="G45" s="417"/>
      <c r="H45" s="417"/>
      <c r="I45" s="417"/>
      <c r="J45" s="417"/>
      <c r="K45" s="417"/>
      <c r="L45" s="417"/>
      <c r="M45" s="417"/>
      <c r="N45" s="417"/>
      <c r="O45" s="417"/>
    </row>
    <row r="46" spans="2:15">
      <c r="D46" s="417"/>
      <c r="E46" s="417"/>
      <c r="F46" s="417"/>
      <c r="G46" s="417"/>
      <c r="H46" s="417"/>
      <c r="I46" s="417"/>
      <c r="J46" s="417"/>
      <c r="K46" s="417"/>
      <c r="L46" s="417"/>
      <c r="M46" s="417"/>
      <c r="N46" s="417"/>
      <c r="O46" s="417"/>
    </row>
    <row r="47" spans="2:15">
      <c r="D47" s="417"/>
      <c r="E47" s="417"/>
      <c r="F47" s="417"/>
      <c r="G47" s="417"/>
      <c r="H47" s="417"/>
      <c r="I47" s="417"/>
      <c r="J47" s="417"/>
      <c r="K47" s="417"/>
      <c r="L47" s="417"/>
      <c r="M47" s="417"/>
      <c r="N47" s="417"/>
      <c r="O47" s="417"/>
    </row>
    <row r="48" spans="2:15">
      <c r="D48" s="417"/>
      <c r="E48" s="417"/>
      <c r="F48" s="417"/>
      <c r="G48" s="417"/>
      <c r="H48" s="417"/>
      <c r="I48" s="417"/>
      <c r="J48" s="417"/>
      <c r="K48" s="417"/>
      <c r="L48" s="417"/>
      <c r="M48" s="417"/>
      <c r="N48" s="417"/>
      <c r="O48" s="417"/>
    </row>
    <row r="49" spans="4:15">
      <c r="D49" s="417"/>
      <c r="E49" s="417"/>
      <c r="F49" s="417"/>
      <c r="G49" s="417"/>
      <c r="H49" s="417"/>
      <c r="I49" s="417"/>
      <c r="J49" s="417"/>
      <c r="K49" s="417"/>
      <c r="L49" s="417"/>
      <c r="M49" s="417"/>
      <c r="N49" s="417"/>
      <c r="O49" s="417"/>
    </row>
    <row r="50" spans="4:15">
      <c r="D50" s="417"/>
      <c r="E50" s="417"/>
      <c r="F50" s="417"/>
      <c r="G50" s="417"/>
      <c r="H50" s="417"/>
      <c r="I50" s="417"/>
      <c r="J50" s="417"/>
      <c r="K50" s="417"/>
      <c r="L50" s="417"/>
      <c r="M50" s="417"/>
      <c r="N50" s="417"/>
      <c r="O50" s="417"/>
    </row>
    <row r="51" spans="4:15">
      <c r="E51" s="417"/>
      <c r="F51" s="417"/>
      <c r="G51" s="417"/>
      <c r="H51" s="417"/>
      <c r="I51" s="417"/>
      <c r="J51" s="417"/>
      <c r="K51" s="417"/>
      <c r="L51" s="417"/>
      <c r="M51" s="417"/>
      <c r="N51" s="417"/>
      <c r="O51" s="417"/>
    </row>
    <row r="52" spans="4:15">
      <c r="E52" s="417"/>
      <c r="F52" s="417"/>
      <c r="G52" s="417"/>
      <c r="H52" s="417"/>
      <c r="I52" s="417"/>
      <c r="J52" s="417"/>
      <c r="K52" s="417"/>
      <c r="L52" s="417"/>
      <c r="M52" s="417"/>
      <c r="N52" s="417"/>
      <c r="O52" s="417"/>
    </row>
    <row r="53" spans="4:15">
      <c r="E53" s="417"/>
      <c r="F53" s="417"/>
      <c r="G53" s="417"/>
      <c r="H53" s="417"/>
      <c r="I53" s="417"/>
      <c r="J53" s="417"/>
      <c r="K53" s="417"/>
      <c r="L53" s="417"/>
      <c r="M53" s="417"/>
      <c r="N53" s="417"/>
      <c r="O53" s="417"/>
    </row>
    <row r="54" spans="4:15">
      <c r="E54" s="417"/>
      <c r="F54" s="417"/>
      <c r="G54" s="417"/>
      <c r="H54" s="417"/>
      <c r="I54" s="417"/>
      <c r="J54" s="417"/>
      <c r="K54" s="417"/>
      <c r="L54" s="417"/>
      <c r="M54" s="417"/>
      <c r="N54" s="417"/>
      <c r="O54" s="417"/>
    </row>
    <row r="56" spans="4:15">
      <c r="D56" s="417"/>
    </row>
    <row r="57" spans="4:15">
      <c r="D57" s="417"/>
    </row>
    <row r="58" spans="4:15">
      <c r="D58" s="417"/>
    </row>
  </sheetData>
  <sortState ref="B3:D20">
    <sortCondition ref="C3:C20"/>
  </sortState>
  <mergeCells count="3">
    <mergeCell ref="B2:D2"/>
    <mergeCell ref="F2:H2"/>
    <mergeCell ref="B24:D24"/>
  </mergeCells>
  <pageMargins left="0.7" right="0.7" top="0.75" bottom="0.75" header="0.3" footer="0.3"/>
  <pageSetup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2"/>
  <sheetViews>
    <sheetView showGridLines="0" tabSelected="1" topLeftCell="I1" zoomScale="80" zoomScaleNormal="80" workbookViewId="0">
      <selection activeCell="M31" sqref="M31"/>
    </sheetView>
  </sheetViews>
  <sheetFormatPr defaultRowHeight="15" customHeight="1"/>
  <cols>
    <col min="1" max="1" width="5.5703125" style="1" hidden="1" customWidth="1"/>
    <col min="2" max="2" width="27.28515625" style="1" hidden="1" customWidth="1"/>
    <col min="3" max="3" width="8.28515625" style="30" hidden="1" customWidth="1"/>
    <col min="4" max="4" width="61.28515625" style="1" hidden="1" customWidth="1"/>
    <col min="5" max="5" width="14.28515625" style="1" hidden="1" customWidth="1"/>
    <col min="6" max="6" width="10.7109375" style="1" hidden="1" customWidth="1"/>
    <col min="7" max="7" width="16" style="1" hidden="1" customWidth="1"/>
    <col min="8" max="8" width="16.5703125" style="1" hidden="1" customWidth="1"/>
    <col min="9" max="9" width="4.7109375" style="1" bestFit="1" customWidth="1"/>
    <col min="10" max="10" width="27.28515625" style="1" bestFit="1" customWidth="1"/>
    <col min="11" max="11" width="9" style="1" bestFit="1" customWidth="1"/>
    <col min="12" max="12" width="13.7109375" style="1" bestFit="1" customWidth="1"/>
    <col min="13" max="13" width="11.85546875" style="1" bestFit="1" customWidth="1"/>
    <col min="14" max="14" width="12" style="1" customWidth="1"/>
    <col min="15" max="15" width="16.85546875" style="38" customWidth="1"/>
    <col min="16" max="16" width="4.140625" style="1" customWidth="1"/>
    <col min="17" max="17" width="42.42578125" style="1" bestFit="1" customWidth="1"/>
    <col min="18" max="18" width="9" style="1" customWidth="1"/>
    <col min="19" max="19" width="21.85546875" style="1" bestFit="1" customWidth="1"/>
    <col min="20" max="20" width="9.140625" style="1" bestFit="1" customWidth="1"/>
    <col min="21" max="21" width="15.28515625" style="1" bestFit="1" customWidth="1"/>
    <col min="22" max="22" width="9.7109375" style="1" customWidth="1"/>
    <col min="23" max="23" width="11.5703125" style="1" customWidth="1"/>
    <col min="24" max="24" width="14.7109375" style="1" customWidth="1"/>
    <col min="25" max="257" width="9.140625" style="1"/>
    <col min="258" max="258" width="30.85546875" style="1" customWidth="1"/>
    <col min="259" max="260" width="13.140625" style="1" customWidth="1"/>
    <col min="261" max="261" width="12.5703125" style="1" bestFit="1" customWidth="1"/>
    <col min="262" max="262" width="11.5703125" style="1" customWidth="1"/>
    <col min="263" max="264" width="10.7109375" style="1" customWidth="1"/>
    <col min="265" max="265" width="19.85546875" style="1" customWidth="1"/>
    <col min="266" max="266" width="6.5703125" style="1" customWidth="1"/>
    <col min="267" max="267" width="32.7109375" style="1" customWidth="1"/>
    <col min="268" max="268" width="15.140625" style="1" customWidth="1"/>
    <col min="269" max="269" width="22.140625" style="1" customWidth="1"/>
    <col min="270" max="270" width="16.85546875" style="1" customWidth="1"/>
    <col min="271" max="271" width="9.42578125" style="1" bestFit="1" customWidth="1"/>
    <col min="272" max="272" width="35.85546875" style="1" customWidth="1"/>
    <col min="273" max="273" width="14" style="1" customWidth="1"/>
    <col min="274" max="274" width="12" style="1" bestFit="1" customWidth="1"/>
    <col min="275" max="275" width="15" style="1" customWidth="1"/>
    <col min="276" max="276" width="9.140625" style="1"/>
    <col min="277" max="277" width="29.5703125" style="1" bestFit="1" customWidth="1"/>
    <col min="278" max="278" width="14.42578125" style="1" bestFit="1" customWidth="1"/>
    <col min="279" max="279" width="12.28515625" style="1" bestFit="1" customWidth="1"/>
    <col min="280" max="280" width="22.28515625" style="1" bestFit="1" customWidth="1"/>
    <col min="281" max="513" width="9.140625" style="1"/>
    <col min="514" max="514" width="30.85546875" style="1" customWidth="1"/>
    <col min="515" max="516" width="13.140625" style="1" customWidth="1"/>
    <col min="517" max="517" width="12.5703125" style="1" bestFit="1" customWidth="1"/>
    <col min="518" max="518" width="11.5703125" style="1" customWidth="1"/>
    <col min="519" max="520" width="10.7109375" style="1" customWidth="1"/>
    <col min="521" max="521" width="19.85546875" style="1" customWidth="1"/>
    <col min="522" max="522" width="6.5703125" style="1" customWidth="1"/>
    <col min="523" max="523" width="32.7109375" style="1" customWidth="1"/>
    <col min="524" max="524" width="15.140625" style="1" customWidth="1"/>
    <col min="525" max="525" width="22.140625" style="1" customWidth="1"/>
    <col min="526" max="526" width="16.85546875" style="1" customWidth="1"/>
    <col min="527" max="527" width="9.42578125" style="1" bestFit="1" customWidth="1"/>
    <col min="528" max="528" width="35.85546875" style="1" customWidth="1"/>
    <col min="529" max="529" width="14" style="1" customWidth="1"/>
    <col min="530" max="530" width="12" style="1" bestFit="1" customWidth="1"/>
    <col min="531" max="531" width="15" style="1" customWidth="1"/>
    <col min="532" max="532" width="9.140625" style="1"/>
    <col min="533" max="533" width="29.5703125" style="1" bestFit="1" customWidth="1"/>
    <col min="534" max="534" width="14.42578125" style="1" bestFit="1" customWidth="1"/>
    <col min="535" max="535" width="12.28515625" style="1" bestFit="1" customWidth="1"/>
    <col min="536" max="536" width="22.28515625" style="1" bestFit="1" customWidth="1"/>
    <col min="537" max="769" width="9.140625" style="1"/>
    <col min="770" max="770" width="30.85546875" style="1" customWidth="1"/>
    <col min="771" max="772" width="13.140625" style="1" customWidth="1"/>
    <col min="773" max="773" width="12.5703125" style="1" bestFit="1" customWidth="1"/>
    <col min="774" max="774" width="11.5703125" style="1" customWidth="1"/>
    <col min="775" max="776" width="10.7109375" style="1" customWidth="1"/>
    <col min="777" max="777" width="19.85546875" style="1" customWidth="1"/>
    <col min="778" max="778" width="6.5703125" style="1" customWidth="1"/>
    <col min="779" max="779" width="32.7109375" style="1" customWidth="1"/>
    <col min="780" max="780" width="15.140625" style="1" customWidth="1"/>
    <col min="781" max="781" width="22.140625" style="1" customWidth="1"/>
    <col min="782" max="782" width="16.85546875" style="1" customWidth="1"/>
    <col min="783" max="783" width="9.42578125" style="1" bestFit="1" customWidth="1"/>
    <col min="784" max="784" width="35.85546875" style="1" customWidth="1"/>
    <col min="785" max="785" width="14" style="1" customWidth="1"/>
    <col min="786" max="786" width="12" style="1" bestFit="1" customWidth="1"/>
    <col min="787" max="787" width="15" style="1" customWidth="1"/>
    <col min="788" max="788" width="9.140625" style="1"/>
    <col min="789" max="789" width="29.5703125" style="1" bestFit="1" customWidth="1"/>
    <col min="790" max="790" width="14.42578125" style="1" bestFit="1" customWidth="1"/>
    <col min="791" max="791" width="12.28515625" style="1" bestFit="1" customWidth="1"/>
    <col min="792" max="792" width="22.28515625" style="1" bestFit="1" customWidth="1"/>
    <col min="793" max="1025" width="9.140625" style="1"/>
    <col min="1026" max="1026" width="30.85546875" style="1" customWidth="1"/>
    <col min="1027" max="1028" width="13.140625" style="1" customWidth="1"/>
    <col min="1029" max="1029" width="12.5703125" style="1" bestFit="1" customWidth="1"/>
    <col min="1030" max="1030" width="11.5703125" style="1" customWidth="1"/>
    <col min="1031" max="1032" width="10.7109375" style="1" customWidth="1"/>
    <col min="1033" max="1033" width="19.85546875" style="1" customWidth="1"/>
    <col min="1034" max="1034" width="6.5703125" style="1" customWidth="1"/>
    <col min="1035" max="1035" width="32.7109375" style="1" customWidth="1"/>
    <col min="1036" max="1036" width="15.140625" style="1" customWidth="1"/>
    <col min="1037" max="1037" width="22.140625" style="1" customWidth="1"/>
    <col min="1038" max="1038" width="16.85546875" style="1" customWidth="1"/>
    <col min="1039" max="1039" width="9.42578125" style="1" bestFit="1" customWidth="1"/>
    <col min="1040" max="1040" width="35.85546875" style="1" customWidth="1"/>
    <col min="1041" max="1041" width="14" style="1" customWidth="1"/>
    <col min="1042" max="1042" width="12" style="1" bestFit="1" customWidth="1"/>
    <col min="1043" max="1043" width="15" style="1" customWidth="1"/>
    <col min="1044" max="1044" width="9.140625" style="1"/>
    <col min="1045" max="1045" width="29.5703125" style="1" bestFit="1" customWidth="1"/>
    <col min="1046" max="1046" width="14.42578125" style="1" bestFit="1" customWidth="1"/>
    <col min="1047" max="1047" width="12.28515625" style="1" bestFit="1" customWidth="1"/>
    <col min="1048" max="1048" width="22.28515625" style="1" bestFit="1" customWidth="1"/>
    <col min="1049" max="1281" width="9.140625" style="1"/>
    <col min="1282" max="1282" width="30.85546875" style="1" customWidth="1"/>
    <col min="1283" max="1284" width="13.140625" style="1" customWidth="1"/>
    <col min="1285" max="1285" width="12.5703125" style="1" bestFit="1" customWidth="1"/>
    <col min="1286" max="1286" width="11.5703125" style="1" customWidth="1"/>
    <col min="1287" max="1288" width="10.7109375" style="1" customWidth="1"/>
    <col min="1289" max="1289" width="19.85546875" style="1" customWidth="1"/>
    <col min="1290" max="1290" width="6.5703125" style="1" customWidth="1"/>
    <col min="1291" max="1291" width="32.7109375" style="1" customWidth="1"/>
    <col min="1292" max="1292" width="15.140625" style="1" customWidth="1"/>
    <col min="1293" max="1293" width="22.140625" style="1" customWidth="1"/>
    <col min="1294" max="1294" width="16.85546875" style="1" customWidth="1"/>
    <col min="1295" max="1295" width="9.42578125" style="1" bestFit="1" customWidth="1"/>
    <col min="1296" max="1296" width="35.85546875" style="1" customWidth="1"/>
    <col min="1297" max="1297" width="14" style="1" customWidth="1"/>
    <col min="1298" max="1298" width="12" style="1" bestFit="1" customWidth="1"/>
    <col min="1299" max="1299" width="15" style="1" customWidth="1"/>
    <col min="1300" max="1300" width="9.140625" style="1"/>
    <col min="1301" max="1301" width="29.5703125" style="1" bestFit="1" customWidth="1"/>
    <col min="1302" max="1302" width="14.42578125" style="1" bestFit="1" customWidth="1"/>
    <col min="1303" max="1303" width="12.28515625" style="1" bestFit="1" customWidth="1"/>
    <col min="1304" max="1304" width="22.28515625" style="1" bestFit="1" customWidth="1"/>
    <col min="1305" max="1537" width="9.140625" style="1"/>
    <col min="1538" max="1538" width="30.85546875" style="1" customWidth="1"/>
    <col min="1539" max="1540" width="13.140625" style="1" customWidth="1"/>
    <col min="1541" max="1541" width="12.5703125" style="1" bestFit="1" customWidth="1"/>
    <col min="1542" max="1542" width="11.5703125" style="1" customWidth="1"/>
    <col min="1543" max="1544" width="10.7109375" style="1" customWidth="1"/>
    <col min="1545" max="1545" width="19.85546875" style="1" customWidth="1"/>
    <col min="1546" max="1546" width="6.5703125" style="1" customWidth="1"/>
    <col min="1547" max="1547" width="32.7109375" style="1" customWidth="1"/>
    <col min="1548" max="1548" width="15.140625" style="1" customWidth="1"/>
    <col min="1549" max="1549" width="22.140625" style="1" customWidth="1"/>
    <col min="1550" max="1550" width="16.85546875" style="1" customWidth="1"/>
    <col min="1551" max="1551" width="9.42578125" style="1" bestFit="1" customWidth="1"/>
    <col min="1552" max="1552" width="35.85546875" style="1" customWidth="1"/>
    <col min="1553" max="1553" width="14" style="1" customWidth="1"/>
    <col min="1554" max="1554" width="12" style="1" bestFit="1" customWidth="1"/>
    <col min="1555" max="1555" width="15" style="1" customWidth="1"/>
    <col min="1556" max="1556" width="9.140625" style="1"/>
    <col min="1557" max="1557" width="29.5703125" style="1" bestFit="1" customWidth="1"/>
    <col min="1558" max="1558" width="14.42578125" style="1" bestFit="1" customWidth="1"/>
    <col min="1559" max="1559" width="12.28515625" style="1" bestFit="1" customWidth="1"/>
    <col min="1560" max="1560" width="22.28515625" style="1" bestFit="1" customWidth="1"/>
    <col min="1561" max="1793" width="9.140625" style="1"/>
    <col min="1794" max="1794" width="30.85546875" style="1" customWidth="1"/>
    <col min="1795" max="1796" width="13.140625" style="1" customWidth="1"/>
    <col min="1797" max="1797" width="12.5703125" style="1" bestFit="1" customWidth="1"/>
    <col min="1798" max="1798" width="11.5703125" style="1" customWidth="1"/>
    <col min="1799" max="1800" width="10.7109375" style="1" customWidth="1"/>
    <col min="1801" max="1801" width="19.85546875" style="1" customWidth="1"/>
    <col min="1802" max="1802" width="6.5703125" style="1" customWidth="1"/>
    <col min="1803" max="1803" width="32.7109375" style="1" customWidth="1"/>
    <col min="1804" max="1804" width="15.140625" style="1" customWidth="1"/>
    <col min="1805" max="1805" width="22.140625" style="1" customWidth="1"/>
    <col min="1806" max="1806" width="16.85546875" style="1" customWidth="1"/>
    <col min="1807" max="1807" width="9.42578125" style="1" bestFit="1" customWidth="1"/>
    <col min="1808" max="1808" width="35.85546875" style="1" customWidth="1"/>
    <col min="1809" max="1809" width="14" style="1" customWidth="1"/>
    <col min="1810" max="1810" width="12" style="1" bestFit="1" customWidth="1"/>
    <col min="1811" max="1811" width="15" style="1" customWidth="1"/>
    <col min="1812" max="1812" width="9.140625" style="1"/>
    <col min="1813" max="1813" width="29.5703125" style="1" bestFit="1" customWidth="1"/>
    <col min="1814" max="1814" width="14.42578125" style="1" bestFit="1" customWidth="1"/>
    <col min="1815" max="1815" width="12.28515625" style="1" bestFit="1" customWidth="1"/>
    <col min="1816" max="1816" width="22.28515625" style="1" bestFit="1" customWidth="1"/>
    <col min="1817" max="2049" width="9.140625" style="1"/>
    <col min="2050" max="2050" width="30.85546875" style="1" customWidth="1"/>
    <col min="2051" max="2052" width="13.140625" style="1" customWidth="1"/>
    <col min="2053" max="2053" width="12.5703125" style="1" bestFit="1" customWidth="1"/>
    <col min="2054" max="2054" width="11.5703125" style="1" customWidth="1"/>
    <col min="2055" max="2056" width="10.7109375" style="1" customWidth="1"/>
    <col min="2057" max="2057" width="19.85546875" style="1" customWidth="1"/>
    <col min="2058" max="2058" width="6.5703125" style="1" customWidth="1"/>
    <col min="2059" max="2059" width="32.7109375" style="1" customWidth="1"/>
    <col min="2060" max="2060" width="15.140625" style="1" customWidth="1"/>
    <col min="2061" max="2061" width="22.140625" style="1" customWidth="1"/>
    <col min="2062" max="2062" width="16.85546875" style="1" customWidth="1"/>
    <col min="2063" max="2063" width="9.42578125" style="1" bestFit="1" customWidth="1"/>
    <col min="2064" max="2064" width="35.85546875" style="1" customWidth="1"/>
    <col min="2065" max="2065" width="14" style="1" customWidth="1"/>
    <col min="2066" max="2066" width="12" style="1" bestFit="1" customWidth="1"/>
    <col min="2067" max="2067" width="15" style="1" customWidth="1"/>
    <col min="2068" max="2068" width="9.140625" style="1"/>
    <col min="2069" max="2069" width="29.5703125" style="1" bestFit="1" customWidth="1"/>
    <col min="2070" max="2070" width="14.42578125" style="1" bestFit="1" customWidth="1"/>
    <col min="2071" max="2071" width="12.28515625" style="1" bestFit="1" customWidth="1"/>
    <col min="2072" max="2072" width="22.28515625" style="1" bestFit="1" customWidth="1"/>
    <col min="2073" max="2305" width="9.140625" style="1"/>
    <col min="2306" max="2306" width="30.85546875" style="1" customWidth="1"/>
    <col min="2307" max="2308" width="13.140625" style="1" customWidth="1"/>
    <col min="2309" max="2309" width="12.5703125" style="1" bestFit="1" customWidth="1"/>
    <col min="2310" max="2310" width="11.5703125" style="1" customWidth="1"/>
    <col min="2311" max="2312" width="10.7109375" style="1" customWidth="1"/>
    <col min="2313" max="2313" width="19.85546875" style="1" customWidth="1"/>
    <col min="2314" max="2314" width="6.5703125" style="1" customWidth="1"/>
    <col min="2315" max="2315" width="32.7109375" style="1" customWidth="1"/>
    <col min="2316" max="2316" width="15.140625" style="1" customWidth="1"/>
    <col min="2317" max="2317" width="22.140625" style="1" customWidth="1"/>
    <col min="2318" max="2318" width="16.85546875" style="1" customWidth="1"/>
    <col min="2319" max="2319" width="9.42578125" style="1" bestFit="1" customWidth="1"/>
    <col min="2320" max="2320" width="35.85546875" style="1" customWidth="1"/>
    <col min="2321" max="2321" width="14" style="1" customWidth="1"/>
    <col min="2322" max="2322" width="12" style="1" bestFit="1" customWidth="1"/>
    <col min="2323" max="2323" width="15" style="1" customWidth="1"/>
    <col min="2324" max="2324" width="9.140625" style="1"/>
    <col min="2325" max="2325" width="29.5703125" style="1" bestFit="1" customWidth="1"/>
    <col min="2326" max="2326" width="14.42578125" style="1" bestFit="1" customWidth="1"/>
    <col min="2327" max="2327" width="12.28515625" style="1" bestFit="1" customWidth="1"/>
    <col min="2328" max="2328" width="22.28515625" style="1" bestFit="1" customWidth="1"/>
    <col min="2329" max="2561" width="9.140625" style="1"/>
    <col min="2562" max="2562" width="30.85546875" style="1" customWidth="1"/>
    <col min="2563" max="2564" width="13.140625" style="1" customWidth="1"/>
    <col min="2565" max="2565" width="12.5703125" style="1" bestFit="1" customWidth="1"/>
    <col min="2566" max="2566" width="11.5703125" style="1" customWidth="1"/>
    <col min="2567" max="2568" width="10.7109375" style="1" customWidth="1"/>
    <col min="2569" max="2569" width="19.85546875" style="1" customWidth="1"/>
    <col min="2570" max="2570" width="6.5703125" style="1" customWidth="1"/>
    <col min="2571" max="2571" width="32.7109375" style="1" customWidth="1"/>
    <col min="2572" max="2572" width="15.140625" style="1" customWidth="1"/>
    <col min="2573" max="2573" width="22.140625" style="1" customWidth="1"/>
    <col min="2574" max="2574" width="16.85546875" style="1" customWidth="1"/>
    <col min="2575" max="2575" width="9.42578125" style="1" bestFit="1" customWidth="1"/>
    <col min="2576" max="2576" width="35.85546875" style="1" customWidth="1"/>
    <col min="2577" max="2577" width="14" style="1" customWidth="1"/>
    <col min="2578" max="2578" width="12" style="1" bestFit="1" customWidth="1"/>
    <col min="2579" max="2579" width="15" style="1" customWidth="1"/>
    <col min="2580" max="2580" width="9.140625" style="1"/>
    <col min="2581" max="2581" width="29.5703125" style="1" bestFit="1" customWidth="1"/>
    <col min="2582" max="2582" width="14.42578125" style="1" bestFit="1" customWidth="1"/>
    <col min="2583" max="2583" width="12.28515625" style="1" bestFit="1" customWidth="1"/>
    <col min="2584" max="2584" width="22.28515625" style="1" bestFit="1" customWidth="1"/>
    <col min="2585" max="2817" width="9.140625" style="1"/>
    <col min="2818" max="2818" width="30.85546875" style="1" customWidth="1"/>
    <col min="2819" max="2820" width="13.140625" style="1" customWidth="1"/>
    <col min="2821" max="2821" width="12.5703125" style="1" bestFit="1" customWidth="1"/>
    <col min="2822" max="2822" width="11.5703125" style="1" customWidth="1"/>
    <col min="2823" max="2824" width="10.7109375" style="1" customWidth="1"/>
    <col min="2825" max="2825" width="19.85546875" style="1" customWidth="1"/>
    <col min="2826" max="2826" width="6.5703125" style="1" customWidth="1"/>
    <col min="2827" max="2827" width="32.7109375" style="1" customWidth="1"/>
    <col min="2828" max="2828" width="15.140625" style="1" customWidth="1"/>
    <col min="2829" max="2829" width="22.140625" style="1" customWidth="1"/>
    <col min="2830" max="2830" width="16.85546875" style="1" customWidth="1"/>
    <col min="2831" max="2831" width="9.42578125" style="1" bestFit="1" customWidth="1"/>
    <col min="2832" max="2832" width="35.85546875" style="1" customWidth="1"/>
    <col min="2833" max="2833" width="14" style="1" customWidth="1"/>
    <col min="2834" max="2834" width="12" style="1" bestFit="1" customWidth="1"/>
    <col min="2835" max="2835" width="15" style="1" customWidth="1"/>
    <col min="2836" max="2836" width="9.140625" style="1"/>
    <col min="2837" max="2837" width="29.5703125" style="1" bestFit="1" customWidth="1"/>
    <col min="2838" max="2838" width="14.42578125" style="1" bestFit="1" customWidth="1"/>
    <col min="2839" max="2839" width="12.28515625" style="1" bestFit="1" customWidth="1"/>
    <col min="2840" max="2840" width="22.28515625" style="1" bestFit="1" customWidth="1"/>
    <col min="2841" max="3073" width="9.140625" style="1"/>
    <col min="3074" max="3074" width="30.85546875" style="1" customWidth="1"/>
    <col min="3075" max="3076" width="13.140625" style="1" customWidth="1"/>
    <col min="3077" max="3077" width="12.5703125" style="1" bestFit="1" customWidth="1"/>
    <col min="3078" max="3078" width="11.5703125" style="1" customWidth="1"/>
    <col min="3079" max="3080" width="10.7109375" style="1" customWidth="1"/>
    <col min="3081" max="3081" width="19.85546875" style="1" customWidth="1"/>
    <col min="3082" max="3082" width="6.5703125" style="1" customWidth="1"/>
    <col min="3083" max="3083" width="32.7109375" style="1" customWidth="1"/>
    <col min="3084" max="3084" width="15.140625" style="1" customWidth="1"/>
    <col min="3085" max="3085" width="22.140625" style="1" customWidth="1"/>
    <col min="3086" max="3086" width="16.85546875" style="1" customWidth="1"/>
    <col min="3087" max="3087" width="9.42578125" style="1" bestFit="1" customWidth="1"/>
    <col min="3088" max="3088" width="35.85546875" style="1" customWidth="1"/>
    <col min="3089" max="3089" width="14" style="1" customWidth="1"/>
    <col min="3090" max="3090" width="12" style="1" bestFit="1" customWidth="1"/>
    <col min="3091" max="3091" width="15" style="1" customWidth="1"/>
    <col min="3092" max="3092" width="9.140625" style="1"/>
    <col min="3093" max="3093" width="29.5703125" style="1" bestFit="1" customWidth="1"/>
    <col min="3094" max="3094" width="14.42578125" style="1" bestFit="1" customWidth="1"/>
    <col min="3095" max="3095" width="12.28515625" style="1" bestFit="1" customWidth="1"/>
    <col min="3096" max="3096" width="22.28515625" style="1" bestFit="1" customWidth="1"/>
    <col min="3097" max="3329" width="9.140625" style="1"/>
    <col min="3330" max="3330" width="30.85546875" style="1" customWidth="1"/>
    <col min="3331" max="3332" width="13.140625" style="1" customWidth="1"/>
    <col min="3333" max="3333" width="12.5703125" style="1" bestFit="1" customWidth="1"/>
    <col min="3334" max="3334" width="11.5703125" style="1" customWidth="1"/>
    <col min="3335" max="3336" width="10.7109375" style="1" customWidth="1"/>
    <col min="3337" max="3337" width="19.85546875" style="1" customWidth="1"/>
    <col min="3338" max="3338" width="6.5703125" style="1" customWidth="1"/>
    <col min="3339" max="3339" width="32.7109375" style="1" customWidth="1"/>
    <col min="3340" max="3340" width="15.140625" style="1" customWidth="1"/>
    <col min="3341" max="3341" width="22.140625" style="1" customWidth="1"/>
    <col min="3342" max="3342" width="16.85546875" style="1" customWidth="1"/>
    <col min="3343" max="3343" width="9.42578125" style="1" bestFit="1" customWidth="1"/>
    <col min="3344" max="3344" width="35.85546875" style="1" customWidth="1"/>
    <col min="3345" max="3345" width="14" style="1" customWidth="1"/>
    <col min="3346" max="3346" width="12" style="1" bestFit="1" customWidth="1"/>
    <col min="3347" max="3347" width="15" style="1" customWidth="1"/>
    <col min="3348" max="3348" width="9.140625" style="1"/>
    <col min="3349" max="3349" width="29.5703125" style="1" bestFit="1" customWidth="1"/>
    <col min="3350" max="3350" width="14.42578125" style="1" bestFit="1" customWidth="1"/>
    <col min="3351" max="3351" width="12.28515625" style="1" bestFit="1" customWidth="1"/>
    <col min="3352" max="3352" width="22.28515625" style="1" bestFit="1" customWidth="1"/>
    <col min="3353" max="3585" width="9.140625" style="1"/>
    <col min="3586" max="3586" width="30.85546875" style="1" customWidth="1"/>
    <col min="3587" max="3588" width="13.140625" style="1" customWidth="1"/>
    <col min="3589" max="3589" width="12.5703125" style="1" bestFit="1" customWidth="1"/>
    <col min="3590" max="3590" width="11.5703125" style="1" customWidth="1"/>
    <col min="3591" max="3592" width="10.7109375" style="1" customWidth="1"/>
    <col min="3593" max="3593" width="19.85546875" style="1" customWidth="1"/>
    <col min="3594" max="3594" width="6.5703125" style="1" customWidth="1"/>
    <col min="3595" max="3595" width="32.7109375" style="1" customWidth="1"/>
    <col min="3596" max="3596" width="15.140625" style="1" customWidth="1"/>
    <col min="3597" max="3597" width="22.140625" style="1" customWidth="1"/>
    <col min="3598" max="3598" width="16.85546875" style="1" customWidth="1"/>
    <col min="3599" max="3599" width="9.42578125" style="1" bestFit="1" customWidth="1"/>
    <col min="3600" max="3600" width="35.85546875" style="1" customWidth="1"/>
    <col min="3601" max="3601" width="14" style="1" customWidth="1"/>
    <col min="3602" max="3602" width="12" style="1" bestFit="1" customWidth="1"/>
    <col min="3603" max="3603" width="15" style="1" customWidth="1"/>
    <col min="3604" max="3604" width="9.140625" style="1"/>
    <col min="3605" max="3605" width="29.5703125" style="1" bestFit="1" customWidth="1"/>
    <col min="3606" max="3606" width="14.42578125" style="1" bestFit="1" customWidth="1"/>
    <col min="3607" max="3607" width="12.28515625" style="1" bestFit="1" customWidth="1"/>
    <col min="3608" max="3608" width="22.28515625" style="1" bestFit="1" customWidth="1"/>
    <col min="3609" max="3841" width="9.140625" style="1"/>
    <col min="3842" max="3842" width="30.85546875" style="1" customWidth="1"/>
    <col min="3843" max="3844" width="13.140625" style="1" customWidth="1"/>
    <col min="3845" max="3845" width="12.5703125" style="1" bestFit="1" customWidth="1"/>
    <col min="3846" max="3846" width="11.5703125" style="1" customWidth="1"/>
    <col min="3847" max="3848" width="10.7109375" style="1" customWidth="1"/>
    <col min="3849" max="3849" width="19.85546875" style="1" customWidth="1"/>
    <col min="3850" max="3850" width="6.5703125" style="1" customWidth="1"/>
    <col min="3851" max="3851" width="32.7109375" style="1" customWidth="1"/>
    <col min="3852" max="3852" width="15.140625" style="1" customWidth="1"/>
    <col min="3853" max="3853" width="22.140625" style="1" customWidth="1"/>
    <col min="3854" max="3854" width="16.85546875" style="1" customWidth="1"/>
    <col min="3855" max="3855" width="9.42578125" style="1" bestFit="1" customWidth="1"/>
    <col min="3856" max="3856" width="35.85546875" style="1" customWidth="1"/>
    <col min="3857" max="3857" width="14" style="1" customWidth="1"/>
    <col min="3858" max="3858" width="12" style="1" bestFit="1" customWidth="1"/>
    <col min="3859" max="3859" width="15" style="1" customWidth="1"/>
    <col min="3860" max="3860" width="9.140625" style="1"/>
    <col min="3861" max="3861" width="29.5703125" style="1" bestFit="1" customWidth="1"/>
    <col min="3862" max="3862" width="14.42578125" style="1" bestFit="1" customWidth="1"/>
    <col min="3863" max="3863" width="12.28515625" style="1" bestFit="1" customWidth="1"/>
    <col min="3864" max="3864" width="22.28515625" style="1" bestFit="1" customWidth="1"/>
    <col min="3865" max="4097" width="9.140625" style="1"/>
    <col min="4098" max="4098" width="30.85546875" style="1" customWidth="1"/>
    <col min="4099" max="4100" width="13.140625" style="1" customWidth="1"/>
    <col min="4101" max="4101" width="12.5703125" style="1" bestFit="1" customWidth="1"/>
    <col min="4102" max="4102" width="11.5703125" style="1" customWidth="1"/>
    <col min="4103" max="4104" width="10.7109375" style="1" customWidth="1"/>
    <col min="4105" max="4105" width="19.85546875" style="1" customWidth="1"/>
    <col min="4106" max="4106" width="6.5703125" style="1" customWidth="1"/>
    <col min="4107" max="4107" width="32.7109375" style="1" customWidth="1"/>
    <col min="4108" max="4108" width="15.140625" style="1" customWidth="1"/>
    <col min="4109" max="4109" width="22.140625" style="1" customWidth="1"/>
    <col min="4110" max="4110" width="16.85546875" style="1" customWidth="1"/>
    <col min="4111" max="4111" width="9.42578125" style="1" bestFit="1" customWidth="1"/>
    <col min="4112" max="4112" width="35.85546875" style="1" customWidth="1"/>
    <col min="4113" max="4113" width="14" style="1" customWidth="1"/>
    <col min="4114" max="4114" width="12" style="1" bestFit="1" customWidth="1"/>
    <col min="4115" max="4115" width="15" style="1" customWidth="1"/>
    <col min="4116" max="4116" width="9.140625" style="1"/>
    <col min="4117" max="4117" width="29.5703125" style="1" bestFit="1" customWidth="1"/>
    <col min="4118" max="4118" width="14.42578125" style="1" bestFit="1" customWidth="1"/>
    <col min="4119" max="4119" width="12.28515625" style="1" bestFit="1" customWidth="1"/>
    <col min="4120" max="4120" width="22.28515625" style="1" bestFit="1" customWidth="1"/>
    <col min="4121" max="4353" width="9.140625" style="1"/>
    <col min="4354" max="4354" width="30.85546875" style="1" customWidth="1"/>
    <col min="4355" max="4356" width="13.140625" style="1" customWidth="1"/>
    <col min="4357" max="4357" width="12.5703125" style="1" bestFit="1" customWidth="1"/>
    <col min="4358" max="4358" width="11.5703125" style="1" customWidth="1"/>
    <col min="4359" max="4360" width="10.7109375" style="1" customWidth="1"/>
    <col min="4361" max="4361" width="19.85546875" style="1" customWidth="1"/>
    <col min="4362" max="4362" width="6.5703125" style="1" customWidth="1"/>
    <col min="4363" max="4363" width="32.7109375" style="1" customWidth="1"/>
    <col min="4364" max="4364" width="15.140625" style="1" customWidth="1"/>
    <col min="4365" max="4365" width="22.140625" style="1" customWidth="1"/>
    <col min="4366" max="4366" width="16.85546875" style="1" customWidth="1"/>
    <col min="4367" max="4367" width="9.42578125" style="1" bestFit="1" customWidth="1"/>
    <col min="4368" max="4368" width="35.85546875" style="1" customWidth="1"/>
    <col min="4369" max="4369" width="14" style="1" customWidth="1"/>
    <col min="4370" max="4370" width="12" style="1" bestFit="1" customWidth="1"/>
    <col min="4371" max="4371" width="15" style="1" customWidth="1"/>
    <col min="4372" max="4372" width="9.140625" style="1"/>
    <col min="4373" max="4373" width="29.5703125" style="1" bestFit="1" customWidth="1"/>
    <col min="4374" max="4374" width="14.42578125" style="1" bestFit="1" customWidth="1"/>
    <col min="4375" max="4375" width="12.28515625" style="1" bestFit="1" customWidth="1"/>
    <col min="4376" max="4376" width="22.28515625" style="1" bestFit="1" customWidth="1"/>
    <col min="4377" max="4609" width="9.140625" style="1"/>
    <col min="4610" max="4610" width="30.85546875" style="1" customWidth="1"/>
    <col min="4611" max="4612" width="13.140625" style="1" customWidth="1"/>
    <col min="4613" max="4613" width="12.5703125" style="1" bestFit="1" customWidth="1"/>
    <col min="4614" max="4614" width="11.5703125" style="1" customWidth="1"/>
    <col min="4615" max="4616" width="10.7109375" style="1" customWidth="1"/>
    <col min="4617" max="4617" width="19.85546875" style="1" customWidth="1"/>
    <col min="4618" max="4618" width="6.5703125" style="1" customWidth="1"/>
    <col min="4619" max="4619" width="32.7109375" style="1" customWidth="1"/>
    <col min="4620" max="4620" width="15.140625" style="1" customWidth="1"/>
    <col min="4621" max="4621" width="22.140625" style="1" customWidth="1"/>
    <col min="4622" max="4622" width="16.85546875" style="1" customWidth="1"/>
    <col min="4623" max="4623" width="9.42578125" style="1" bestFit="1" customWidth="1"/>
    <col min="4624" max="4624" width="35.85546875" style="1" customWidth="1"/>
    <col min="4625" max="4625" width="14" style="1" customWidth="1"/>
    <col min="4626" max="4626" width="12" style="1" bestFit="1" customWidth="1"/>
    <col min="4627" max="4627" width="15" style="1" customWidth="1"/>
    <col min="4628" max="4628" width="9.140625" style="1"/>
    <col min="4629" max="4629" width="29.5703125" style="1" bestFit="1" customWidth="1"/>
    <col min="4630" max="4630" width="14.42578125" style="1" bestFit="1" customWidth="1"/>
    <col min="4631" max="4631" width="12.28515625" style="1" bestFit="1" customWidth="1"/>
    <col min="4632" max="4632" width="22.28515625" style="1" bestFit="1" customWidth="1"/>
    <col min="4633" max="4865" width="9.140625" style="1"/>
    <col min="4866" max="4866" width="30.85546875" style="1" customWidth="1"/>
    <col min="4867" max="4868" width="13.140625" style="1" customWidth="1"/>
    <col min="4869" max="4869" width="12.5703125" style="1" bestFit="1" customWidth="1"/>
    <col min="4870" max="4870" width="11.5703125" style="1" customWidth="1"/>
    <col min="4871" max="4872" width="10.7109375" style="1" customWidth="1"/>
    <col min="4873" max="4873" width="19.85546875" style="1" customWidth="1"/>
    <col min="4874" max="4874" width="6.5703125" style="1" customWidth="1"/>
    <col min="4875" max="4875" width="32.7109375" style="1" customWidth="1"/>
    <col min="4876" max="4876" width="15.140625" style="1" customWidth="1"/>
    <col min="4877" max="4877" width="22.140625" style="1" customWidth="1"/>
    <col min="4878" max="4878" width="16.85546875" style="1" customWidth="1"/>
    <col min="4879" max="4879" width="9.42578125" style="1" bestFit="1" customWidth="1"/>
    <col min="4880" max="4880" width="35.85546875" style="1" customWidth="1"/>
    <col min="4881" max="4881" width="14" style="1" customWidth="1"/>
    <col min="4882" max="4882" width="12" style="1" bestFit="1" customWidth="1"/>
    <col min="4883" max="4883" width="15" style="1" customWidth="1"/>
    <col min="4884" max="4884" width="9.140625" style="1"/>
    <col min="4885" max="4885" width="29.5703125" style="1" bestFit="1" customWidth="1"/>
    <col min="4886" max="4886" width="14.42578125" style="1" bestFit="1" customWidth="1"/>
    <col min="4887" max="4887" width="12.28515625" style="1" bestFit="1" customWidth="1"/>
    <col min="4888" max="4888" width="22.28515625" style="1" bestFit="1" customWidth="1"/>
    <col min="4889" max="5121" width="9.140625" style="1"/>
    <col min="5122" max="5122" width="30.85546875" style="1" customWidth="1"/>
    <col min="5123" max="5124" width="13.140625" style="1" customWidth="1"/>
    <col min="5125" max="5125" width="12.5703125" style="1" bestFit="1" customWidth="1"/>
    <col min="5126" max="5126" width="11.5703125" style="1" customWidth="1"/>
    <col min="5127" max="5128" width="10.7109375" style="1" customWidth="1"/>
    <col min="5129" max="5129" width="19.85546875" style="1" customWidth="1"/>
    <col min="5130" max="5130" width="6.5703125" style="1" customWidth="1"/>
    <col min="5131" max="5131" width="32.7109375" style="1" customWidth="1"/>
    <col min="5132" max="5132" width="15.140625" style="1" customWidth="1"/>
    <col min="5133" max="5133" width="22.140625" style="1" customWidth="1"/>
    <col min="5134" max="5134" width="16.85546875" style="1" customWidth="1"/>
    <col min="5135" max="5135" width="9.42578125" style="1" bestFit="1" customWidth="1"/>
    <col min="5136" max="5136" width="35.85546875" style="1" customWidth="1"/>
    <col min="5137" max="5137" width="14" style="1" customWidth="1"/>
    <col min="5138" max="5138" width="12" style="1" bestFit="1" customWidth="1"/>
    <col min="5139" max="5139" width="15" style="1" customWidth="1"/>
    <col min="5140" max="5140" width="9.140625" style="1"/>
    <col min="5141" max="5141" width="29.5703125" style="1" bestFit="1" customWidth="1"/>
    <col min="5142" max="5142" width="14.42578125" style="1" bestFit="1" customWidth="1"/>
    <col min="5143" max="5143" width="12.28515625" style="1" bestFit="1" customWidth="1"/>
    <col min="5144" max="5144" width="22.28515625" style="1" bestFit="1" customWidth="1"/>
    <col min="5145" max="5377" width="9.140625" style="1"/>
    <col min="5378" max="5378" width="30.85546875" style="1" customWidth="1"/>
    <col min="5379" max="5380" width="13.140625" style="1" customWidth="1"/>
    <col min="5381" max="5381" width="12.5703125" style="1" bestFit="1" customWidth="1"/>
    <col min="5382" max="5382" width="11.5703125" style="1" customWidth="1"/>
    <col min="5383" max="5384" width="10.7109375" style="1" customWidth="1"/>
    <col min="5385" max="5385" width="19.85546875" style="1" customWidth="1"/>
    <col min="5386" max="5386" width="6.5703125" style="1" customWidth="1"/>
    <col min="5387" max="5387" width="32.7109375" style="1" customWidth="1"/>
    <col min="5388" max="5388" width="15.140625" style="1" customWidth="1"/>
    <col min="5389" max="5389" width="22.140625" style="1" customWidth="1"/>
    <col min="5390" max="5390" width="16.85546875" style="1" customWidth="1"/>
    <col min="5391" max="5391" width="9.42578125" style="1" bestFit="1" customWidth="1"/>
    <col min="5392" max="5392" width="35.85546875" style="1" customWidth="1"/>
    <col min="5393" max="5393" width="14" style="1" customWidth="1"/>
    <col min="5394" max="5394" width="12" style="1" bestFit="1" customWidth="1"/>
    <col min="5395" max="5395" width="15" style="1" customWidth="1"/>
    <col min="5396" max="5396" width="9.140625" style="1"/>
    <col min="5397" max="5397" width="29.5703125" style="1" bestFit="1" customWidth="1"/>
    <col min="5398" max="5398" width="14.42578125" style="1" bestFit="1" customWidth="1"/>
    <col min="5399" max="5399" width="12.28515625" style="1" bestFit="1" customWidth="1"/>
    <col min="5400" max="5400" width="22.28515625" style="1" bestFit="1" customWidth="1"/>
    <col min="5401" max="5633" width="9.140625" style="1"/>
    <col min="5634" max="5634" width="30.85546875" style="1" customWidth="1"/>
    <col min="5635" max="5636" width="13.140625" style="1" customWidth="1"/>
    <col min="5637" max="5637" width="12.5703125" style="1" bestFit="1" customWidth="1"/>
    <col min="5638" max="5638" width="11.5703125" style="1" customWidth="1"/>
    <col min="5639" max="5640" width="10.7109375" style="1" customWidth="1"/>
    <col min="5641" max="5641" width="19.85546875" style="1" customWidth="1"/>
    <col min="5642" max="5642" width="6.5703125" style="1" customWidth="1"/>
    <col min="5643" max="5643" width="32.7109375" style="1" customWidth="1"/>
    <col min="5644" max="5644" width="15.140625" style="1" customWidth="1"/>
    <col min="5645" max="5645" width="22.140625" style="1" customWidth="1"/>
    <col min="5646" max="5646" width="16.85546875" style="1" customWidth="1"/>
    <col min="5647" max="5647" width="9.42578125" style="1" bestFit="1" customWidth="1"/>
    <col min="5648" max="5648" width="35.85546875" style="1" customWidth="1"/>
    <col min="5649" max="5649" width="14" style="1" customWidth="1"/>
    <col min="5650" max="5650" width="12" style="1" bestFit="1" customWidth="1"/>
    <col min="5651" max="5651" width="15" style="1" customWidth="1"/>
    <col min="5652" max="5652" width="9.140625" style="1"/>
    <col min="5653" max="5653" width="29.5703125" style="1" bestFit="1" customWidth="1"/>
    <col min="5654" max="5654" width="14.42578125" style="1" bestFit="1" customWidth="1"/>
    <col min="5655" max="5655" width="12.28515625" style="1" bestFit="1" customWidth="1"/>
    <col min="5656" max="5656" width="22.28515625" style="1" bestFit="1" customWidth="1"/>
    <col min="5657" max="5889" width="9.140625" style="1"/>
    <col min="5890" max="5890" width="30.85546875" style="1" customWidth="1"/>
    <col min="5891" max="5892" width="13.140625" style="1" customWidth="1"/>
    <col min="5893" max="5893" width="12.5703125" style="1" bestFit="1" customWidth="1"/>
    <col min="5894" max="5894" width="11.5703125" style="1" customWidth="1"/>
    <col min="5895" max="5896" width="10.7109375" style="1" customWidth="1"/>
    <col min="5897" max="5897" width="19.85546875" style="1" customWidth="1"/>
    <col min="5898" max="5898" width="6.5703125" style="1" customWidth="1"/>
    <col min="5899" max="5899" width="32.7109375" style="1" customWidth="1"/>
    <col min="5900" max="5900" width="15.140625" style="1" customWidth="1"/>
    <col min="5901" max="5901" width="22.140625" style="1" customWidth="1"/>
    <col min="5902" max="5902" width="16.85546875" style="1" customWidth="1"/>
    <col min="5903" max="5903" width="9.42578125" style="1" bestFit="1" customWidth="1"/>
    <col min="5904" max="5904" width="35.85546875" style="1" customWidth="1"/>
    <col min="5905" max="5905" width="14" style="1" customWidth="1"/>
    <col min="5906" max="5906" width="12" style="1" bestFit="1" customWidth="1"/>
    <col min="5907" max="5907" width="15" style="1" customWidth="1"/>
    <col min="5908" max="5908" width="9.140625" style="1"/>
    <col min="5909" max="5909" width="29.5703125" style="1" bestFit="1" customWidth="1"/>
    <col min="5910" max="5910" width="14.42578125" style="1" bestFit="1" customWidth="1"/>
    <col min="5911" max="5911" width="12.28515625" style="1" bestFit="1" customWidth="1"/>
    <col min="5912" max="5912" width="22.28515625" style="1" bestFit="1" customWidth="1"/>
    <col min="5913" max="6145" width="9.140625" style="1"/>
    <col min="6146" max="6146" width="30.85546875" style="1" customWidth="1"/>
    <col min="6147" max="6148" width="13.140625" style="1" customWidth="1"/>
    <col min="6149" max="6149" width="12.5703125" style="1" bestFit="1" customWidth="1"/>
    <col min="6150" max="6150" width="11.5703125" style="1" customWidth="1"/>
    <col min="6151" max="6152" width="10.7109375" style="1" customWidth="1"/>
    <col min="6153" max="6153" width="19.85546875" style="1" customWidth="1"/>
    <col min="6154" max="6154" width="6.5703125" style="1" customWidth="1"/>
    <col min="6155" max="6155" width="32.7109375" style="1" customWidth="1"/>
    <col min="6156" max="6156" width="15.140625" style="1" customWidth="1"/>
    <col min="6157" max="6157" width="22.140625" style="1" customWidth="1"/>
    <col min="6158" max="6158" width="16.85546875" style="1" customWidth="1"/>
    <col min="6159" max="6159" width="9.42578125" style="1" bestFit="1" customWidth="1"/>
    <col min="6160" max="6160" width="35.85546875" style="1" customWidth="1"/>
    <col min="6161" max="6161" width="14" style="1" customWidth="1"/>
    <col min="6162" max="6162" width="12" style="1" bestFit="1" customWidth="1"/>
    <col min="6163" max="6163" width="15" style="1" customWidth="1"/>
    <col min="6164" max="6164" width="9.140625" style="1"/>
    <col min="6165" max="6165" width="29.5703125" style="1" bestFit="1" customWidth="1"/>
    <col min="6166" max="6166" width="14.42578125" style="1" bestFit="1" customWidth="1"/>
    <col min="6167" max="6167" width="12.28515625" style="1" bestFit="1" customWidth="1"/>
    <col min="6168" max="6168" width="22.28515625" style="1" bestFit="1" customWidth="1"/>
    <col min="6169" max="6401" width="9.140625" style="1"/>
    <col min="6402" max="6402" width="30.85546875" style="1" customWidth="1"/>
    <col min="6403" max="6404" width="13.140625" style="1" customWidth="1"/>
    <col min="6405" max="6405" width="12.5703125" style="1" bestFit="1" customWidth="1"/>
    <col min="6406" max="6406" width="11.5703125" style="1" customWidth="1"/>
    <col min="6407" max="6408" width="10.7109375" style="1" customWidth="1"/>
    <col min="6409" max="6409" width="19.85546875" style="1" customWidth="1"/>
    <col min="6410" max="6410" width="6.5703125" style="1" customWidth="1"/>
    <col min="6411" max="6411" width="32.7109375" style="1" customWidth="1"/>
    <col min="6412" max="6412" width="15.140625" style="1" customWidth="1"/>
    <col min="6413" max="6413" width="22.140625" style="1" customWidth="1"/>
    <col min="6414" max="6414" width="16.85546875" style="1" customWidth="1"/>
    <col min="6415" max="6415" width="9.42578125" style="1" bestFit="1" customWidth="1"/>
    <col min="6416" max="6416" width="35.85546875" style="1" customWidth="1"/>
    <col min="6417" max="6417" width="14" style="1" customWidth="1"/>
    <col min="6418" max="6418" width="12" style="1" bestFit="1" customWidth="1"/>
    <col min="6419" max="6419" width="15" style="1" customWidth="1"/>
    <col min="6420" max="6420" width="9.140625" style="1"/>
    <col min="6421" max="6421" width="29.5703125" style="1" bestFit="1" customWidth="1"/>
    <col min="6422" max="6422" width="14.42578125" style="1" bestFit="1" customWidth="1"/>
    <col min="6423" max="6423" width="12.28515625" style="1" bestFit="1" customWidth="1"/>
    <col min="6424" max="6424" width="22.28515625" style="1" bestFit="1" customWidth="1"/>
    <col min="6425" max="6657" width="9.140625" style="1"/>
    <col min="6658" max="6658" width="30.85546875" style="1" customWidth="1"/>
    <col min="6659" max="6660" width="13.140625" style="1" customWidth="1"/>
    <col min="6661" max="6661" width="12.5703125" style="1" bestFit="1" customWidth="1"/>
    <col min="6662" max="6662" width="11.5703125" style="1" customWidth="1"/>
    <col min="6663" max="6664" width="10.7109375" style="1" customWidth="1"/>
    <col min="6665" max="6665" width="19.85546875" style="1" customWidth="1"/>
    <col min="6666" max="6666" width="6.5703125" style="1" customWidth="1"/>
    <col min="6667" max="6667" width="32.7109375" style="1" customWidth="1"/>
    <col min="6668" max="6668" width="15.140625" style="1" customWidth="1"/>
    <col min="6669" max="6669" width="22.140625" style="1" customWidth="1"/>
    <col min="6670" max="6670" width="16.85546875" style="1" customWidth="1"/>
    <col min="6671" max="6671" width="9.42578125" style="1" bestFit="1" customWidth="1"/>
    <col min="6672" max="6672" width="35.85546875" style="1" customWidth="1"/>
    <col min="6673" max="6673" width="14" style="1" customWidth="1"/>
    <col min="6674" max="6674" width="12" style="1" bestFit="1" customWidth="1"/>
    <col min="6675" max="6675" width="15" style="1" customWidth="1"/>
    <col min="6676" max="6676" width="9.140625" style="1"/>
    <col min="6677" max="6677" width="29.5703125" style="1" bestFit="1" customWidth="1"/>
    <col min="6678" max="6678" width="14.42578125" style="1" bestFit="1" customWidth="1"/>
    <col min="6679" max="6679" width="12.28515625" style="1" bestFit="1" customWidth="1"/>
    <col min="6680" max="6680" width="22.28515625" style="1" bestFit="1" customWidth="1"/>
    <col min="6681" max="6913" width="9.140625" style="1"/>
    <col min="6914" max="6914" width="30.85546875" style="1" customWidth="1"/>
    <col min="6915" max="6916" width="13.140625" style="1" customWidth="1"/>
    <col min="6917" max="6917" width="12.5703125" style="1" bestFit="1" customWidth="1"/>
    <col min="6918" max="6918" width="11.5703125" style="1" customWidth="1"/>
    <col min="6919" max="6920" width="10.7109375" style="1" customWidth="1"/>
    <col min="6921" max="6921" width="19.85546875" style="1" customWidth="1"/>
    <col min="6922" max="6922" width="6.5703125" style="1" customWidth="1"/>
    <col min="6923" max="6923" width="32.7109375" style="1" customWidth="1"/>
    <col min="6924" max="6924" width="15.140625" style="1" customWidth="1"/>
    <col min="6925" max="6925" width="22.140625" style="1" customWidth="1"/>
    <col min="6926" max="6926" width="16.85546875" style="1" customWidth="1"/>
    <col min="6927" max="6927" width="9.42578125" style="1" bestFit="1" customWidth="1"/>
    <col min="6928" max="6928" width="35.85546875" style="1" customWidth="1"/>
    <col min="6929" max="6929" width="14" style="1" customWidth="1"/>
    <col min="6930" max="6930" width="12" style="1" bestFit="1" customWidth="1"/>
    <col min="6931" max="6931" width="15" style="1" customWidth="1"/>
    <col min="6932" max="6932" width="9.140625" style="1"/>
    <col min="6933" max="6933" width="29.5703125" style="1" bestFit="1" customWidth="1"/>
    <col min="6934" max="6934" width="14.42578125" style="1" bestFit="1" customWidth="1"/>
    <col min="6935" max="6935" width="12.28515625" style="1" bestFit="1" customWidth="1"/>
    <col min="6936" max="6936" width="22.28515625" style="1" bestFit="1" customWidth="1"/>
    <col min="6937" max="7169" width="9.140625" style="1"/>
    <col min="7170" max="7170" width="30.85546875" style="1" customWidth="1"/>
    <col min="7171" max="7172" width="13.140625" style="1" customWidth="1"/>
    <col min="7173" max="7173" width="12.5703125" style="1" bestFit="1" customWidth="1"/>
    <col min="7174" max="7174" width="11.5703125" style="1" customWidth="1"/>
    <col min="7175" max="7176" width="10.7109375" style="1" customWidth="1"/>
    <col min="7177" max="7177" width="19.85546875" style="1" customWidth="1"/>
    <col min="7178" max="7178" width="6.5703125" style="1" customWidth="1"/>
    <col min="7179" max="7179" width="32.7109375" style="1" customWidth="1"/>
    <col min="7180" max="7180" width="15.140625" style="1" customWidth="1"/>
    <col min="7181" max="7181" width="22.140625" style="1" customWidth="1"/>
    <col min="7182" max="7182" width="16.85546875" style="1" customWidth="1"/>
    <col min="7183" max="7183" width="9.42578125" style="1" bestFit="1" customWidth="1"/>
    <col min="7184" max="7184" width="35.85546875" style="1" customWidth="1"/>
    <col min="7185" max="7185" width="14" style="1" customWidth="1"/>
    <col min="7186" max="7186" width="12" style="1" bestFit="1" customWidth="1"/>
    <col min="7187" max="7187" width="15" style="1" customWidth="1"/>
    <col min="7188" max="7188" width="9.140625" style="1"/>
    <col min="7189" max="7189" width="29.5703125" style="1" bestFit="1" customWidth="1"/>
    <col min="7190" max="7190" width="14.42578125" style="1" bestFit="1" customWidth="1"/>
    <col min="7191" max="7191" width="12.28515625" style="1" bestFit="1" customWidth="1"/>
    <col min="7192" max="7192" width="22.28515625" style="1" bestFit="1" customWidth="1"/>
    <col min="7193" max="7425" width="9.140625" style="1"/>
    <col min="7426" max="7426" width="30.85546875" style="1" customWidth="1"/>
    <col min="7427" max="7428" width="13.140625" style="1" customWidth="1"/>
    <col min="7429" max="7429" width="12.5703125" style="1" bestFit="1" customWidth="1"/>
    <col min="7430" max="7430" width="11.5703125" style="1" customWidth="1"/>
    <col min="7431" max="7432" width="10.7109375" style="1" customWidth="1"/>
    <col min="7433" max="7433" width="19.85546875" style="1" customWidth="1"/>
    <col min="7434" max="7434" width="6.5703125" style="1" customWidth="1"/>
    <col min="7435" max="7435" width="32.7109375" style="1" customWidth="1"/>
    <col min="7436" max="7436" width="15.140625" style="1" customWidth="1"/>
    <col min="7437" max="7437" width="22.140625" style="1" customWidth="1"/>
    <col min="7438" max="7438" width="16.85546875" style="1" customWidth="1"/>
    <col min="7439" max="7439" width="9.42578125" style="1" bestFit="1" customWidth="1"/>
    <col min="7440" max="7440" width="35.85546875" style="1" customWidth="1"/>
    <col min="7441" max="7441" width="14" style="1" customWidth="1"/>
    <col min="7442" max="7442" width="12" style="1" bestFit="1" customWidth="1"/>
    <col min="7443" max="7443" width="15" style="1" customWidth="1"/>
    <col min="7444" max="7444" width="9.140625" style="1"/>
    <col min="7445" max="7445" width="29.5703125" style="1" bestFit="1" customWidth="1"/>
    <col min="7446" max="7446" width="14.42578125" style="1" bestFit="1" customWidth="1"/>
    <col min="7447" max="7447" width="12.28515625" style="1" bestFit="1" customWidth="1"/>
    <col min="7448" max="7448" width="22.28515625" style="1" bestFit="1" customWidth="1"/>
    <col min="7449" max="7681" width="9.140625" style="1"/>
    <col min="7682" max="7682" width="30.85546875" style="1" customWidth="1"/>
    <col min="7683" max="7684" width="13.140625" style="1" customWidth="1"/>
    <col min="7685" max="7685" width="12.5703125" style="1" bestFit="1" customWidth="1"/>
    <col min="7686" max="7686" width="11.5703125" style="1" customWidth="1"/>
    <col min="7687" max="7688" width="10.7109375" style="1" customWidth="1"/>
    <col min="7689" max="7689" width="19.85546875" style="1" customWidth="1"/>
    <col min="7690" max="7690" width="6.5703125" style="1" customWidth="1"/>
    <col min="7691" max="7691" width="32.7109375" style="1" customWidth="1"/>
    <col min="7692" max="7692" width="15.140625" style="1" customWidth="1"/>
    <col min="7693" max="7693" width="22.140625" style="1" customWidth="1"/>
    <col min="7694" max="7694" width="16.85546875" style="1" customWidth="1"/>
    <col min="7695" max="7695" width="9.42578125" style="1" bestFit="1" customWidth="1"/>
    <col min="7696" max="7696" width="35.85546875" style="1" customWidth="1"/>
    <col min="7697" max="7697" width="14" style="1" customWidth="1"/>
    <col min="7698" max="7698" width="12" style="1" bestFit="1" customWidth="1"/>
    <col min="7699" max="7699" width="15" style="1" customWidth="1"/>
    <col min="7700" max="7700" width="9.140625" style="1"/>
    <col min="7701" max="7701" width="29.5703125" style="1" bestFit="1" customWidth="1"/>
    <col min="7702" max="7702" width="14.42578125" style="1" bestFit="1" customWidth="1"/>
    <col min="7703" max="7703" width="12.28515625" style="1" bestFit="1" customWidth="1"/>
    <col min="7704" max="7704" width="22.28515625" style="1" bestFit="1" customWidth="1"/>
    <col min="7705" max="7937" width="9.140625" style="1"/>
    <col min="7938" max="7938" width="30.85546875" style="1" customWidth="1"/>
    <col min="7939" max="7940" width="13.140625" style="1" customWidth="1"/>
    <col min="7941" max="7941" width="12.5703125" style="1" bestFit="1" customWidth="1"/>
    <col min="7942" max="7942" width="11.5703125" style="1" customWidth="1"/>
    <col min="7943" max="7944" width="10.7109375" style="1" customWidth="1"/>
    <col min="7945" max="7945" width="19.85546875" style="1" customWidth="1"/>
    <col min="7946" max="7946" width="6.5703125" style="1" customWidth="1"/>
    <col min="7947" max="7947" width="32.7109375" style="1" customWidth="1"/>
    <col min="7948" max="7948" width="15.140625" style="1" customWidth="1"/>
    <col min="7949" max="7949" width="22.140625" style="1" customWidth="1"/>
    <col min="7950" max="7950" width="16.85546875" style="1" customWidth="1"/>
    <col min="7951" max="7951" width="9.42578125" style="1" bestFit="1" customWidth="1"/>
    <col min="7952" max="7952" width="35.85546875" style="1" customWidth="1"/>
    <col min="7953" max="7953" width="14" style="1" customWidth="1"/>
    <col min="7954" max="7954" width="12" style="1" bestFit="1" customWidth="1"/>
    <col min="7955" max="7955" width="15" style="1" customWidth="1"/>
    <col min="7956" max="7956" width="9.140625" style="1"/>
    <col min="7957" max="7957" width="29.5703125" style="1" bestFit="1" customWidth="1"/>
    <col min="7958" max="7958" width="14.42578125" style="1" bestFit="1" customWidth="1"/>
    <col min="7959" max="7959" width="12.28515625" style="1" bestFit="1" customWidth="1"/>
    <col min="7960" max="7960" width="22.28515625" style="1" bestFit="1" customWidth="1"/>
    <col min="7961" max="8193" width="9.140625" style="1"/>
    <col min="8194" max="8194" width="30.85546875" style="1" customWidth="1"/>
    <col min="8195" max="8196" width="13.140625" style="1" customWidth="1"/>
    <col min="8197" max="8197" width="12.5703125" style="1" bestFit="1" customWidth="1"/>
    <col min="8198" max="8198" width="11.5703125" style="1" customWidth="1"/>
    <col min="8199" max="8200" width="10.7109375" style="1" customWidth="1"/>
    <col min="8201" max="8201" width="19.85546875" style="1" customWidth="1"/>
    <col min="8202" max="8202" width="6.5703125" style="1" customWidth="1"/>
    <col min="8203" max="8203" width="32.7109375" style="1" customWidth="1"/>
    <col min="8204" max="8204" width="15.140625" style="1" customWidth="1"/>
    <col min="8205" max="8205" width="22.140625" style="1" customWidth="1"/>
    <col min="8206" max="8206" width="16.85546875" style="1" customWidth="1"/>
    <col min="8207" max="8207" width="9.42578125" style="1" bestFit="1" customWidth="1"/>
    <col min="8208" max="8208" width="35.85546875" style="1" customWidth="1"/>
    <col min="8209" max="8209" width="14" style="1" customWidth="1"/>
    <col min="8210" max="8210" width="12" style="1" bestFit="1" customWidth="1"/>
    <col min="8211" max="8211" width="15" style="1" customWidth="1"/>
    <col min="8212" max="8212" width="9.140625" style="1"/>
    <col min="8213" max="8213" width="29.5703125" style="1" bestFit="1" customWidth="1"/>
    <col min="8214" max="8214" width="14.42578125" style="1" bestFit="1" customWidth="1"/>
    <col min="8215" max="8215" width="12.28515625" style="1" bestFit="1" customWidth="1"/>
    <col min="8216" max="8216" width="22.28515625" style="1" bestFit="1" customWidth="1"/>
    <col min="8217" max="8449" width="9.140625" style="1"/>
    <col min="8450" max="8450" width="30.85546875" style="1" customWidth="1"/>
    <col min="8451" max="8452" width="13.140625" style="1" customWidth="1"/>
    <col min="8453" max="8453" width="12.5703125" style="1" bestFit="1" customWidth="1"/>
    <col min="8454" max="8454" width="11.5703125" style="1" customWidth="1"/>
    <col min="8455" max="8456" width="10.7109375" style="1" customWidth="1"/>
    <col min="8457" max="8457" width="19.85546875" style="1" customWidth="1"/>
    <col min="8458" max="8458" width="6.5703125" style="1" customWidth="1"/>
    <col min="8459" max="8459" width="32.7109375" style="1" customWidth="1"/>
    <col min="8460" max="8460" width="15.140625" style="1" customWidth="1"/>
    <col min="8461" max="8461" width="22.140625" style="1" customWidth="1"/>
    <col min="8462" max="8462" width="16.85546875" style="1" customWidth="1"/>
    <col min="8463" max="8463" width="9.42578125" style="1" bestFit="1" customWidth="1"/>
    <col min="8464" max="8464" width="35.85546875" style="1" customWidth="1"/>
    <col min="8465" max="8465" width="14" style="1" customWidth="1"/>
    <col min="8466" max="8466" width="12" style="1" bestFit="1" customWidth="1"/>
    <col min="8467" max="8467" width="15" style="1" customWidth="1"/>
    <col min="8468" max="8468" width="9.140625" style="1"/>
    <col min="8469" max="8469" width="29.5703125" style="1" bestFit="1" customWidth="1"/>
    <col min="8470" max="8470" width="14.42578125" style="1" bestFit="1" customWidth="1"/>
    <col min="8471" max="8471" width="12.28515625" style="1" bestFit="1" customWidth="1"/>
    <col min="8472" max="8472" width="22.28515625" style="1" bestFit="1" customWidth="1"/>
    <col min="8473" max="8705" width="9.140625" style="1"/>
    <col min="8706" max="8706" width="30.85546875" style="1" customWidth="1"/>
    <col min="8707" max="8708" width="13.140625" style="1" customWidth="1"/>
    <col min="8709" max="8709" width="12.5703125" style="1" bestFit="1" customWidth="1"/>
    <col min="8710" max="8710" width="11.5703125" style="1" customWidth="1"/>
    <col min="8711" max="8712" width="10.7109375" style="1" customWidth="1"/>
    <col min="8713" max="8713" width="19.85546875" style="1" customWidth="1"/>
    <col min="8714" max="8714" width="6.5703125" style="1" customWidth="1"/>
    <col min="8715" max="8715" width="32.7109375" style="1" customWidth="1"/>
    <col min="8716" max="8716" width="15.140625" style="1" customWidth="1"/>
    <col min="8717" max="8717" width="22.140625" style="1" customWidth="1"/>
    <col min="8718" max="8718" width="16.85546875" style="1" customWidth="1"/>
    <col min="8719" max="8719" width="9.42578125" style="1" bestFit="1" customWidth="1"/>
    <col min="8720" max="8720" width="35.85546875" style="1" customWidth="1"/>
    <col min="8721" max="8721" width="14" style="1" customWidth="1"/>
    <col min="8722" max="8722" width="12" style="1" bestFit="1" customWidth="1"/>
    <col min="8723" max="8723" width="15" style="1" customWidth="1"/>
    <col min="8724" max="8724" width="9.140625" style="1"/>
    <col min="8725" max="8725" width="29.5703125" style="1" bestFit="1" customWidth="1"/>
    <col min="8726" max="8726" width="14.42578125" style="1" bestFit="1" customWidth="1"/>
    <col min="8727" max="8727" width="12.28515625" style="1" bestFit="1" customWidth="1"/>
    <col min="8728" max="8728" width="22.28515625" style="1" bestFit="1" customWidth="1"/>
    <col min="8729" max="8961" width="9.140625" style="1"/>
    <col min="8962" max="8962" width="30.85546875" style="1" customWidth="1"/>
    <col min="8963" max="8964" width="13.140625" style="1" customWidth="1"/>
    <col min="8965" max="8965" width="12.5703125" style="1" bestFit="1" customWidth="1"/>
    <col min="8966" max="8966" width="11.5703125" style="1" customWidth="1"/>
    <col min="8967" max="8968" width="10.7109375" style="1" customWidth="1"/>
    <col min="8969" max="8969" width="19.85546875" style="1" customWidth="1"/>
    <col min="8970" max="8970" width="6.5703125" style="1" customWidth="1"/>
    <col min="8971" max="8971" width="32.7109375" style="1" customWidth="1"/>
    <col min="8972" max="8972" width="15.140625" style="1" customWidth="1"/>
    <col min="8973" max="8973" width="22.140625" style="1" customWidth="1"/>
    <col min="8974" max="8974" width="16.85546875" style="1" customWidth="1"/>
    <col min="8975" max="8975" width="9.42578125" style="1" bestFit="1" customWidth="1"/>
    <col min="8976" max="8976" width="35.85546875" style="1" customWidth="1"/>
    <col min="8977" max="8977" width="14" style="1" customWidth="1"/>
    <col min="8978" max="8978" width="12" style="1" bestFit="1" customWidth="1"/>
    <col min="8979" max="8979" width="15" style="1" customWidth="1"/>
    <col min="8980" max="8980" width="9.140625" style="1"/>
    <col min="8981" max="8981" width="29.5703125" style="1" bestFit="1" customWidth="1"/>
    <col min="8982" max="8982" width="14.42578125" style="1" bestFit="1" customWidth="1"/>
    <col min="8983" max="8983" width="12.28515625" style="1" bestFit="1" customWidth="1"/>
    <col min="8984" max="8984" width="22.28515625" style="1" bestFit="1" customWidth="1"/>
    <col min="8985" max="9217" width="9.140625" style="1"/>
    <col min="9218" max="9218" width="30.85546875" style="1" customWidth="1"/>
    <col min="9219" max="9220" width="13.140625" style="1" customWidth="1"/>
    <col min="9221" max="9221" width="12.5703125" style="1" bestFit="1" customWidth="1"/>
    <col min="9222" max="9222" width="11.5703125" style="1" customWidth="1"/>
    <col min="9223" max="9224" width="10.7109375" style="1" customWidth="1"/>
    <col min="9225" max="9225" width="19.85546875" style="1" customWidth="1"/>
    <col min="9226" max="9226" width="6.5703125" style="1" customWidth="1"/>
    <col min="9227" max="9227" width="32.7109375" style="1" customWidth="1"/>
    <col min="9228" max="9228" width="15.140625" style="1" customWidth="1"/>
    <col min="9229" max="9229" width="22.140625" style="1" customWidth="1"/>
    <col min="9230" max="9230" width="16.85546875" style="1" customWidth="1"/>
    <col min="9231" max="9231" width="9.42578125" style="1" bestFit="1" customWidth="1"/>
    <col min="9232" max="9232" width="35.85546875" style="1" customWidth="1"/>
    <col min="9233" max="9233" width="14" style="1" customWidth="1"/>
    <col min="9234" max="9234" width="12" style="1" bestFit="1" customWidth="1"/>
    <col min="9235" max="9235" width="15" style="1" customWidth="1"/>
    <col min="9236" max="9236" width="9.140625" style="1"/>
    <col min="9237" max="9237" width="29.5703125" style="1" bestFit="1" customWidth="1"/>
    <col min="9238" max="9238" width="14.42578125" style="1" bestFit="1" customWidth="1"/>
    <col min="9239" max="9239" width="12.28515625" style="1" bestFit="1" customWidth="1"/>
    <col min="9240" max="9240" width="22.28515625" style="1" bestFit="1" customWidth="1"/>
    <col min="9241" max="9473" width="9.140625" style="1"/>
    <col min="9474" max="9474" width="30.85546875" style="1" customWidth="1"/>
    <col min="9475" max="9476" width="13.140625" style="1" customWidth="1"/>
    <col min="9477" max="9477" width="12.5703125" style="1" bestFit="1" customWidth="1"/>
    <col min="9478" max="9478" width="11.5703125" style="1" customWidth="1"/>
    <col min="9479" max="9480" width="10.7109375" style="1" customWidth="1"/>
    <col min="9481" max="9481" width="19.85546875" style="1" customWidth="1"/>
    <col min="9482" max="9482" width="6.5703125" style="1" customWidth="1"/>
    <col min="9483" max="9483" width="32.7109375" style="1" customWidth="1"/>
    <col min="9484" max="9484" width="15.140625" style="1" customWidth="1"/>
    <col min="9485" max="9485" width="22.140625" style="1" customWidth="1"/>
    <col min="9486" max="9486" width="16.85546875" style="1" customWidth="1"/>
    <col min="9487" max="9487" width="9.42578125" style="1" bestFit="1" customWidth="1"/>
    <col min="9488" max="9488" width="35.85546875" style="1" customWidth="1"/>
    <col min="9489" max="9489" width="14" style="1" customWidth="1"/>
    <col min="9490" max="9490" width="12" style="1" bestFit="1" customWidth="1"/>
    <col min="9491" max="9491" width="15" style="1" customWidth="1"/>
    <col min="9492" max="9492" width="9.140625" style="1"/>
    <col min="9493" max="9493" width="29.5703125" style="1" bestFit="1" customWidth="1"/>
    <col min="9494" max="9494" width="14.42578125" style="1" bestFit="1" customWidth="1"/>
    <col min="9495" max="9495" width="12.28515625" style="1" bestFit="1" customWidth="1"/>
    <col min="9496" max="9496" width="22.28515625" style="1" bestFit="1" customWidth="1"/>
    <col min="9497" max="9729" width="9.140625" style="1"/>
    <col min="9730" max="9730" width="30.85546875" style="1" customWidth="1"/>
    <col min="9731" max="9732" width="13.140625" style="1" customWidth="1"/>
    <col min="9733" max="9733" width="12.5703125" style="1" bestFit="1" customWidth="1"/>
    <col min="9734" max="9734" width="11.5703125" style="1" customWidth="1"/>
    <col min="9735" max="9736" width="10.7109375" style="1" customWidth="1"/>
    <col min="9737" max="9737" width="19.85546875" style="1" customWidth="1"/>
    <col min="9738" max="9738" width="6.5703125" style="1" customWidth="1"/>
    <col min="9739" max="9739" width="32.7109375" style="1" customWidth="1"/>
    <col min="9740" max="9740" width="15.140625" style="1" customWidth="1"/>
    <col min="9741" max="9741" width="22.140625" style="1" customWidth="1"/>
    <col min="9742" max="9742" width="16.85546875" style="1" customWidth="1"/>
    <col min="9743" max="9743" width="9.42578125" style="1" bestFit="1" customWidth="1"/>
    <col min="9744" max="9744" width="35.85546875" style="1" customWidth="1"/>
    <col min="9745" max="9745" width="14" style="1" customWidth="1"/>
    <col min="9746" max="9746" width="12" style="1" bestFit="1" customWidth="1"/>
    <col min="9747" max="9747" width="15" style="1" customWidth="1"/>
    <col min="9748" max="9748" width="9.140625" style="1"/>
    <col min="9749" max="9749" width="29.5703125" style="1" bestFit="1" customWidth="1"/>
    <col min="9750" max="9750" width="14.42578125" style="1" bestFit="1" customWidth="1"/>
    <col min="9751" max="9751" width="12.28515625" style="1" bestFit="1" customWidth="1"/>
    <col min="9752" max="9752" width="22.28515625" style="1" bestFit="1" customWidth="1"/>
    <col min="9753" max="9985" width="9.140625" style="1"/>
    <col min="9986" max="9986" width="30.85546875" style="1" customWidth="1"/>
    <col min="9987" max="9988" width="13.140625" style="1" customWidth="1"/>
    <col min="9989" max="9989" width="12.5703125" style="1" bestFit="1" customWidth="1"/>
    <col min="9990" max="9990" width="11.5703125" style="1" customWidth="1"/>
    <col min="9991" max="9992" width="10.7109375" style="1" customWidth="1"/>
    <col min="9993" max="9993" width="19.85546875" style="1" customWidth="1"/>
    <col min="9994" max="9994" width="6.5703125" style="1" customWidth="1"/>
    <col min="9995" max="9995" width="32.7109375" style="1" customWidth="1"/>
    <col min="9996" max="9996" width="15.140625" style="1" customWidth="1"/>
    <col min="9997" max="9997" width="22.140625" style="1" customWidth="1"/>
    <col min="9998" max="9998" width="16.85546875" style="1" customWidth="1"/>
    <col min="9999" max="9999" width="9.42578125" style="1" bestFit="1" customWidth="1"/>
    <col min="10000" max="10000" width="35.85546875" style="1" customWidth="1"/>
    <col min="10001" max="10001" width="14" style="1" customWidth="1"/>
    <col min="10002" max="10002" width="12" style="1" bestFit="1" customWidth="1"/>
    <col min="10003" max="10003" width="15" style="1" customWidth="1"/>
    <col min="10004" max="10004" width="9.140625" style="1"/>
    <col min="10005" max="10005" width="29.5703125" style="1" bestFit="1" customWidth="1"/>
    <col min="10006" max="10006" width="14.42578125" style="1" bestFit="1" customWidth="1"/>
    <col min="10007" max="10007" width="12.28515625" style="1" bestFit="1" customWidth="1"/>
    <col min="10008" max="10008" width="22.28515625" style="1" bestFit="1" customWidth="1"/>
    <col min="10009" max="10241" width="9.140625" style="1"/>
    <col min="10242" max="10242" width="30.85546875" style="1" customWidth="1"/>
    <col min="10243" max="10244" width="13.140625" style="1" customWidth="1"/>
    <col min="10245" max="10245" width="12.5703125" style="1" bestFit="1" customWidth="1"/>
    <col min="10246" max="10246" width="11.5703125" style="1" customWidth="1"/>
    <col min="10247" max="10248" width="10.7109375" style="1" customWidth="1"/>
    <col min="10249" max="10249" width="19.85546875" style="1" customWidth="1"/>
    <col min="10250" max="10250" width="6.5703125" style="1" customWidth="1"/>
    <col min="10251" max="10251" width="32.7109375" style="1" customWidth="1"/>
    <col min="10252" max="10252" width="15.140625" style="1" customWidth="1"/>
    <col min="10253" max="10253" width="22.140625" style="1" customWidth="1"/>
    <col min="10254" max="10254" width="16.85546875" style="1" customWidth="1"/>
    <col min="10255" max="10255" width="9.42578125" style="1" bestFit="1" customWidth="1"/>
    <col min="10256" max="10256" width="35.85546875" style="1" customWidth="1"/>
    <col min="10257" max="10257" width="14" style="1" customWidth="1"/>
    <col min="10258" max="10258" width="12" style="1" bestFit="1" customWidth="1"/>
    <col min="10259" max="10259" width="15" style="1" customWidth="1"/>
    <col min="10260" max="10260" width="9.140625" style="1"/>
    <col min="10261" max="10261" width="29.5703125" style="1" bestFit="1" customWidth="1"/>
    <col min="10262" max="10262" width="14.42578125" style="1" bestFit="1" customWidth="1"/>
    <col min="10263" max="10263" width="12.28515625" style="1" bestFit="1" customWidth="1"/>
    <col min="10264" max="10264" width="22.28515625" style="1" bestFit="1" customWidth="1"/>
    <col min="10265" max="10497" width="9.140625" style="1"/>
    <col min="10498" max="10498" width="30.85546875" style="1" customWidth="1"/>
    <col min="10499" max="10500" width="13.140625" style="1" customWidth="1"/>
    <col min="10501" max="10501" width="12.5703125" style="1" bestFit="1" customWidth="1"/>
    <col min="10502" max="10502" width="11.5703125" style="1" customWidth="1"/>
    <col min="10503" max="10504" width="10.7109375" style="1" customWidth="1"/>
    <col min="10505" max="10505" width="19.85546875" style="1" customWidth="1"/>
    <col min="10506" max="10506" width="6.5703125" style="1" customWidth="1"/>
    <col min="10507" max="10507" width="32.7109375" style="1" customWidth="1"/>
    <col min="10508" max="10508" width="15.140625" style="1" customWidth="1"/>
    <col min="10509" max="10509" width="22.140625" style="1" customWidth="1"/>
    <col min="10510" max="10510" width="16.85546875" style="1" customWidth="1"/>
    <col min="10511" max="10511" width="9.42578125" style="1" bestFit="1" customWidth="1"/>
    <col min="10512" max="10512" width="35.85546875" style="1" customWidth="1"/>
    <col min="10513" max="10513" width="14" style="1" customWidth="1"/>
    <col min="10514" max="10514" width="12" style="1" bestFit="1" customWidth="1"/>
    <col min="10515" max="10515" width="15" style="1" customWidth="1"/>
    <col min="10516" max="10516" width="9.140625" style="1"/>
    <col min="10517" max="10517" width="29.5703125" style="1" bestFit="1" customWidth="1"/>
    <col min="10518" max="10518" width="14.42578125" style="1" bestFit="1" customWidth="1"/>
    <col min="10519" max="10519" width="12.28515625" style="1" bestFit="1" customWidth="1"/>
    <col min="10520" max="10520" width="22.28515625" style="1" bestFit="1" customWidth="1"/>
    <col min="10521" max="10753" width="9.140625" style="1"/>
    <col min="10754" max="10754" width="30.85546875" style="1" customWidth="1"/>
    <col min="10755" max="10756" width="13.140625" style="1" customWidth="1"/>
    <col min="10757" max="10757" width="12.5703125" style="1" bestFit="1" customWidth="1"/>
    <col min="10758" max="10758" width="11.5703125" style="1" customWidth="1"/>
    <col min="10759" max="10760" width="10.7109375" style="1" customWidth="1"/>
    <col min="10761" max="10761" width="19.85546875" style="1" customWidth="1"/>
    <col min="10762" max="10762" width="6.5703125" style="1" customWidth="1"/>
    <col min="10763" max="10763" width="32.7109375" style="1" customWidth="1"/>
    <col min="10764" max="10764" width="15.140625" style="1" customWidth="1"/>
    <col min="10765" max="10765" width="22.140625" style="1" customWidth="1"/>
    <col min="10766" max="10766" width="16.85546875" style="1" customWidth="1"/>
    <col min="10767" max="10767" width="9.42578125" style="1" bestFit="1" customWidth="1"/>
    <col min="10768" max="10768" width="35.85546875" style="1" customWidth="1"/>
    <col min="10769" max="10769" width="14" style="1" customWidth="1"/>
    <col min="10770" max="10770" width="12" style="1" bestFit="1" customWidth="1"/>
    <col min="10771" max="10771" width="15" style="1" customWidth="1"/>
    <col min="10772" max="10772" width="9.140625" style="1"/>
    <col min="10773" max="10773" width="29.5703125" style="1" bestFit="1" customWidth="1"/>
    <col min="10774" max="10774" width="14.42578125" style="1" bestFit="1" customWidth="1"/>
    <col min="10775" max="10775" width="12.28515625" style="1" bestFit="1" customWidth="1"/>
    <col min="10776" max="10776" width="22.28515625" style="1" bestFit="1" customWidth="1"/>
    <col min="10777" max="11009" width="9.140625" style="1"/>
    <col min="11010" max="11010" width="30.85546875" style="1" customWidth="1"/>
    <col min="11011" max="11012" width="13.140625" style="1" customWidth="1"/>
    <col min="11013" max="11013" width="12.5703125" style="1" bestFit="1" customWidth="1"/>
    <col min="11014" max="11014" width="11.5703125" style="1" customWidth="1"/>
    <col min="11015" max="11016" width="10.7109375" style="1" customWidth="1"/>
    <col min="11017" max="11017" width="19.85546875" style="1" customWidth="1"/>
    <col min="11018" max="11018" width="6.5703125" style="1" customWidth="1"/>
    <col min="11019" max="11019" width="32.7109375" style="1" customWidth="1"/>
    <col min="11020" max="11020" width="15.140625" style="1" customWidth="1"/>
    <col min="11021" max="11021" width="22.140625" style="1" customWidth="1"/>
    <col min="11022" max="11022" width="16.85546875" style="1" customWidth="1"/>
    <col min="11023" max="11023" width="9.42578125" style="1" bestFit="1" customWidth="1"/>
    <col min="11024" max="11024" width="35.85546875" style="1" customWidth="1"/>
    <col min="11025" max="11025" width="14" style="1" customWidth="1"/>
    <col min="11026" max="11026" width="12" style="1" bestFit="1" customWidth="1"/>
    <col min="11027" max="11027" width="15" style="1" customWidth="1"/>
    <col min="11028" max="11028" width="9.140625" style="1"/>
    <col min="11029" max="11029" width="29.5703125" style="1" bestFit="1" customWidth="1"/>
    <col min="11030" max="11030" width="14.42578125" style="1" bestFit="1" customWidth="1"/>
    <col min="11031" max="11031" width="12.28515625" style="1" bestFit="1" customWidth="1"/>
    <col min="11032" max="11032" width="22.28515625" style="1" bestFit="1" customWidth="1"/>
    <col min="11033" max="11265" width="9.140625" style="1"/>
    <col min="11266" max="11266" width="30.85546875" style="1" customWidth="1"/>
    <col min="11267" max="11268" width="13.140625" style="1" customWidth="1"/>
    <col min="11269" max="11269" width="12.5703125" style="1" bestFit="1" customWidth="1"/>
    <col min="11270" max="11270" width="11.5703125" style="1" customWidth="1"/>
    <col min="11271" max="11272" width="10.7109375" style="1" customWidth="1"/>
    <col min="11273" max="11273" width="19.85546875" style="1" customWidth="1"/>
    <col min="11274" max="11274" width="6.5703125" style="1" customWidth="1"/>
    <col min="11275" max="11275" width="32.7109375" style="1" customWidth="1"/>
    <col min="11276" max="11276" width="15.140625" style="1" customWidth="1"/>
    <col min="11277" max="11277" width="22.140625" style="1" customWidth="1"/>
    <col min="11278" max="11278" width="16.85546875" style="1" customWidth="1"/>
    <col min="11279" max="11279" width="9.42578125" style="1" bestFit="1" customWidth="1"/>
    <col min="11280" max="11280" width="35.85546875" style="1" customWidth="1"/>
    <col min="11281" max="11281" width="14" style="1" customWidth="1"/>
    <col min="11282" max="11282" width="12" style="1" bestFit="1" customWidth="1"/>
    <col min="11283" max="11283" width="15" style="1" customWidth="1"/>
    <col min="11284" max="11284" width="9.140625" style="1"/>
    <col min="11285" max="11285" width="29.5703125" style="1" bestFit="1" customWidth="1"/>
    <col min="11286" max="11286" width="14.42578125" style="1" bestFit="1" customWidth="1"/>
    <col min="11287" max="11287" width="12.28515625" style="1" bestFit="1" customWidth="1"/>
    <col min="11288" max="11288" width="22.28515625" style="1" bestFit="1" customWidth="1"/>
    <col min="11289" max="11521" width="9.140625" style="1"/>
    <col min="11522" max="11522" width="30.85546875" style="1" customWidth="1"/>
    <col min="11523" max="11524" width="13.140625" style="1" customWidth="1"/>
    <col min="11525" max="11525" width="12.5703125" style="1" bestFit="1" customWidth="1"/>
    <col min="11526" max="11526" width="11.5703125" style="1" customWidth="1"/>
    <col min="11527" max="11528" width="10.7109375" style="1" customWidth="1"/>
    <col min="11529" max="11529" width="19.85546875" style="1" customWidth="1"/>
    <col min="11530" max="11530" width="6.5703125" style="1" customWidth="1"/>
    <col min="11531" max="11531" width="32.7109375" style="1" customWidth="1"/>
    <col min="11532" max="11532" width="15.140625" style="1" customWidth="1"/>
    <col min="11533" max="11533" width="22.140625" style="1" customWidth="1"/>
    <col min="11534" max="11534" width="16.85546875" style="1" customWidth="1"/>
    <col min="11535" max="11535" width="9.42578125" style="1" bestFit="1" customWidth="1"/>
    <col min="11536" max="11536" width="35.85546875" style="1" customWidth="1"/>
    <col min="11537" max="11537" width="14" style="1" customWidth="1"/>
    <col min="11538" max="11538" width="12" style="1" bestFit="1" customWidth="1"/>
    <col min="11539" max="11539" width="15" style="1" customWidth="1"/>
    <col min="11540" max="11540" width="9.140625" style="1"/>
    <col min="11541" max="11541" width="29.5703125" style="1" bestFit="1" customWidth="1"/>
    <col min="11542" max="11542" width="14.42578125" style="1" bestFit="1" customWidth="1"/>
    <col min="11543" max="11543" width="12.28515625" style="1" bestFit="1" customWidth="1"/>
    <col min="11544" max="11544" width="22.28515625" style="1" bestFit="1" customWidth="1"/>
    <col min="11545" max="11777" width="9.140625" style="1"/>
    <col min="11778" max="11778" width="30.85546875" style="1" customWidth="1"/>
    <col min="11779" max="11780" width="13.140625" style="1" customWidth="1"/>
    <col min="11781" max="11781" width="12.5703125" style="1" bestFit="1" customWidth="1"/>
    <col min="11782" max="11782" width="11.5703125" style="1" customWidth="1"/>
    <col min="11783" max="11784" width="10.7109375" style="1" customWidth="1"/>
    <col min="11785" max="11785" width="19.85546875" style="1" customWidth="1"/>
    <col min="11786" max="11786" width="6.5703125" style="1" customWidth="1"/>
    <col min="11787" max="11787" width="32.7109375" style="1" customWidth="1"/>
    <col min="11788" max="11788" width="15.140625" style="1" customWidth="1"/>
    <col min="11789" max="11789" width="22.140625" style="1" customWidth="1"/>
    <col min="11790" max="11790" width="16.85546875" style="1" customWidth="1"/>
    <col min="11791" max="11791" width="9.42578125" style="1" bestFit="1" customWidth="1"/>
    <col min="11792" max="11792" width="35.85546875" style="1" customWidth="1"/>
    <col min="11793" max="11793" width="14" style="1" customWidth="1"/>
    <col min="11794" max="11794" width="12" style="1" bestFit="1" customWidth="1"/>
    <col min="11795" max="11795" width="15" style="1" customWidth="1"/>
    <col min="11796" max="11796" width="9.140625" style="1"/>
    <col min="11797" max="11797" width="29.5703125" style="1" bestFit="1" customWidth="1"/>
    <col min="11798" max="11798" width="14.42578125" style="1" bestFit="1" customWidth="1"/>
    <col min="11799" max="11799" width="12.28515625" style="1" bestFit="1" customWidth="1"/>
    <col min="11800" max="11800" width="22.28515625" style="1" bestFit="1" customWidth="1"/>
    <col min="11801" max="12033" width="9.140625" style="1"/>
    <col min="12034" max="12034" width="30.85546875" style="1" customWidth="1"/>
    <col min="12035" max="12036" width="13.140625" style="1" customWidth="1"/>
    <col min="12037" max="12037" width="12.5703125" style="1" bestFit="1" customWidth="1"/>
    <col min="12038" max="12038" width="11.5703125" style="1" customWidth="1"/>
    <col min="12039" max="12040" width="10.7109375" style="1" customWidth="1"/>
    <col min="12041" max="12041" width="19.85546875" style="1" customWidth="1"/>
    <col min="12042" max="12042" width="6.5703125" style="1" customWidth="1"/>
    <col min="12043" max="12043" width="32.7109375" style="1" customWidth="1"/>
    <col min="12044" max="12044" width="15.140625" style="1" customWidth="1"/>
    <col min="12045" max="12045" width="22.140625" style="1" customWidth="1"/>
    <col min="12046" max="12046" width="16.85546875" style="1" customWidth="1"/>
    <col min="12047" max="12047" width="9.42578125" style="1" bestFit="1" customWidth="1"/>
    <col min="12048" max="12048" width="35.85546875" style="1" customWidth="1"/>
    <col min="12049" max="12049" width="14" style="1" customWidth="1"/>
    <col min="12050" max="12050" width="12" style="1" bestFit="1" customWidth="1"/>
    <col min="12051" max="12051" width="15" style="1" customWidth="1"/>
    <col min="12052" max="12052" width="9.140625" style="1"/>
    <col min="12053" max="12053" width="29.5703125" style="1" bestFit="1" customWidth="1"/>
    <col min="12054" max="12054" width="14.42578125" style="1" bestFit="1" customWidth="1"/>
    <col min="12055" max="12055" width="12.28515625" style="1" bestFit="1" customWidth="1"/>
    <col min="12056" max="12056" width="22.28515625" style="1" bestFit="1" customWidth="1"/>
    <col min="12057" max="12289" width="9.140625" style="1"/>
    <col min="12290" max="12290" width="30.85546875" style="1" customWidth="1"/>
    <col min="12291" max="12292" width="13.140625" style="1" customWidth="1"/>
    <col min="12293" max="12293" width="12.5703125" style="1" bestFit="1" customWidth="1"/>
    <col min="12294" max="12294" width="11.5703125" style="1" customWidth="1"/>
    <col min="12295" max="12296" width="10.7109375" style="1" customWidth="1"/>
    <col min="12297" max="12297" width="19.85546875" style="1" customWidth="1"/>
    <col min="12298" max="12298" width="6.5703125" style="1" customWidth="1"/>
    <col min="12299" max="12299" width="32.7109375" style="1" customWidth="1"/>
    <col min="12300" max="12300" width="15.140625" style="1" customWidth="1"/>
    <col min="12301" max="12301" width="22.140625" style="1" customWidth="1"/>
    <col min="12302" max="12302" width="16.85546875" style="1" customWidth="1"/>
    <col min="12303" max="12303" width="9.42578125" style="1" bestFit="1" customWidth="1"/>
    <col min="12304" max="12304" width="35.85546875" style="1" customWidth="1"/>
    <col min="12305" max="12305" width="14" style="1" customWidth="1"/>
    <col min="12306" max="12306" width="12" style="1" bestFit="1" customWidth="1"/>
    <col min="12307" max="12307" width="15" style="1" customWidth="1"/>
    <col min="12308" max="12308" width="9.140625" style="1"/>
    <col min="12309" max="12309" width="29.5703125" style="1" bestFit="1" customWidth="1"/>
    <col min="12310" max="12310" width="14.42578125" style="1" bestFit="1" customWidth="1"/>
    <col min="12311" max="12311" width="12.28515625" style="1" bestFit="1" customWidth="1"/>
    <col min="12312" max="12312" width="22.28515625" style="1" bestFit="1" customWidth="1"/>
    <col min="12313" max="12545" width="9.140625" style="1"/>
    <col min="12546" max="12546" width="30.85546875" style="1" customWidth="1"/>
    <col min="12547" max="12548" width="13.140625" style="1" customWidth="1"/>
    <col min="12549" max="12549" width="12.5703125" style="1" bestFit="1" customWidth="1"/>
    <col min="12550" max="12550" width="11.5703125" style="1" customWidth="1"/>
    <col min="12551" max="12552" width="10.7109375" style="1" customWidth="1"/>
    <col min="12553" max="12553" width="19.85546875" style="1" customWidth="1"/>
    <col min="12554" max="12554" width="6.5703125" style="1" customWidth="1"/>
    <col min="12555" max="12555" width="32.7109375" style="1" customWidth="1"/>
    <col min="12556" max="12556" width="15.140625" style="1" customWidth="1"/>
    <col min="12557" max="12557" width="22.140625" style="1" customWidth="1"/>
    <col min="12558" max="12558" width="16.85546875" style="1" customWidth="1"/>
    <col min="12559" max="12559" width="9.42578125" style="1" bestFit="1" customWidth="1"/>
    <col min="12560" max="12560" width="35.85546875" style="1" customWidth="1"/>
    <col min="12561" max="12561" width="14" style="1" customWidth="1"/>
    <col min="12562" max="12562" width="12" style="1" bestFit="1" customWidth="1"/>
    <col min="12563" max="12563" width="15" style="1" customWidth="1"/>
    <col min="12564" max="12564" width="9.140625" style="1"/>
    <col min="12565" max="12565" width="29.5703125" style="1" bestFit="1" customWidth="1"/>
    <col min="12566" max="12566" width="14.42578125" style="1" bestFit="1" customWidth="1"/>
    <col min="12567" max="12567" width="12.28515625" style="1" bestFit="1" customWidth="1"/>
    <col min="12568" max="12568" width="22.28515625" style="1" bestFit="1" customWidth="1"/>
    <col min="12569" max="12801" width="9.140625" style="1"/>
    <col min="12802" max="12802" width="30.85546875" style="1" customWidth="1"/>
    <col min="12803" max="12804" width="13.140625" style="1" customWidth="1"/>
    <col min="12805" max="12805" width="12.5703125" style="1" bestFit="1" customWidth="1"/>
    <col min="12806" max="12806" width="11.5703125" style="1" customWidth="1"/>
    <col min="12807" max="12808" width="10.7109375" style="1" customWidth="1"/>
    <col min="12809" max="12809" width="19.85546875" style="1" customWidth="1"/>
    <col min="12810" max="12810" width="6.5703125" style="1" customWidth="1"/>
    <col min="12811" max="12811" width="32.7109375" style="1" customWidth="1"/>
    <col min="12812" max="12812" width="15.140625" style="1" customWidth="1"/>
    <col min="12813" max="12813" width="22.140625" style="1" customWidth="1"/>
    <col min="12814" max="12814" width="16.85546875" style="1" customWidth="1"/>
    <col min="12815" max="12815" width="9.42578125" style="1" bestFit="1" customWidth="1"/>
    <col min="12816" max="12816" width="35.85546875" style="1" customWidth="1"/>
    <col min="12817" max="12817" width="14" style="1" customWidth="1"/>
    <col min="12818" max="12818" width="12" style="1" bestFit="1" customWidth="1"/>
    <col min="12819" max="12819" width="15" style="1" customWidth="1"/>
    <col min="12820" max="12820" width="9.140625" style="1"/>
    <col min="12821" max="12821" width="29.5703125" style="1" bestFit="1" customWidth="1"/>
    <col min="12822" max="12822" width="14.42578125" style="1" bestFit="1" customWidth="1"/>
    <col min="12823" max="12823" width="12.28515625" style="1" bestFit="1" customWidth="1"/>
    <col min="12824" max="12824" width="22.28515625" style="1" bestFit="1" customWidth="1"/>
    <col min="12825" max="13057" width="9.140625" style="1"/>
    <col min="13058" max="13058" width="30.85546875" style="1" customWidth="1"/>
    <col min="13059" max="13060" width="13.140625" style="1" customWidth="1"/>
    <col min="13061" max="13061" width="12.5703125" style="1" bestFit="1" customWidth="1"/>
    <col min="13062" max="13062" width="11.5703125" style="1" customWidth="1"/>
    <col min="13063" max="13064" width="10.7109375" style="1" customWidth="1"/>
    <col min="13065" max="13065" width="19.85546875" style="1" customWidth="1"/>
    <col min="13066" max="13066" width="6.5703125" style="1" customWidth="1"/>
    <col min="13067" max="13067" width="32.7109375" style="1" customWidth="1"/>
    <col min="13068" max="13068" width="15.140625" style="1" customWidth="1"/>
    <col min="13069" max="13069" width="22.140625" style="1" customWidth="1"/>
    <col min="13070" max="13070" width="16.85546875" style="1" customWidth="1"/>
    <col min="13071" max="13071" width="9.42578125" style="1" bestFit="1" customWidth="1"/>
    <col min="13072" max="13072" width="35.85546875" style="1" customWidth="1"/>
    <col min="13073" max="13073" width="14" style="1" customWidth="1"/>
    <col min="13074" max="13074" width="12" style="1" bestFit="1" customWidth="1"/>
    <col min="13075" max="13075" width="15" style="1" customWidth="1"/>
    <col min="13076" max="13076" width="9.140625" style="1"/>
    <col min="13077" max="13077" width="29.5703125" style="1" bestFit="1" customWidth="1"/>
    <col min="13078" max="13078" width="14.42578125" style="1" bestFit="1" customWidth="1"/>
    <col min="13079" max="13079" width="12.28515625" style="1" bestFit="1" customWidth="1"/>
    <col min="13080" max="13080" width="22.28515625" style="1" bestFit="1" customWidth="1"/>
    <col min="13081" max="13313" width="9.140625" style="1"/>
    <col min="13314" max="13314" width="30.85546875" style="1" customWidth="1"/>
    <col min="13315" max="13316" width="13.140625" style="1" customWidth="1"/>
    <col min="13317" max="13317" width="12.5703125" style="1" bestFit="1" customWidth="1"/>
    <col min="13318" max="13318" width="11.5703125" style="1" customWidth="1"/>
    <col min="13319" max="13320" width="10.7109375" style="1" customWidth="1"/>
    <col min="13321" max="13321" width="19.85546875" style="1" customWidth="1"/>
    <col min="13322" max="13322" width="6.5703125" style="1" customWidth="1"/>
    <col min="13323" max="13323" width="32.7109375" style="1" customWidth="1"/>
    <col min="13324" max="13324" width="15.140625" style="1" customWidth="1"/>
    <col min="13325" max="13325" width="22.140625" style="1" customWidth="1"/>
    <col min="13326" max="13326" width="16.85546875" style="1" customWidth="1"/>
    <col min="13327" max="13327" width="9.42578125" style="1" bestFit="1" customWidth="1"/>
    <col min="13328" max="13328" width="35.85546875" style="1" customWidth="1"/>
    <col min="13329" max="13329" width="14" style="1" customWidth="1"/>
    <col min="13330" max="13330" width="12" style="1" bestFit="1" customWidth="1"/>
    <col min="13331" max="13331" width="15" style="1" customWidth="1"/>
    <col min="13332" max="13332" width="9.140625" style="1"/>
    <col min="13333" max="13333" width="29.5703125" style="1" bestFit="1" customWidth="1"/>
    <col min="13334" max="13334" width="14.42578125" style="1" bestFit="1" customWidth="1"/>
    <col min="13335" max="13335" width="12.28515625" style="1" bestFit="1" customWidth="1"/>
    <col min="13336" max="13336" width="22.28515625" style="1" bestFit="1" customWidth="1"/>
    <col min="13337" max="13569" width="9.140625" style="1"/>
    <col min="13570" max="13570" width="30.85546875" style="1" customWidth="1"/>
    <col min="13571" max="13572" width="13.140625" style="1" customWidth="1"/>
    <col min="13573" max="13573" width="12.5703125" style="1" bestFit="1" customWidth="1"/>
    <col min="13574" max="13574" width="11.5703125" style="1" customWidth="1"/>
    <col min="13575" max="13576" width="10.7109375" style="1" customWidth="1"/>
    <col min="13577" max="13577" width="19.85546875" style="1" customWidth="1"/>
    <col min="13578" max="13578" width="6.5703125" style="1" customWidth="1"/>
    <col min="13579" max="13579" width="32.7109375" style="1" customWidth="1"/>
    <col min="13580" max="13580" width="15.140625" style="1" customWidth="1"/>
    <col min="13581" max="13581" width="22.140625" style="1" customWidth="1"/>
    <col min="13582" max="13582" width="16.85546875" style="1" customWidth="1"/>
    <col min="13583" max="13583" width="9.42578125" style="1" bestFit="1" customWidth="1"/>
    <col min="13584" max="13584" width="35.85546875" style="1" customWidth="1"/>
    <col min="13585" max="13585" width="14" style="1" customWidth="1"/>
    <col min="13586" max="13586" width="12" style="1" bestFit="1" customWidth="1"/>
    <col min="13587" max="13587" width="15" style="1" customWidth="1"/>
    <col min="13588" max="13588" width="9.140625" style="1"/>
    <col min="13589" max="13589" width="29.5703125" style="1" bestFit="1" customWidth="1"/>
    <col min="13590" max="13590" width="14.42578125" style="1" bestFit="1" customWidth="1"/>
    <col min="13591" max="13591" width="12.28515625" style="1" bestFit="1" customWidth="1"/>
    <col min="13592" max="13592" width="22.28515625" style="1" bestFit="1" customWidth="1"/>
    <col min="13593" max="13825" width="9.140625" style="1"/>
    <col min="13826" max="13826" width="30.85546875" style="1" customWidth="1"/>
    <col min="13827" max="13828" width="13.140625" style="1" customWidth="1"/>
    <col min="13829" max="13829" width="12.5703125" style="1" bestFit="1" customWidth="1"/>
    <col min="13830" max="13830" width="11.5703125" style="1" customWidth="1"/>
    <col min="13831" max="13832" width="10.7109375" style="1" customWidth="1"/>
    <col min="13833" max="13833" width="19.85546875" style="1" customWidth="1"/>
    <col min="13834" max="13834" width="6.5703125" style="1" customWidth="1"/>
    <col min="13835" max="13835" width="32.7109375" style="1" customWidth="1"/>
    <col min="13836" max="13836" width="15.140625" style="1" customWidth="1"/>
    <col min="13837" max="13837" width="22.140625" style="1" customWidth="1"/>
    <col min="13838" max="13838" width="16.85546875" style="1" customWidth="1"/>
    <col min="13839" max="13839" width="9.42578125" style="1" bestFit="1" customWidth="1"/>
    <col min="13840" max="13840" width="35.85546875" style="1" customWidth="1"/>
    <col min="13841" max="13841" width="14" style="1" customWidth="1"/>
    <col min="13842" max="13842" width="12" style="1" bestFit="1" customWidth="1"/>
    <col min="13843" max="13843" width="15" style="1" customWidth="1"/>
    <col min="13844" max="13844" width="9.140625" style="1"/>
    <col min="13845" max="13845" width="29.5703125" style="1" bestFit="1" customWidth="1"/>
    <col min="13846" max="13846" width="14.42578125" style="1" bestFit="1" customWidth="1"/>
    <col min="13847" max="13847" width="12.28515625" style="1" bestFit="1" customWidth="1"/>
    <col min="13848" max="13848" width="22.28515625" style="1" bestFit="1" customWidth="1"/>
    <col min="13849" max="14081" width="9.140625" style="1"/>
    <col min="14082" max="14082" width="30.85546875" style="1" customWidth="1"/>
    <col min="14083" max="14084" width="13.140625" style="1" customWidth="1"/>
    <col min="14085" max="14085" width="12.5703125" style="1" bestFit="1" customWidth="1"/>
    <col min="14086" max="14086" width="11.5703125" style="1" customWidth="1"/>
    <col min="14087" max="14088" width="10.7109375" style="1" customWidth="1"/>
    <col min="14089" max="14089" width="19.85546875" style="1" customWidth="1"/>
    <col min="14090" max="14090" width="6.5703125" style="1" customWidth="1"/>
    <col min="14091" max="14091" width="32.7109375" style="1" customWidth="1"/>
    <col min="14092" max="14092" width="15.140625" style="1" customWidth="1"/>
    <col min="14093" max="14093" width="22.140625" style="1" customWidth="1"/>
    <col min="14094" max="14094" width="16.85546875" style="1" customWidth="1"/>
    <col min="14095" max="14095" width="9.42578125" style="1" bestFit="1" customWidth="1"/>
    <col min="14096" max="14096" width="35.85546875" style="1" customWidth="1"/>
    <col min="14097" max="14097" width="14" style="1" customWidth="1"/>
    <col min="14098" max="14098" width="12" style="1" bestFit="1" customWidth="1"/>
    <col min="14099" max="14099" width="15" style="1" customWidth="1"/>
    <col min="14100" max="14100" width="9.140625" style="1"/>
    <col min="14101" max="14101" width="29.5703125" style="1" bestFit="1" customWidth="1"/>
    <col min="14102" max="14102" width="14.42578125" style="1" bestFit="1" customWidth="1"/>
    <col min="14103" max="14103" width="12.28515625" style="1" bestFit="1" customWidth="1"/>
    <col min="14104" max="14104" width="22.28515625" style="1" bestFit="1" customWidth="1"/>
    <col min="14105" max="14337" width="9.140625" style="1"/>
    <col min="14338" max="14338" width="30.85546875" style="1" customWidth="1"/>
    <col min="14339" max="14340" width="13.140625" style="1" customWidth="1"/>
    <col min="14341" max="14341" width="12.5703125" style="1" bestFit="1" customWidth="1"/>
    <col min="14342" max="14342" width="11.5703125" style="1" customWidth="1"/>
    <col min="14343" max="14344" width="10.7109375" style="1" customWidth="1"/>
    <col min="14345" max="14345" width="19.85546875" style="1" customWidth="1"/>
    <col min="14346" max="14346" width="6.5703125" style="1" customWidth="1"/>
    <col min="14347" max="14347" width="32.7109375" style="1" customWidth="1"/>
    <col min="14348" max="14348" width="15.140625" style="1" customWidth="1"/>
    <col min="14349" max="14349" width="22.140625" style="1" customWidth="1"/>
    <col min="14350" max="14350" width="16.85546875" style="1" customWidth="1"/>
    <col min="14351" max="14351" width="9.42578125" style="1" bestFit="1" customWidth="1"/>
    <col min="14352" max="14352" width="35.85546875" style="1" customWidth="1"/>
    <col min="14353" max="14353" width="14" style="1" customWidth="1"/>
    <col min="14354" max="14354" width="12" style="1" bestFit="1" customWidth="1"/>
    <col min="14355" max="14355" width="15" style="1" customWidth="1"/>
    <col min="14356" max="14356" width="9.140625" style="1"/>
    <col min="14357" max="14357" width="29.5703125" style="1" bestFit="1" customWidth="1"/>
    <col min="14358" max="14358" width="14.42578125" style="1" bestFit="1" customWidth="1"/>
    <col min="14359" max="14359" width="12.28515625" style="1" bestFit="1" customWidth="1"/>
    <col min="14360" max="14360" width="22.28515625" style="1" bestFit="1" customWidth="1"/>
    <col min="14361" max="14593" width="9.140625" style="1"/>
    <col min="14594" max="14594" width="30.85546875" style="1" customWidth="1"/>
    <col min="14595" max="14596" width="13.140625" style="1" customWidth="1"/>
    <col min="14597" max="14597" width="12.5703125" style="1" bestFit="1" customWidth="1"/>
    <col min="14598" max="14598" width="11.5703125" style="1" customWidth="1"/>
    <col min="14599" max="14600" width="10.7109375" style="1" customWidth="1"/>
    <col min="14601" max="14601" width="19.85546875" style="1" customWidth="1"/>
    <col min="14602" max="14602" width="6.5703125" style="1" customWidth="1"/>
    <col min="14603" max="14603" width="32.7109375" style="1" customWidth="1"/>
    <col min="14604" max="14604" width="15.140625" style="1" customWidth="1"/>
    <col min="14605" max="14605" width="22.140625" style="1" customWidth="1"/>
    <col min="14606" max="14606" width="16.85546875" style="1" customWidth="1"/>
    <col min="14607" max="14607" width="9.42578125" style="1" bestFit="1" customWidth="1"/>
    <col min="14608" max="14608" width="35.85546875" style="1" customWidth="1"/>
    <col min="14609" max="14609" width="14" style="1" customWidth="1"/>
    <col min="14610" max="14610" width="12" style="1" bestFit="1" customWidth="1"/>
    <col min="14611" max="14611" width="15" style="1" customWidth="1"/>
    <col min="14612" max="14612" width="9.140625" style="1"/>
    <col min="14613" max="14613" width="29.5703125" style="1" bestFit="1" customWidth="1"/>
    <col min="14614" max="14614" width="14.42578125" style="1" bestFit="1" customWidth="1"/>
    <col min="14615" max="14615" width="12.28515625" style="1" bestFit="1" customWidth="1"/>
    <col min="14616" max="14616" width="22.28515625" style="1" bestFit="1" customWidth="1"/>
    <col min="14617" max="14849" width="9.140625" style="1"/>
    <col min="14850" max="14850" width="30.85546875" style="1" customWidth="1"/>
    <col min="14851" max="14852" width="13.140625" style="1" customWidth="1"/>
    <col min="14853" max="14853" width="12.5703125" style="1" bestFit="1" customWidth="1"/>
    <col min="14854" max="14854" width="11.5703125" style="1" customWidth="1"/>
    <col min="14855" max="14856" width="10.7109375" style="1" customWidth="1"/>
    <col min="14857" max="14857" width="19.85546875" style="1" customWidth="1"/>
    <col min="14858" max="14858" width="6.5703125" style="1" customWidth="1"/>
    <col min="14859" max="14859" width="32.7109375" style="1" customWidth="1"/>
    <col min="14860" max="14860" width="15.140625" style="1" customWidth="1"/>
    <col min="14861" max="14861" width="22.140625" style="1" customWidth="1"/>
    <col min="14862" max="14862" width="16.85546875" style="1" customWidth="1"/>
    <col min="14863" max="14863" width="9.42578125" style="1" bestFit="1" customWidth="1"/>
    <col min="14864" max="14864" width="35.85546875" style="1" customWidth="1"/>
    <col min="14865" max="14865" width="14" style="1" customWidth="1"/>
    <col min="14866" max="14866" width="12" style="1" bestFit="1" customWidth="1"/>
    <col min="14867" max="14867" width="15" style="1" customWidth="1"/>
    <col min="14868" max="14868" width="9.140625" style="1"/>
    <col min="14869" max="14869" width="29.5703125" style="1" bestFit="1" customWidth="1"/>
    <col min="14870" max="14870" width="14.42578125" style="1" bestFit="1" customWidth="1"/>
    <col min="14871" max="14871" width="12.28515625" style="1" bestFit="1" customWidth="1"/>
    <col min="14872" max="14872" width="22.28515625" style="1" bestFit="1" customWidth="1"/>
    <col min="14873" max="15105" width="9.140625" style="1"/>
    <col min="15106" max="15106" width="30.85546875" style="1" customWidth="1"/>
    <col min="15107" max="15108" width="13.140625" style="1" customWidth="1"/>
    <col min="15109" max="15109" width="12.5703125" style="1" bestFit="1" customWidth="1"/>
    <col min="15110" max="15110" width="11.5703125" style="1" customWidth="1"/>
    <col min="15111" max="15112" width="10.7109375" style="1" customWidth="1"/>
    <col min="15113" max="15113" width="19.85546875" style="1" customWidth="1"/>
    <col min="15114" max="15114" width="6.5703125" style="1" customWidth="1"/>
    <col min="15115" max="15115" width="32.7109375" style="1" customWidth="1"/>
    <col min="15116" max="15116" width="15.140625" style="1" customWidth="1"/>
    <col min="15117" max="15117" width="22.140625" style="1" customWidth="1"/>
    <col min="15118" max="15118" width="16.85546875" style="1" customWidth="1"/>
    <col min="15119" max="15119" width="9.42578125" style="1" bestFit="1" customWidth="1"/>
    <col min="15120" max="15120" width="35.85546875" style="1" customWidth="1"/>
    <col min="15121" max="15121" width="14" style="1" customWidth="1"/>
    <col min="15122" max="15122" width="12" style="1" bestFit="1" customWidth="1"/>
    <col min="15123" max="15123" width="15" style="1" customWidth="1"/>
    <col min="15124" max="15124" width="9.140625" style="1"/>
    <col min="15125" max="15125" width="29.5703125" style="1" bestFit="1" customWidth="1"/>
    <col min="15126" max="15126" width="14.42578125" style="1" bestFit="1" customWidth="1"/>
    <col min="15127" max="15127" width="12.28515625" style="1" bestFit="1" customWidth="1"/>
    <col min="15128" max="15128" width="22.28515625" style="1" bestFit="1" customWidth="1"/>
    <col min="15129" max="15361" width="9.140625" style="1"/>
    <col min="15362" max="15362" width="30.85546875" style="1" customWidth="1"/>
    <col min="15363" max="15364" width="13.140625" style="1" customWidth="1"/>
    <col min="15365" max="15365" width="12.5703125" style="1" bestFit="1" customWidth="1"/>
    <col min="15366" max="15366" width="11.5703125" style="1" customWidth="1"/>
    <col min="15367" max="15368" width="10.7109375" style="1" customWidth="1"/>
    <col min="15369" max="15369" width="19.85546875" style="1" customWidth="1"/>
    <col min="15370" max="15370" width="6.5703125" style="1" customWidth="1"/>
    <col min="15371" max="15371" width="32.7109375" style="1" customWidth="1"/>
    <col min="15372" max="15372" width="15.140625" style="1" customWidth="1"/>
    <col min="15373" max="15373" width="22.140625" style="1" customWidth="1"/>
    <col min="15374" max="15374" width="16.85546875" style="1" customWidth="1"/>
    <col min="15375" max="15375" width="9.42578125" style="1" bestFit="1" customWidth="1"/>
    <col min="15376" max="15376" width="35.85546875" style="1" customWidth="1"/>
    <col min="15377" max="15377" width="14" style="1" customWidth="1"/>
    <col min="15378" max="15378" width="12" style="1" bestFit="1" customWidth="1"/>
    <col min="15379" max="15379" width="15" style="1" customWidth="1"/>
    <col min="15380" max="15380" width="9.140625" style="1"/>
    <col min="15381" max="15381" width="29.5703125" style="1" bestFit="1" customWidth="1"/>
    <col min="15382" max="15382" width="14.42578125" style="1" bestFit="1" customWidth="1"/>
    <col min="15383" max="15383" width="12.28515625" style="1" bestFit="1" customWidth="1"/>
    <col min="15384" max="15384" width="22.28515625" style="1" bestFit="1" customWidth="1"/>
    <col min="15385" max="15617" width="9.140625" style="1"/>
    <col min="15618" max="15618" width="30.85546875" style="1" customWidth="1"/>
    <col min="15619" max="15620" width="13.140625" style="1" customWidth="1"/>
    <col min="15621" max="15621" width="12.5703125" style="1" bestFit="1" customWidth="1"/>
    <col min="15622" max="15622" width="11.5703125" style="1" customWidth="1"/>
    <col min="15623" max="15624" width="10.7109375" style="1" customWidth="1"/>
    <col min="15625" max="15625" width="19.85546875" style="1" customWidth="1"/>
    <col min="15626" max="15626" width="6.5703125" style="1" customWidth="1"/>
    <col min="15627" max="15627" width="32.7109375" style="1" customWidth="1"/>
    <col min="15628" max="15628" width="15.140625" style="1" customWidth="1"/>
    <col min="15629" max="15629" width="22.140625" style="1" customWidth="1"/>
    <col min="15630" max="15630" width="16.85546875" style="1" customWidth="1"/>
    <col min="15631" max="15631" width="9.42578125" style="1" bestFit="1" customWidth="1"/>
    <col min="15632" max="15632" width="35.85546875" style="1" customWidth="1"/>
    <col min="15633" max="15633" width="14" style="1" customWidth="1"/>
    <col min="15634" max="15634" width="12" style="1" bestFit="1" customWidth="1"/>
    <col min="15635" max="15635" width="15" style="1" customWidth="1"/>
    <col min="15636" max="15636" width="9.140625" style="1"/>
    <col min="15637" max="15637" width="29.5703125" style="1" bestFit="1" customWidth="1"/>
    <col min="15638" max="15638" width="14.42578125" style="1" bestFit="1" customWidth="1"/>
    <col min="15639" max="15639" width="12.28515625" style="1" bestFit="1" customWidth="1"/>
    <col min="15640" max="15640" width="22.28515625" style="1" bestFit="1" customWidth="1"/>
    <col min="15641" max="15873" width="9.140625" style="1"/>
    <col min="15874" max="15874" width="30.85546875" style="1" customWidth="1"/>
    <col min="15875" max="15876" width="13.140625" style="1" customWidth="1"/>
    <col min="15877" max="15877" width="12.5703125" style="1" bestFit="1" customWidth="1"/>
    <col min="15878" max="15878" width="11.5703125" style="1" customWidth="1"/>
    <col min="15879" max="15880" width="10.7109375" style="1" customWidth="1"/>
    <col min="15881" max="15881" width="19.85546875" style="1" customWidth="1"/>
    <col min="15882" max="15882" width="6.5703125" style="1" customWidth="1"/>
    <col min="15883" max="15883" width="32.7109375" style="1" customWidth="1"/>
    <col min="15884" max="15884" width="15.140625" style="1" customWidth="1"/>
    <col min="15885" max="15885" width="22.140625" style="1" customWidth="1"/>
    <col min="15886" max="15886" width="16.85546875" style="1" customWidth="1"/>
    <col min="15887" max="15887" width="9.42578125" style="1" bestFit="1" customWidth="1"/>
    <col min="15888" max="15888" width="35.85546875" style="1" customWidth="1"/>
    <col min="15889" max="15889" width="14" style="1" customWidth="1"/>
    <col min="15890" max="15890" width="12" style="1" bestFit="1" customWidth="1"/>
    <col min="15891" max="15891" width="15" style="1" customWidth="1"/>
    <col min="15892" max="15892" width="9.140625" style="1"/>
    <col min="15893" max="15893" width="29.5703125" style="1" bestFit="1" customWidth="1"/>
    <col min="15894" max="15894" width="14.42578125" style="1" bestFit="1" customWidth="1"/>
    <col min="15895" max="15895" width="12.28515625" style="1" bestFit="1" customWidth="1"/>
    <col min="15896" max="15896" width="22.28515625" style="1" bestFit="1" customWidth="1"/>
    <col min="15897" max="16129" width="9.140625" style="1"/>
    <col min="16130" max="16130" width="30.85546875" style="1" customWidth="1"/>
    <col min="16131" max="16132" width="13.140625" style="1" customWidth="1"/>
    <col min="16133" max="16133" width="12.5703125" style="1" bestFit="1" customWidth="1"/>
    <col min="16134" max="16134" width="11.5703125" style="1" customWidth="1"/>
    <col min="16135" max="16136" width="10.7109375" style="1" customWidth="1"/>
    <col min="16137" max="16137" width="19.85546875" style="1" customWidth="1"/>
    <col min="16138" max="16138" width="6.5703125" style="1" customWidth="1"/>
    <col min="16139" max="16139" width="32.7109375" style="1" customWidth="1"/>
    <col min="16140" max="16140" width="15.140625" style="1" customWidth="1"/>
    <col min="16141" max="16141" width="22.140625" style="1" customWidth="1"/>
    <col min="16142" max="16142" width="16.85546875" style="1" customWidth="1"/>
    <col min="16143" max="16143" width="9.42578125" style="1" bestFit="1" customWidth="1"/>
    <col min="16144" max="16144" width="35.85546875" style="1" customWidth="1"/>
    <col min="16145" max="16145" width="14" style="1" customWidth="1"/>
    <col min="16146" max="16146" width="12" style="1" bestFit="1" customWidth="1"/>
    <col min="16147" max="16147" width="15" style="1" customWidth="1"/>
    <col min="16148" max="16148" width="9.140625" style="1"/>
    <col min="16149" max="16149" width="29.5703125" style="1" bestFit="1" customWidth="1"/>
    <col min="16150" max="16150" width="14.42578125" style="1" bestFit="1" customWidth="1"/>
    <col min="16151" max="16151" width="12.28515625" style="1" bestFit="1" customWidth="1"/>
    <col min="16152" max="16152" width="22.28515625" style="1" bestFit="1" customWidth="1"/>
    <col min="16153" max="16383" width="9.140625" style="1"/>
    <col min="16384" max="16384" width="9.140625" style="1" customWidth="1"/>
  </cols>
  <sheetData>
    <row r="1" spans="2:22" ht="15" customHeight="1">
      <c r="N1" s="38"/>
      <c r="P1" s="38"/>
    </row>
    <row r="2" spans="2:22" ht="15" customHeight="1" thickBot="1">
      <c r="B2" s="900"/>
      <c r="C2" s="900"/>
      <c r="D2" s="900"/>
      <c r="E2" s="900"/>
      <c r="F2" s="464"/>
      <c r="G2" s="464"/>
      <c r="H2" s="464"/>
      <c r="I2" s="26"/>
      <c r="N2" s="38"/>
      <c r="P2" s="38"/>
    </row>
    <row r="3" spans="2:22" ht="34.5" customHeight="1" thickBot="1">
      <c r="B3" s="897" t="s">
        <v>0</v>
      </c>
      <c r="C3" s="898"/>
      <c r="D3" s="898"/>
      <c r="E3" s="898"/>
      <c r="F3" s="898"/>
      <c r="G3" s="898"/>
      <c r="H3" s="899"/>
      <c r="I3" s="26"/>
      <c r="J3" s="905" t="s">
        <v>53</v>
      </c>
      <c r="K3" s="906"/>
      <c r="L3" s="906"/>
      <c r="M3" s="906"/>
      <c r="N3" s="907"/>
      <c r="O3" s="458"/>
      <c r="Q3" s="908" t="s">
        <v>54</v>
      </c>
      <c r="R3" s="909"/>
      <c r="S3" s="181" t="s">
        <v>55</v>
      </c>
      <c r="T3" s="48" t="s">
        <v>56</v>
      </c>
      <c r="U3" s="49" t="s">
        <v>57</v>
      </c>
      <c r="V3" s="163"/>
    </row>
    <row r="4" spans="2:22" ht="15" customHeight="1" thickBot="1">
      <c r="B4" s="895" t="s">
        <v>1</v>
      </c>
      <c r="C4" s="896"/>
      <c r="D4" s="892" t="s">
        <v>2</v>
      </c>
      <c r="E4" s="893"/>
      <c r="F4" s="893"/>
      <c r="G4" s="893"/>
      <c r="H4" s="894"/>
      <c r="I4" s="26"/>
      <c r="J4" s="179"/>
      <c r="K4" s="180" t="s">
        <v>46</v>
      </c>
      <c r="L4" s="4">
        <v>12</v>
      </c>
      <c r="M4" s="31" t="s">
        <v>58</v>
      </c>
      <c r="N4" s="53">
        <f>$S$14</f>
        <v>6287.5</v>
      </c>
      <c r="O4" s="455"/>
      <c r="Q4" s="50" t="s">
        <v>58</v>
      </c>
      <c r="R4" s="190"/>
      <c r="S4" s="203">
        <v>2080</v>
      </c>
      <c r="T4" s="51" t="s">
        <v>59</v>
      </c>
      <c r="U4" s="52" t="s">
        <v>60</v>
      </c>
      <c r="V4" s="164"/>
    </row>
    <row r="5" spans="2:22" ht="15" customHeight="1">
      <c r="B5" s="465" t="s">
        <v>8</v>
      </c>
      <c r="C5" s="466"/>
      <c r="D5" s="467"/>
      <c r="E5" s="464"/>
      <c r="F5" s="464"/>
      <c r="G5" s="464"/>
      <c r="H5" s="468"/>
      <c r="I5" s="26"/>
      <c r="J5" s="5"/>
      <c r="K5" s="172"/>
      <c r="L5" s="6" t="s">
        <v>5</v>
      </c>
      <c r="M5" s="6" t="s">
        <v>6</v>
      </c>
      <c r="N5" s="7" t="s">
        <v>7</v>
      </c>
      <c r="O5" s="31"/>
      <c r="Q5" s="54" t="s">
        <v>61</v>
      </c>
      <c r="R5" s="182"/>
      <c r="S5" s="204">
        <v>80</v>
      </c>
      <c r="T5" s="55">
        <v>10</v>
      </c>
      <c r="U5" s="56" t="s">
        <v>62</v>
      </c>
      <c r="V5" s="164"/>
    </row>
    <row r="6" spans="2:22" ht="13.5" customHeight="1">
      <c r="B6" s="469" t="s">
        <v>9</v>
      </c>
      <c r="C6" s="470">
        <f>60924.8705*(C26+1)</f>
        <v>62582.026977599991</v>
      </c>
      <c r="D6" s="467" t="s">
        <v>263</v>
      </c>
      <c r="E6" s="464"/>
      <c r="F6" s="464"/>
      <c r="G6" s="464"/>
      <c r="H6" s="468"/>
      <c r="I6" s="26"/>
      <c r="J6" s="8" t="str">
        <f>$B$5</f>
        <v>Management</v>
      </c>
      <c r="K6" s="173"/>
      <c r="L6" s="4"/>
      <c r="M6" s="4"/>
      <c r="N6" s="9"/>
      <c r="O6" s="31"/>
      <c r="Q6" s="57" t="s">
        <v>63</v>
      </c>
      <c r="R6" s="184"/>
      <c r="S6" s="205">
        <v>80</v>
      </c>
      <c r="T6" s="58">
        <v>10</v>
      </c>
      <c r="U6" s="59" t="s">
        <v>62</v>
      </c>
      <c r="V6" s="165"/>
    </row>
    <row r="7" spans="2:22" ht="15" customHeight="1">
      <c r="B7" s="469" t="s">
        <v>11</v>
      </c>
      <c r="C7" s="470">
        <f>59181.8564999999*(C26+1)</f>
        <v>60791.602996799891</v>
      </c>
      <c r="D7" s="467" t="s">
        <v>263</v>
      </c>
      <c r="E7" s="464"/>
      <c r="F7" s="464"/>
      <c r="G7" s="464"/>
      <c r="H7" s="468"/>
      <c r="I7" s="2"/>
      <c r="J7" s="10" t="str">
        <f>$B$6</f>
        <v xml:space="preserve">  Program Director</v>
      </c>
      <c r="K7" s="174"/>
      <c r="L7" s="11">
        <f>'CMR 422 Master Lookup'!C19</f>
        <v>62582.026977599991</v>
      </c>
      <c r="M7" s="32">
        <f>$C$13</f>
        <v>0.2</v>
      </c>
      <c r="N7" s="12">
        <f>L7*M7</f>
        <v>12516.40539552</v>
      </c>
      <c r="O7" s="459"/>
      <c r="Q7" s="60" t="s">
        <v>64</v>
      </c>
      <c r="R7" s="185"/>
      <c r="S7" s="206">
        <v>40</v>
      </c>
      <c r="T7" s="58">
        <v>5</v>
      </c>
      <c r="U7" s="61" t="s">
        <v>62</v>
      </c>
      <c r="V7" s="164"/>
    </row>
    <row r="8" spans="2:22" ht="15" customHeight="1">
      <c r="B8" s="471" t="s">
        <v>12</v>
      </c>
      <c r="C8" s="470"/>
      <c r="D8" s="467"/>
      <c r="E8" s="464"/>
      <c r="F8" s="464"/>
      <c r="G8" s="464"/>
      <c r="H8" s="468"/>
      <c r="I8" s="2"/>
      <c r="J8" s="10" t="str">
        <f>$B$7</f>
        <v xml:space="preserve">  Assistant Program Director</v>
      </c>
      <c r="K8" s="174"/>
      <c r="L8" s="11">
        <f>'CMR 422 Master Lookup'!C18</f>
        <v>60791.602996799891</v>
      </c>
      <c r="M8" s="32">
        <f>$C$14</f>
        <v>0.8</v>
      </c>
      <c r="N8" s="12">
        <f>L8*M8</f>
        <v>48633.282397439914</v>
      </c>
      <c r="O8" s="459"/>
      <c r="Q8" s="60" t="s">
        <v>65</v>
      </c>
      <c r="R8" s="185"/>
      <c r="S8" s="206">
        <v>80</v>
      </c>
      <c r="T8" s="58">
        <v>10</v>
      </c>
      <c r="U8" s="61" t="s">
        <v>62</v>
      </c>
      <c r="V8" s="164"/>
    </row>
    <row r="9" spans="2:22" ht="15" customHeight="1">
      <c r="B9" s="469" t="s">
        <v>66</v>
      </c>
      <c r="C9" s="470">
        <f>54432.4495*(C26+1)</f>
        <v>55913.012126399997</v>
      </c>
      <c r="D9" s="467" t="s">
        <v>263</v>
      </c>
      <c r="E9" s="464"/>
      <c r="F9" s="464"/>
      <c r="G9" s="464"/>
      <c r="H9" s="468"/>
      <c r="I9" s="2"/>
      <c r="J9" s="8" t="str">
        <f>$B$8</f>
        <v>Direct Care</v>
      </c>
      <c r="K9" s="173"/>
      <c r="L9" s="11"/>
      <c r="M9" s="32"/>
      <c r="N9" s="12"/>
      <c r="O9" s="459"/>
      <c r="Q9" s="62" t="s">
        <v>67</v>
      </c>
      <c r="R9" s="186"/>
      <c r="S9" s="206">
        <v>329</v>
      </c>
      <c r="T9" s="63">
        <f>S9/52</f>
        <v>6.3269230769230766</v>
      </c>
      <c r="U9" s="61" t="s">
        <v>68</v>
      </c>
      <c r="V9" s="164"/>
    </row>
    <row r="10" spans="2:22" ht="15" customHeight="1" thickBot="1">
      <c r="B10" s="472" t="s">
        <v>69</v>
      </c>
      <c r="C10" s="473">
        <v>30700</v>
      </c>
      <c r="D10" s="474" t="s">
        <v>365</v>
      </c>
      <c r="E10" s="475"/>
      <c r="F10" s="475"/>
      <c r="G10" s="475"/>
      <c r="H10" s="476"/>
      <c r="I10" s="2"/>
      <c r="J10" s="10" t="str">
        <f>$B$16</f>
        <v xml:space="preserve">  Certified O&amp;M Specialist</v>
      </c>
      <c r="K10" s="174"/>
      <c r="L10" s="11">
        <f>'CMR 422 Master Lookup'!C16</f>
        <v>55913.012126399997</v>
      </c>
      <c r="M10" s="32">
        <f>$C$16</f>
        <v>5</v>
      </c>
      <c r="N10" s="12">
        <f>L10*M10</f>
        <v>279565.06063199998</v>
      </c>
      <c r="O10" s="459"/>
      <c r="Q10" s="65" t="s">
        <v>70</v>
      </c>
      <c r="R10" s="187"/>
      <c r="S10" s="207">
        <v>213.5</v>
      </c>
      <c r="T10" s="66">
        <f>S10/52</f>
        <v>4.1057692307692308</v>
      </c>
      <c r="U10" s="67" t="s">
        <v>68</v>
      </c>
      <c r="V10" s="164"/>
    </row>
    <row r="11" spans="2:22" ht="15" customHeight="1" thickBot="1">
      <c r="B11" s="477" t="s">
        <v>14</v>
      </c>
      <c r="C11" s="478"/>
      <c r="D11" s="467"/>
      <c r="E11" s="464"/>
      <c r="F11" s="464"/>
      <c r="G11" s="464"/>
      <c r="H11" s="468"/>
      <c r="I11" s="2"/>
      <c r="J11" s="10" t="str">
        <f>$B$17</f>
        <v xml:space="preserve">  Secretarial / Clerical</v>
      </c>
      <c r="K11" s="174"/>
      <c r="L11" s="11">
        <f>'CMR 422 Master Lookup'!C3</f>
        <v>30700</v>
      </c>
      <c r="M11" s="32">
        <f>$C$17</f>
        <v>1</v>
      </c>
      <c r="N11" s="12">
        <f>L11*M11</f>
        <v>30700</v>
      </c>
      <c r="O11" s="459"/>
      <c r="Q11" s="68" t="s">
        <v>71</v>
      </c>
      <c r="R11" s="188"/>
      <c r="S11" s="203">
        <f>SUM(S5:S10)</f>
        <v>822.5</v>
      </c>
      <c r="U11" s="27"/>
      <c r="V11" s="28"/>
    </row>
    <row r="12" spans="2:22" ht="15" customHeight="1">
      <c r="B12" s="465" t="str">
        <f t="shared" ref="B12:B17" si="0">B5</f>
        <v>Management</v>
      </c>
      <c r="C12" s="479"/>
      <c r="D12" s="467"/>
      <c r="E12" s="464"/>
      <c r="F12" s="464"/>
      <c r="G12" s="464"/>
      <c r="H12" s="468"/>
      <c r="I12" s="2"/>
      <c r="J12" s="13" t="s">
        <v>15</v>
      </c>
      <c r="K12" s="14"/>
      <c r="L12" s="14"/>
      <c r="M12" s="33">
        <f>SUM(M7:M11)</f>
        <v>7</v>
      </c>
      <c r="N12" s="15">
        <f>SUM(N7:N11)</f>
        <v>371414.74842495989</v>
      </c>
      <c r="O12" s="456"/>
      <c r="Q12" s="69" t="s">
        <v>72</v>
      </c>
      <c r="R12" s="183"/>
      <c r="S12" s="208">
        <f>S4-S11</f>
        <v>1257.5</v>
      </c>
      <c r="T12" s="27"/>
      <c r="U12" s="27"/>
      <c r="V12" s="334"/>
    </row>
    <row r="13" spans="2:22" ht="15" customHeight="1" thickBot="1">
      <c r="B13" s="469" t="str">
        <f t="shared" si="0"/>
        <v xml:space="preserve">  Program Director</v>
      </c>
      <c r="C13" s="480">
        <v>0.2</v>
      </c>
      <c r="D13" s="467" t="s">
        <v>73</v>
      </c>
      <c r="E13" s="464"/>
      <c r="F13" s="464"/>
      <c r="G13" s="464"/>
      <c r="H13" s="468"/>
      <c r="I13" s="2"/>
      <c r="J13" s="18"/>
      <c r="K13" s="16"/>
      <c r="L13" s="16"/>
      <c r="M13" s="29"/>
      <c r="N13" s="17"/>
      <c r="O13" s="26"/>
      <c r="Q13" s="70" t="s">
        <v>74</v>
      </c>
      <c r="R13" s="189"/>
      <c r="S13" s="209">
        <v>5</v>
      </c>
      <c r="V13" s="38"/>
    </row>
    <row r="14" spans="2:22" ht="15" customHeight="1" thickBot="1">
      <c r="B14" s="469" t="str">
        <f t="shared" si="0"/>
        <v xml:space="preserve">  Assistant Program Director</v>
      </c>
      <c r="C14" s="480">
        <v>0.8</v>
      </c>
      <c r="D14" s="467" t="s">
        <v>73</v>
      </c>
      <c r="E14" s="464"/>
      <c r="F14" s="464"/>
      <c r="G14" s="464"/>
      <c r="H14" s="468"/>
      <c r="I14" s="2"/>
      <c r="J14" s="3" t="s">
        <v>76</v>
      </c>
      <c r="K14" s="171"/>
      <c r="L14" s="16"/>
      <c r="M14" s="4"/>
      <c r="N14" s="17"/>
      <c r="O14" s="26"/>
      <c r="Q14" s="68" t="s">
        <v>75</v>
      </c>
      <c r="R14" s="188"/>
      <c r="S14" s="203">
        <f>S12*S13</f>
        <v>6287.5</v>
      </c>
      <c r="V14" s="38"/>
    </row>
    <row r="15" spans="2:22" ht="15" customHeight="1">
      <c r="B15" s="471" t="str">
        <f t="shared" si="0"/>
        <v>Direct Care</v>
      </c>
      <c r="C15" s="480"/>
      <c r="D15" s="467"/>
      <c r="E15" s="464"/>
      <c r="F15" s="464"/>
      <c r="G15" s="464"/>
      <c r="H15" s="468"/>
      <c r="I15" s="2"/>
      <c r="J15" s="18" t="s">
        <v>16</v>
      </c>
      <c r="K15" s="16"/>
      <c r="L15" s="19">
        <f>'CMR 422 Master Lookup'!G3</f>
        <v>0.21709999999999999</v>
      </c>
      <c r="M15" s="29"/>
      <c r="N15" s="12">
        <f>L15*N12</f>
        <v>80634.141883058794</v>
      </c>
      <c r="O15" s="459"/>
      <c r="Q15" s="183"/>
      <c r="R15" s="183"/>
      <c r="S15" s="159"/>
      <c r="V15" s="38"/>
    </row>
    <row r="16" spans="2:22" ht="15" customHeight="1" thickBot="1">
      <c r="B16" s="469" t="str">
        <f t="shared" si="0"/>
        <v xml:space="preserve">  Certified O&amp;M Specialist</v>
      </c>
      <c r="C16" s="480">
        <v>5</v>
      </c>
      <c r="D16" s="467" t="s">
        <v>73</v>
      </c>
      <c r="E16" s="464"/>
      <c r="F16" s="464"/>
      <c r="G16" s="464"/>
      <c r="H16" s="468"/>
      <c r="I16" s="2"/>
      <c r="J16" s="13" t="s">
        <v>17</v>
      </c>
      <c r="K16" s="14"/>
      <c r="L16" s="14"/>
      <c r="M16" s="34"/>
      <c r="N16" s="20">
        <f>SUM(N12:N15)</f>
        <v>452048.89030801866</v>
      </c>
      <c r="O16" s="456"/>
      <c r="Q16" s="183"/>
      <c r="R16" s="183"/>
      <c r="S16" s="159"/>
      <c r="V16" s="38"/>
    </row>
    <row r="17" spans="2:23" ht="15" customHeight="1" thickBot="1">
      <c r="B17" s="472" t="str">
        <f t="shared" si="0"/>
        <v xml:space="preserve">  Secretarial / Clerical</v>
      </c>
      <c r="C17" s="481">
        <v>1</v>
      </c>
      <c r="D17" s="482" t="s">
        <v>73</v>
      </c>
      <c r="E17" s="475"/>
      <c r="F17" s="475"/>
      <c r="G17" s="475"/>
      <c r="H17" s="476"/>
      <c r="I17" s="2"/>
      <c r="J17" s="18"/>
      <c r="K17" s="16"/>
      <c r="L17" s="16"/>
      <c r="M17" s="29"/>
      <c r="N17" s="17"/>
      <c r="O17" s="26"/>
      <c r="Q17" s="400" t="s">
        <v>262</v>
      </c>
      <c r="R17" s="401"/>
      <c r="S17" s="402"/>
      <c r="T17" s="402"/>
      <c r="U17" s="402"/>
      <c r="V17" s="166" t="s">
        <v>239</v>
      </c>
    </row>
    <row r="18" spans="2:23" ht="15" customHeight="1">
      <c r="B18" s="483" t="s">
        <v>18</v>
      </c>
      <c r="C18" s="484"/>
      <c r="D18" s="467"/>
      <c r="E18" s="464"/>
      <c r="F18" s="464"/>
      <c r="G18" s="464"/>
      <c r="H18" s="468"/>
      <c r="I18" s="2"/>
      <c r="J18" s="18" t="str">
        <f>$B$20</f>
        <v>Occupancy</v>
      </c>
      <c r="K18" s="16"/>
      <c r="L18" s="16"/>
      <c r="M18" s="35"/>
      <c r="N18" s="21">
        <f>C20</f>
        <v>11139.778</v>
      </c>
      <c r="O18" s="460"/>
      <c r="Q18" s="901" t="s">
        <v>236</v>
      </c>
      <c r="R18" s="902"/>
      <c r="S18" s="78" t="s">
        <v>79</v>
      </c>
      <c r="T18" s="79">
        <f>N30/4</f>
        <v>22.319265555559674</v>
      </c>
      <c r="U18" s="77" t="s">
        <v>80</v>
      </c>
      <c r="V18" s="403">
        <f>T18*4</f>
        <v>89.277062222238698</v>
      </c>
      <c r="W18" s="532"/>
    </row>
    <row r="19" spans="2:23" ht="15" customHeight="1">
      <c r="B19" s="485" t="s">
        <v>20</v>
      </c>
      <c r="C19" s="486">
        <v>0.21709999999999999</v>
      </c>
      <c r="D19" s="467" t="s">
        <v>44</v>
      </c>
      <c r="E19" s="464"/>
      <c r="F19" s="464"/>
      <c r="G19" s="464"/>
      <c r="H19" s="468"/>
      <c r="I19" s="2"/>
      <c r="J19" s="18" t="str">
        <f>$B$21</f>
        <v>Transportation</v>
      </c>
      <c r="K19" s="16"/>
      <c r="L19" s="71" t="s">
        <v>77</v>
      </c>
      <c r="M19" s="72">
        <v>0.5</v>
      </c>
      <c r="N19" s="21">
        <f>C21*M19</f>
        <v>23969.504000000001</v>
      </c>
      <c r="O19" s="460"/>
      <c r="Q19" s="901" t="s">
        <v>237</v>
      </c>
      <c r="R19" s="902"/>
      <c r="S19" s="78" t="s">
        <v>81</v>
      </c>
      <c r="T19" s="871">
        <f>T27</f>
        <v>25.785586538849088</v>
      </c>
      <c r="U19" s="77" t="s">
        <v>80</v>
      </c>
      <c r="V19" s="404">
        <f>T19*4+0.02</f>
        <v>103.16234615539635</v>
      </c>
      <c r="W19" s="532"/>
    </row>
    <row r="20" spans="2:23" ht="15" customHeight="1" thickBot="1">
      <c r="B20" s="487" t="s">
        <v>22</v>
      </c>
      <c r="C20" s="470">
        <v>11139.778</v>
      </c>
      <c r="D20" s="467" t="s">
        <v>264</v>
      </c>
      <c r="E20" s="464"/>
      <c r="F20" s="464"/>
      <c r="G20" s="464"/>
      <c r="H20" s="468"/>
      <c r="I20" s="2"/>
      <c r="J20" s="18" t="str">
        <f>$B$22</f>
        <v>Program Support</v>
      </c>
      <c r="K20" s="16"/>
      <c r="L20" s="16"/>
      <c r="M20" s="35"/>
      <c r="N20" s="21">
        <f>C22</f>
        <v>3074.7664999999997</v>
      </c>
      <c r="O20" s="460"/>
      <c r="Q20" s="903" t="s">
        <v>238</v>
      </c>
      <c r="R20" s="904"/>
      <c r="S20" s="405" t="s">
        <v>82</v>
      </c>
      <c r="T20" s="872">
        <f>T35</f>
        <v>29.257216972563722</v>
      </c>
      <c r="U20" s="405" t="s">
        <v>80</v>
      </c>
      <c r="V20" s="406">
        <f>T20*4+0.01</f>
        <v>117.03886789025489</v>
      </c>
      <c r="W20" s="532"/>
    </row>
    <row r="21" spans="2:23" ht="15" customHeight="1">
      <c r="B21" s="487" t="s">
        <v>26</v>
      </c>
      <c r="C21" s="470">
        <v>47939.008000000002</v>
      </c>
      <c r="D21" s="467" t="s">
        <v>264</v>
      </c>
      <c r="E21" s="464"/>
      <c r="F21" s="464"/>
      <c r="G21" s="464"/>
      <c r="H21" s="468"/>
      <c r="I21" s="2"/>
      <c r="J21" s="18"/>
      <c r="K21" s="16"/>
      <c r="L21" s="16"/>
      <c r="M21" s="29"/>
      <c r="N21" s="17"/>
      <c r="O21" s="26"/>
      <c r="T21" s="38"/>
      <c r="V21" s="38"/>
    </row>
    <row r="22" spans="2:23" ht="15" customHeight="1" thickBot="1">
      <c r="B22" s="487" t="s">
        <v>78</v>
      </c>
      <c r="C22" s="470">
        <v>3074.7664999999997</v>
      </c>
      <c r="D22" s="467" t="s">
        <v>264</v>
      </c>
      <c r="E22" s="464"/>
      <c r="F22" s="464"/>
      <c r="G22" s="464"/>
      <c r="H22" s="468"/>
      <c r="I22" s="2"/>
      <c r="J22" s="13" t="s">
        <v>33</v>
      </c>
      <c r="K22" s="14"/>
      <c r="L22" s="14"/>
      <c r="M22" s="36"/>
      <c r="N22" s="15">
        <f>SUM(N16:N20)</f>
        <v>490232.93880801869</v>
      </c>
      <c r="O22" s="456"/>
      <c r="Q22" s="82" t="s">
        <v>83</v>
      </c>
      <c r="R22" s="82"/>
      <c r="S22" s="81"/>
      <c r="T22" s="873"/>
      <c r="U22" s="2"/>
      <c r="V22" s="38"/>
    </row>
    <row r="23" spans="2:23" ht="15" customHeight="1">
      <c r="B23" s="487" t="s">
        <v>36</v>
      </c>
      <c r="C23" s="486">
        <v>0.12</v>
      </c>
      <c r="D23" s="467" t="s">
        <v>265</v>
      </c>
      <c r="E23" s="464"/>
      <c r="F23" s="464"/>
      <c r="G23" s="464"/>
      <c r="H23" s="468"/>
      <c r="I23" s="2"/>
      <c r="J23" s="388" t="str">
        <f>B24</f>
        <v>PFMLA Trust Contribution</v>
      </c>
      <c r="K23" s="389"/>
      <c r="L23" s="390">
        <f>'CMR 422 Master Lookup'!G5</f>
        <v>6.3E-3</v>
      </c>
      <c r="M23" s="391"/>
      <c r="N23" s="392">
        <f>L23*N12</f>
        <v>2339.9129150772474</v>
      </c>
      <c r="O23" s="461"/>
      <c r="Q23" s="84" t="s">
        <v>84</v>
      </c>
      <c r="R23" s="85"/>
      <c r="S23" s="85"/>
      <c r="T23" s="874"/>
      <c r="U23" s="86"/>
      <c r="V23" s="38"/>
    </row>
    <row r="24" spans="2:23" ht="15" customHeight="1">
      <c r="B24" s="488" t="s">
        <v>347</v>
      </c>
      <c r="C24" s="489">
        <v>6.3E-3</v>
      </c>
      <c r="D24" s="474" t="s">
        <v>348</v>
      </c>
      <c r="E24" s="475"/>
      <c r="F24" s="475"/>
      <c r="G24" s="475"/>
      <c r="H24" s="476"/>
      <c r="I24" s="2"/>
      <c r="J24" s="18" t="s">
        <v>36</v>
      </c>
      <c r="K24" s="16"/>
      <c r="L24" s="19">
        <f>'CMR 422 Master Lookup'!G4</f>
        <v>0.12</v>
      </c>
      <c r="M24" s="29"/>
      <c r="N24" s="12">
        <f>L24*N22</f>
        <v>58827.952656962239</v>
      </c>
      <c r="O24" s="459"/>
      <c r="Q24" s="87" t="s">
        <v>85</v>
      </c>
      <c r="R24" s="88"/>
      <c r="S24" s="88"/>
      <c r="T24" s="89"/>
      <c r="U24" s="90"/>
      <c r="V24" s="80"/>
    </row>
    <row r="25" spans="2:23" ht="15" customHeight="1" thickBot="1">
      <c r="B25" s="490" t="s">
        <v>37</v>
      </c>
      <c r="C25" s="491">
        <f>'Fall 2018'!BQ26</f>
        <v>2.5376928471248276E-2</v>
      </c>
      <c r="D25" s="492" t="s">
        <v>363</v>
      </c>
      <c r="E25" s="493"/>
      <c r="F25" s="493"/>
      <c r="G25" s="493"/>
      <c r="H25" s="494"/>
      <c r="I25" s="2"/>
      <c r="J25" s="18"/>
      <c r="K25" s="16"/>
      <c r="L25" s="16"/>
      <c r="M25" s="29"/>
      <c r="N25" s="17"/>
      <c r="O25" s="26"/>
      <c r="Q25" s="87" t="s">
        <v>86</v>
      </c>
      <c r="R25" s="88"/>
      <c r="S25" s="88"/>
      <c r="T25" s="875">
        <f>(15*0.45)*2</f>
        <v>13.5</v>
      </c>
      <c r="U25" s="91" t="s">
        <v>87</v>
      </c>
    </row>
    <row r="26" spans="2:23" ht="15" customHeight="1" thickBot="1">
      <c r="B26" s="877"/>
      <c r="C26" s="878">
        <v>2.7199999999999998E-2</v>
      </c>
      <c r="D26" s="877" t="s">
        <v>362</v>
      </c>
      <c r="E26" s="495"/>
      <c r="F26" s="495"/>
      <c r="G26" s="495"/>
      <c r="H26" s="495"/>
      <c r="I26" s="2"/>
      <c r="J26" s="22" t="s">
        <v>38</v>
      </c>
      <c r="K26" s="175"/>
      <c r="L26" s="23"/>
      <c r="M26" s="37"/>
      <c r="N26" s="24">
        <f>SUM(N22:N24)</f>
        <v>551400.80438005819</v>
      </c>
      <c r="O26" s="456"/>
      <c r="Q26" s="87" t="s">
        <v>88</v>
      </c>
      <c r="R26" s="88"/>
      <c r="S26" s="88"/>
      <c r="T26" s="875">
        <v>3.466320983289414</v>
      </c>
      <c r="U26" s="91" t="s">
        <v>89</v>
      </c>
    </row>
    <row r="27" spans="2:23" ht="15" customHeight="1" thickTop="1">
      <c r="B27" s="877"/>
      <c r="C27" s="879"/>
      <c r="D27" s="877"/>
      <c r="E27" s="495"/>
      <c r="F27" s="495"/>
      <c r="G27" s="495"/>
      <c r="H27" s="495"/>
      <c r="I27" s="2"/>
      <c r="J27" s="18"/>
      <c r="K27" s="16"/>
      <c r="L27" s="16"/>
      <c r="M27" s="29"/>
      <c r="N27" s="17"/>
      <c r="O27" s="26"/>
      <c r="Q27" s="87" t="s">
        <v>90</v>
      </c>
      <c r="R27" s="88"/>
      <c r="S27" s="88"/>
      <c r="T27" s="875">
        <f>T18+T26</f>
        <v>25.785586538849088</v>
      </c>
      <c r="U27" s="91" t="s">
        <v>91</v>
      </c>
    </row>
    <row r="28" spans="2:23" ht="15" customHeight="1" thickBot="1">
      <c r="B28" s="877"/>
      <c r="C28" s="879"/>
      <c r="D28" s="877"/>
      <c r="F28" s="2"/>
      <c r="G28" s="2"/>
      <c r="H28" s="2"/>
      <c r="I28" s="2"/>
      <c r="J28" s="18" t="s">
        <v>39</v>
      </c>
      <c r="K28" s="16"/>
      <c r="L28" s="25">
        <f>'CMR 422 Master Lookup'!G6</f>
        <v>1.8120393120392975E-2</v>
      </c>
      <c r="M28" s="29"/>
      <c r="N28" s="73">
        <f>N26*(1+L28)</f>
        <v>561392.40372232581</v>
      </c>
      <c r="O28" s="462"/>
      <c r="Q28" s="92" t="s">
        <v>92</v>
      </c>
      <c r="R28" s="93"/>
      <c r="S28" s="93"/>
      <c r="T28" s="876">
        <f>T27*4+0.02</f>
        <v>103.16234615539635</v>
      </c>
      <c r="U28" s="94" t="s">
        <v>93</v>
      </c>
      <c r="V28" s="80"/>
    </row>
    <row r="29" spans="2:23" ht="15" customHeight="1">
      <c r="F29" s="2"/>
      <c r="G29" s="2"/>
      <c r="H29" s="2"/>
      <c r="I29" s="2"/>
      <c r="J29" s="18"/>
      <c r="K29" s="16"/>
      <c r="L29" s="16"/>
      <c r="M29" s="29"/>
      <c r="N29" s="17"/>
      <c r="O29" s="26"/>
      <c r="T29" s="39"/>
      <c r="V29" s="80"/>
    </row>
    <row r="30" spans="2:23" ht="15" customHeight="1" thickBot="1">
      <c r="F30" s="2"/>
      <c r="G30" s="2"/>
      <c r="H30" s="2"/>
      <c r="I30" s="2"/>
      <c r="J30" s="74" t="s">
        <v>40</v>
      </c>
      <c r="K30" s="64"/>
      <c r="L30" s="75">
        <v>1</v>
      </c>
      <c r="M30" s="76"/>
      <c r="N30" s="167">
        <f>N28/N4-0.01</f>
        <v>89.277062222238698</v>
      </c>
      <c r="O30" s="463"/>
      <c r="Q30" s="82" t="s">
        <v>94</v>
      </c>
      <c r="R30" s="82"/>
      <c r="S30" s="81"/>
      <c r="T30" s="873"/>
      <c r="U30" s="2"/>
      <c r="V30" s="80"/>
    </row>
    <row r="31" spans="2:23" ht="15" customHeight="1">
      <c r="I31" s="2"/>
      <c r="K31" s="27"/>
      <c r="O31" s="457"/>
      <c r="Q31" s="84" t="s">
        <v>95</v>
      </c>
      <c r="R31" s="85"/>
      <c r="S31" s="85"/>
      <c r="T31" s="874"/>
      <c r="U31" s="86"/>
      <c r="V31" s="83"/>
    </row>
    <row r="32" spans="2:23" ht="15" customHeight="1">
      <c r="F32" s="2"/>
      <c r="G32" s="2"/>
      <c r="H32" s="2"/>
      <c r="I32" s="2"/>
      <c r="K32" s="27"/>
      <c r="O32" s="457"/>
      <c r="Q32" s="87" t="s">
        <v>85</v>
      </c>
      <c r="R32" s="88"/>
      <c r="S32" s="88"/>
      <c r="T32" s="89"/>
      <c r="U32" s="90"/>
    </row>
    <row r="33" spans="6:22" ht="15" customHeight="1">
      <c r="F33" s="2"/>
      <c r="G33" s="2"/>
      <c r="H33" s="2"/>
      <c r="I33" s="2"/>
      <c r="P33" s="38"/>
      <c r="Q33" s="87" t="s">
        <v>86</v>
      </c>
      <c r="R33" s="88"/>
      <c r="S33" s="88"/>
      <c r="T33" s="875">
        <f>(30*0.45)*2</f>
        <v>27</v>
      </c>
      <c r="U33" s="91" t="s">
        <v>87</v>
      </c>
    </row>
    <row r="34" spans="6:22" ht="15" customHeight="1">
      <c r="I34" s="2"/>
      <c r="Q34" s="87" t="s">
        <v>88</v>
      </c>
      <c r="R34" s="88"/>
      <c r="S34" s="88"/>
      <c r="T34" s="875">
        <v>6.9379514170040482</v>
      </c>
      <c r="U34" s="91" t="s">
        <v>89</v>
      </c>
      <c r="V34" s="80"/>
    </row>
    <row r="35" spans="6:22" ht="15" customHeight="1">
      <c r="I35" s="2"/>
      <c r="Q35" s="87" t="s">
        <v>96</v>
      </c>
      <c r="R35" s="88"/>
      <c r="S35" s="88"/>
      <c r="T35" s="875">
        <f>T18+T34</f>
        <v>29.257216972563722</v>
      </c>
      <c r="U35" s="91" t="s">
        <v>91</v>
      </c>
    </row>
    <row r="36" spans="6:22" ht="15" customHeight="1" thickBot="1">
      <c r="I36" s="2"/>
      <c r="Q36" s="92" t="s">
        <v>97</v>
      </c>
      <c r="R36" s="93"/>
      <c r="S36" s="93"/>
      <c r="T36" s="876">
        <f>T35*4+0.01</f>
        <v>117.03886789025489</v>
      </c>
      <c r="U36" s="94" t="s">
        <v>93</v>
      </c>
    </row>
    <row r="37" spans="6:22" ht="15" customHeight="1">
      <c r="I37" s="2"/>
      <c r="L37" s="852"/>
    </row>
    <row r="38" spans="6:22" ht="15" customHeight="1">
      <c r="I38" s="2"/>
      <c r="T38" s="2"/>
    </row>
    <row r="40" spans="6:22" ht="15" customHeight="1">
      <c r="I40" s="2"/>
    </row>
    <row r="41" spans="6:22" ht="15" customHeight="1">
      <c r="I41" s="2"/>
    </row>
    <row r="72" spans="9:9" ht="24.75" customHeight="1">
      <c r="I72" s="170" t="s">
        <v>240</v>
      </c>
    </row>
  </sheetData>
  <mergeCells count="9">
    <mergeCell ref="Q20:R20"/>
    <mergeCell ref="J3:N3"/>
    <mergeCell ref="Q3:R3"/>
    <mergeCell ref="Q18:R18"/>
    <mergeCell ref="D4:H4"/>
    <mergeCell ref="B4:C4"/>
    <mergeCell ref="B3:H3"/>
    <mergeCell ref="B2:E2"/>
    <mergeCell ref="Q19:R19"/>
  </mergeCells>
  <pageMargins left="0.25" right="0" top="0.25" bottom="0.25" header="0.3" footer="0.3"/>
  <pageSetup scale="59" orientation="landscape" cellComments="asDisplayed" horizontalDpi="300" verticalDpi="300" r:id="rId1"/>
  <ignoredErrors>
    <ignoredError sqref="N19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topLeftCell="E1" workbookViewId="0">
      <selection activeCell="M31" sqref="M31"/>
    </sheetView>
  </sheetViews>
  <sheetFormatPr defaultRowHeight="15"/>
  <cols>
    <col min="1" max="1" width="0" hidden="1" customWidth="1"/>
    <col min="2" max="2" width="21.140625" hidden="1" customWidth="1"/>
    <col min="3" max="3" width="9" hidden="1" customWidth="1"/>
    <col min="4" max="4" width="57.85546875" hidden="1" customWidth="1"/>
    <col min="7" max="7" width="21.42578125" bestFit="1" customWidth="1"/>
    <col min="8" max="8" width="12" bestFit="1" customWidth="1"/>
    <col min="9" max="9" width="13.140625" bestFit="1" customWidth="1"/>
    <col min="10" max="10" width="11.140625" bestFit="1" customWidth="1"/>
    <col min="12" max="12" width="6.140625" bestFit="1" customWidth="1"/>
    <col min="13" max="13" width="11.7109375" customWidth="1"/>
    <col min="14" max="14" width="70.28515625" customWidth="1"/>
    <col min="262" max="262" width="28.140625" bestFit="1" customWidth="1"/>
    <col min="264" max="264" width="11.140625" bestFit="1" customWidth="1"/>
    <col min="265" max="265" width="13.140625" bestFit="1" customWidth="1"/>
    <col min="268" max="268" width="19.28515625" bestFit="1" customWidth="1"/>
    <col min="269" max="269" width="12" bestFit="1" customWidth="1"/>
    <col min="270" max="270" width="49.28515625" bestFit="1" customWidth="1"/>
    <col min="518" max="518" width="28.140625" bestFit="1" customWidth="1"/>
    <col min="520" max="520" width="11.140625" bestFit="1" customWidth="1"/>
    <col min="521" max="521" width="13.140625" bestFit="1" customWidth="1"/>
    <col min="524" max="524" width="19.28515625" bestFit="1" customWidth="1"/>
    <col min="525" max="525" width="12" bestFit="1" customWidth="1"/>
    <col min="526" max="526" width="49.28515625" bestFit="1" customWidth="1"/>
    <col min="774" max="774" width="28.140625" bestFit="1" customWidth="1"/>
    <col min="776" max="776" width="11.140625" bestFit="1" customWidth="1"/>
    <col min="777" max="777" width="13.140625" bestFit="1" customWidth="1"/>
    <col min="780" max="780" width="19.28515625" bestFit="1" customWidth="1"/>
    <col min="781" max="781" width="12" bestFit="1" customWidth="1"/>
    <col min="782" max="782" width="49.28515625" bestFit="1" customWidth="1"/>
    <col min="1030" max="1030" width="28.140625" bestFit="1" customWidth="1"/>
    <col min="1032" max="1032" width="11.140625" bestFit="1" customWidth="1"/>
    <col min="1033" max="1033" width="13.140625" bestFit="1" customWidth="1"/>
    <col min="1036" max="1036" width="19.28515625" bestFit="1" customWidth="1"/>
    <col min="1037" max="1037" width="12" bestFit="1" customWidth="1"/>
    <col min="1038" max="1038" width="49.28515625" bestFit="1" customWidth="1"/>
    <col min="1286" max="1286" width="28.140625" bestFit="1" customWidth="1"/>
    <col min="1288" max="1288" width="11.140625" bestFit="1" customWidth="1"/>
    <col min="1289" max="1289" width="13.140625" bestFit="1" customWidth="1"/>
    <col min="1292" max="1292" width="19.28515625" bestFit="1" customWidth="1"/>
    <col min="1293" max="1293" width="12" bestFit="1" customWidth="1"/>
    <col min="1294" max="1294" width="49.28515625" bestFit="1" customWidth="1"/>
    <col min="1542" max="1542" width="28.140625" bestFit="1" customWidth="1"/>
    <col min="1544" max="1544" width="11.140625" bestFit="1" customWidth="1"/>
    <col min="1545" max="1545" width="13.140625" bestFit="1" customWidth="1"/>
    <col min="1548" max="1548" width="19.28515625" bestFit="1" customWidth="1"/>
    <col min="1549" max="1549" width="12" bestFit="1" customWidth="1"/>
    <col min="1550" max="1550" width="49.28515625" bestFit="1" customWidth="1"/>
    <col min="1798" max="1798" width="28.140625" bestFit="1" customWidth="1"/>
    <col min="1800" max="1800" width="11.140625" bestFit="1" customWidth="1"/>
    <col min="1801" max="1801" width="13.140625" bestFit="1" customWidth="1"/>
    <col min="1804" max="1804" width="19.28515625" bestFit="1" customWidth="1"/>
    <col min="1805" max="1805" width="12" bestFit="1" customWidth="1"/>
    <col min="1806" max="1806" width="49.28515625" bestFit="1" customWidth="1"/>
    <col min="2054" max="2054" width="28.140625" bestFit="1" customWidth="1"/>
    <col min="2056" max="2056" width="11.140625" bestFit="1" customWidth="1"/>
    <col min="2057" max="2057" width="13.140625" bestFit="1" customWidth="1"/>
    <col min="2060" max="2060" width="19.28515625" bestFit="1" customWidth="1"/>
    <col min="2061" max="2061" width="12" bestFit="1" customWidth="1"/>
    <col min="2062" max="2062" width="49.28515625" bestFit="1" customWidth="1"/>
    <col min="2310" max="2310" width="28.140625" bestFit="1" customWidth="1"/>
    <col min="2312" max="2312" width="11.140625" bestFit="1" customWidth="1"/>
    <col min="2313" max="2313" width="13.140625" bestFit="1" customWidth="1"/>
    <col min="2316" max="2316" width="19.28515625" bestFit="1" customWidth="1"/>
    <col min="2317" max="2317" width="12" bestFit="1" customWidth="1"/>
    <col min="2318" max="2318" width="49.28515625" bestFit="1" customWidth="1"/>
    <col min="2566" max="2566" width="28.140625" bestFit="1" customWidth="1"/>
    <col min="2568" max="2568" width="11.140625" bestFit="1" customWidth="1"/>
    <col min="2569" max="2569" width="13.140625" bestFit="1" customWidth="1"/>
    <col min="2572" max="2572" width="19.28515625" bestFit="1" customWidth="1"/>
    <col min="2573" max="2573" width="12" bestFit="1" customWidth="1"/>
    <col min="2574" max="2574" width="49.28515625" bestFit="1" customWidth="1"/>
    <col min="2822" max="2822" width="28.140625" bestFit="1" customWidth="1"/>
    <col min="2824" max="2824" width="11.140625" bestFit="1" customWidth="1"/>
    <col min="2825" max="2825" width="13.140625" bestFit="1" customWidth="1"/>
    <col min="2828" max="2828" width="19.28515625" bestFit="1" customWidth="1"/>
    <col min="2829" max="2829" width="12" bestFit="1" customWidth="1"/>
    <col min="2830" max="2830" width="49.28515625" bestFit="1" customWidth="1"/>
    <col min="3078" max="3078" width="28.140625" bestFit="1" customWidth="1"/>
    <col min="3080" max="3080" width="11.140625" bestFit="1" customWidth="1"/>
    <col min="3081" max="3081" width="13.140625" bestFit="1" customWidth="1"/>
    <col min="3084" max="3084" width="19.28515625" bestFit="1" customWidth="1"/>
    <col min="3085" max="3085" width="12" bestFit="1" customWidth="1"/>
    <col min="3086" max="3086" width="49.28515625" bestFit="1" customWidth="1"/>
    <col min="3334" max="3334" width="28.140625" bestFit="1" customWidth="1"/>
    <col min="3336" max="3336" width="11.140625" bestFit="1" customWidth="1"/>
    <col min="3337" max="3337" width="13.140625" bestFit="1" customWidth="1"/>
    <col min="3340" max="3340" width="19.28515625" bestFit="1" customWidth="1"/>
    <col min="3341" max="3341" width="12" bestFit="1" customWidth="1"/>
    <col min="3342" max="3342" width="49.28515625" bestFit="1" customWidth="1"/>
    <col min="3590" max="3590" width="28.140625" bestFit="1" customWidth="1"/>
    <col min="3592" max="3592" width="11.140625" bestFit="1" customWidth="1"/>
    <col min="3593" max="3593" width="13.140625" bestFit="1" customWidth="1"/>
    <col min="3596" max="3596" width="19.28515625" bestFit="1" customWidth="1"/>
    <col min="3597" max="3597" width="12" bestFit="1" customWidth="1"/>
    <col min="3598" max="3598" width="49.28515625" bestFit="1" customWidth="1"/>
    <col min="3846" max="3846" width="28.140625" bestFit="1" customWidth="1"/>
    <col min="3848" max="3848" width="11.140625" bestFit="1" customWidth="1"/>
    <col min="3849" max="3849" width="13.140625" bestFit="1" customWidth="1"/>
    <col min="3852" max="3852" width="19.28515625" bestFit="1" customWidth="1"/>
    <col min="3853" max="3853" width="12" bestFit="1" customWidth="1"/>
    <col min="3854" max="3854" width="49.28515625" bestFit="1" customWidth="1"/>
    <col min="4102" max="4102" width="28.140625" bestFit="1" customWidth="1"/>
    <col min="4104" max="4104" width="11.140625" bestFit="1" customWidth="1"/>
    <col min="4105" max="4105" width="13.140625" bestFit="1" customWidth="1"/>
    <col min="4108" max="4108" width="19.28515625" bestFit="1" customWidth="1"/>
    <col min="4109" max="4109" width="12" bestFit="1" customWidth="1"/>
    <col min="4110" max="4110" width="49.28515625" bestFit="1" customWidth="1"/>
    <col min="4358" max="4358" width="28.140625" bestFit="1" customWidth="1"/>
    <col min="4360" max="4360" width="11.140625" bestFit="1" customWidth="1"/>
    <col min="4361" max="4361" width="13.140625" bestFit="1" customWidth="1"/>
    <col min="4364" max="4364" width="19.28515625" bestFit="1" customWidth="1"/>
    <col min="4365" max="4365" width="12" bestFit="1" customWidth="1"/>
    <col min="4366" max="4366" width="49.28515625" bestFit="1" customWidth="1"/>
    <col min="4614" max="4614" width="28.140625" bestFit="1" customWidth="1"/>
    <col min="4616" max="4616" width="11.140625" bestFit="1" customWidth="1"/>
    <col min="4617" max="4617" width="13.140625" bestFit="1" customWidth="1"/>
    <col min="4620" max="4620" width="19.28515625" bestFit="1" customWidth="1"/>
    <col min="4621" max="4621" width="12" bestFit="1" customWidth="1"/>
    <col min="4622" max="4622" width="49.28515625" bestFit="1" customWidth="1"/>
    <col min="4870" max="4870" width="28.140625" bestFit="1" customWidth="1"/>
    <col min="4872" max="4872" width="11.140625" bestFit="1" customWidth="1"/>
    <col min="4873" max="4873" width="13.140625" bestFit="1" customWidth="1"/>
    <col min="4876" max="4876" width="19.28515625" bestFit="1" customWidth="1"/>
    <col min="4877" max="4877" width="12" bestFit="1" customWidth="1"/>
    <col min="4878" max="4878" width="49.28515625" bestFit="1" customWidth="1"/>
    <col min="5126" max="5126" width="28.140625" bestFit="1" customWidth="1"/>
    <col min="5128" max="5128" width="11.140625" bestFit="1" customWidth="1"/>
    <col min="5129" max="5129" width="13.140625" bestFit="1" customWidth="1"/>
    <col min="5132" max="5132" width="19.28515625" bestFit="1" customWidth="1"/>
    <col min="5133" max="5133" width="12" bestFit="1" customWidth="1"/>
    <col min="5134" max="5134" width="49.28515625" bestFit="1" customWidth="1"/>
    <col min="5382" max="5382" width="28.140625" bestFit="1" customWidth="1"/>
    <col min="5384" max="5384" width="11.140625" bestFit="1" customWidth="1"/>
    <col min="5385" max="5385" width="13.140625" bestFit="1" customWidth="1"/>
    <col min="5388" max="5388" width="19.28515625" bestFit="1" customWidth="1"/>
    <col min="5389" max="5389" width="12" bestFit="1" customWidth="1"/>
    <col min="5390" max="5390" width="49.28515625" bestFit="1" customWidth="1"/>
    <col min="5638" max="5638" width="28.140625" bestFit="1" customWidth="1"/>
    <col min="5640" max="5640" width="11.140625" bestFit="1" customWidth="1"/>
    <col min="5641" max="5641" width="13.140625" bestFit="1" customWidth="1"/>
    <col min="5644" max="5644" width="19.28515625" bestFit="1" customWidth="1"/>
    <col min="5645" max="5645" width="12" bestFit="1" customWidth="1"/>
    <col min="5646" max="5646" width="49.28515625" bestFit="1" customWidth="1"/>
    <col min="5894" max="5894" width="28.140625" bestFit="1" customWidth="1"/>
    <col min="5896" max="5896" width="11.140625" bestFit="1" customWidth="1"/>
    <col min="5897" max="5897" width="13.140625" bestFit="1" customWidth="1"/>
    <col min="5900" max="5900" width="19.28515625" bestFit="1" customWidth="1"/>
    <col min="5901" max="5901" width="12" bestFit="1" customWidth="1"/>
    <col min="5902" max="5902" width="49.28515625" bestFit="1" customWidth="1"/>
    <col min="6150" max="6150" width="28.140625" bestFit="1" customWidth="1"/>
    <col min="6152" max="6152" width="11.140625" bestFit="1" customWidth="1"/>
    <col min="6153" max="6153" width="13.140625" bestFit="1" customWidth="1"/>
    <col min="6156" max="6156" width="19.28515625" bestFit="1" customWidth="1"/>
    <col min="6157" max="6157" width="12" bestFit="1" customWidth="1"/>
    <col min="6158" max="6158" width="49.28515625" bestFit="1" customWidth="1"/>
    <col min="6406" max="6406" width="28.140625" bestFit="1" customWidth="1"/>
    <col min="6408" max="6408" width="11.140625" bestFit="1" customWidth="1"/>
    <col min="6409" max="6409" width="13.140625" bestFit="1" customWidth="1"/>
    <col min="6412" max="6412" width="19.28515625" bestFit="1" customWidth="1"/>
    <col min="6413" max="6413" width="12" bestFit="1" customWidth="1"/>
    <col min="6414" max="6414" width="49.28515625" bestFit="1" customWidth="1"/>
    <col min="6662" max="6662" width="28.140625" bestFit="1" customWidth="1"/>
    <col min="6664" max="6664" width="11.140625" bestFit="1" customWidth="1"/>
    <col min="6665" max="6665" width="13.140625" bestFit="1" customWidth="1"/>
    <col min="6668" max="6668" width="19.28515625" bestFit="1" customWidth="1"/>
    <col min="6669" max="6669" width="12" bestFit="1" customWidth="1"/>
    <col min="6670" max="6670" width="49.28515625" bestFit="1" customWidth="1"/>
    <col min="6918" max="6918" width="28.140625" bestFit="1" customWidth="1"/>
    <col min="6920" max="6920" width="11.140625" bestFit="1" customWidth="1"/>
    <col min="6921" max="6921" width="13.140625" bestFit="1" customWidth="1"/>
    <col min="6924" max="6924" width="19.28515625" bestFit="1" customWidth="1"/>
    <col min="6925" max="6925" width="12" bestFit="1" customWidth="1"/>
    <col min="6926" max="6926" width="49.28515625" bestFit="1" customWidth="1"/>
    <col min="7174" max="7174" width="28.140625" bestFit="1" customWidth="1"/>
    <col min="7176" max="7176" width="11.140625" bestFit="1" customWidth="1"/>
    <col min="7177" max="7177" width="13.140625" bestFit="1" customWidth="1"/>
    <col min="7180" max="7180" width="19.28515625" bestFit="1" customWidth="1"/>
    <col min="7181" max="7181" width="12" bestFit="1" customWidth="1"/>
    <col min="7182" max="7182" width="49.28515625" bestFit="1" customWidth="1"/>
    <col min="7430" max="7430" width="28.140625" bestFit="1" customWidth="1"/>
    <col min="7432" max="7432" width="11.140625" bestFit="1" customWidth="1"/>
    <col min="7433" max="7433" width="13.140625" bestFit="1" customWidth="1"/>
    <col min="7436" max="7436" width="19.28515625" bestFit="1" customWidth="1"/>
    <col min="7437" max="7437" width="12" bestFit="1" customWidth="1"/>
    <col min="7438" max="7438" width="49.28515625" bestFit="1" customWidth="1"/>
    <col min="7686" max="7686" width="28.140625" bestFit="1" customWidth="1"/>
    <col min="7688" max="7688" width="11.140625" bestFit="1" customWidth="1"/>
    <col min="7689" max="7689" width="13.140625" bestFit="1" customWidth="1"/>
    <col min="7692" max="7692" width="19.28515625" bestFit="1" customWidth="1"/>
    <col min="7693" max="7693" width="12" bestFit="1" customWidth="1"/>
    <col min="7694" max="7694" width="49.28515625" bestFit="1" customWidth="1"/>
    <col min="7942" max="7942" width="28.140625" bestFit="1" customWidth="1"/>
    <col min="7944" max="7944" width="11.140625" bestFit="1" customWidth="1"/>
    <col min="7945" max="7945" width="13.140625" bestFit="1" customWidth="1"/>
    <col min="7948" max="7948" width="19.28515625" bestFit="1" customWidth="1"/>
    <col min="7949" max="7949" width="12" bestFit="1" customWidth="1"/>
    <col min="7950" max="7950" width="49.28515625" bestFit="1" customWidth="1"/>
    <col min="8198" max="8198" width="28.140625" bestFit="1" customWidth="1"/>
    <col min="8200" max="8200" width="11.140625" bestFit="1" customWidth="1"/>
    <col min="8201" max="8201" width="13.140625" bestFit="1" customWidth="1"/>
    <col min="8204" max="8204" width="19.28515625" bestFit="1" customWidth="1"/>
    <col min="8205" max="8205" width="12" bestFit="1" customWidth="1"/>
    <col min="8206" max="8206" width="49.28515625" bestFit="1" customWidth="1"/>
    <col min="8454" max="8454" width="28.140625" bestFit="1" customWidth="1"/>
    <col min="8456" max="8456" width="11.140625" bestFit="1" customWidth="1"/>
    <col min="8457" max="8457" width="13.140625" bestFit="1" customWidth="1"/>
    <col min="8460" max="8460" width="19.28515625" bestFit="1" customWidth="1"/>
    <col min="8461" max="8461" width="12" bestFit="1" customWidth="1"/>
    <col min="8462" max="8462" width="49.28515625" bestFit="1" customWidth="1"/>
    <col min="8710" max="8710" width="28.140625" bestFit="1" customWidth="1"/>
    <col min="8712" max="8712" width="11.140625" bestFit="1" customWidth="1"/>
    <col min="8713" max="8713" width="13.140625" bestFit="1" customWidth="1"/>
    <col min="8716" max="8716" width="19.28515625" bestFit="1" customWidth="1"/>
    <col min="8717" max="8717" width="12" bestFit="1" customWidth="1"/>
    <col min="8718" max="8718" width="49.28515625" bestFit="1" customWidth="1"/>
    <col min="8966" max="8966" width="28.140625" bestFit="1" customWidth="1"/>
    <col min="8968" max="8968" width="11.140625" bestFit="1" customWidth="1"/>
    <col min="8969" max="8969" width="13.140625" bestFit="1" customWidth="1"/>
    <col min="8972" max="8972" width="19.28515625" bestFit="1" customWidth="1"/>
    <col min="8973" max="8973" width="12" bestFit="1" customWidth="1"/>
    <col min="8974" max="8974" width="49.28515625" bestFit="1" customWidth="1"/>
    <col min="9222" max="9222" width="28.140625" bestFit="1" customWidth="1"/>
    <col min="9224" max="9224" width="11.140625" bestFit="1" customWidth="1"/>
    <col min="9225" max="9225" width="13.140625" bestFit="1" customWidth="1"/>
    <col min="9228" max="9228" width="19.28515625" bestFit="1" customWidth="1"/>
    <col min="9229" max="9229" width="12" bestFit="1" customWidth="1"/>
    <col min="9230" max="9230" width="49.28515625" bestFit="1" customWidth="1"/>
    <col min="9478" max="9478" width="28.140625" bestFit="1" customWidth="1"/>
    <col min="9480" max="9480" width="11.140625" bestFit="1" customWidth="1"/>
    <col min="9481" max="9481" width="13.140625" bestFit="1" customWidth="1"/>
    <col min="9484" max="9484" width="19.28515625" bestFit="1" customWidth="1"/>
    <col min="9485" max="9485" width="12" bestFit="1" customWidth="1"/>
    <col min="9486" max="9486" width="49.28515625" bestFit="1" customWidth="1"/>
    <col min="9734" max="9734" width="28.140625" bestFit="1" customWidth="1"/>
    <col min="9736" max="9736" width="11.140625" bestFit="1" customWidth="1"/>
    <col min="9737" max="9737" width="13.140625" bestFit="1" customWidth="1"/>
    <col min="9740" max="9740" width="19.28515625" bestFit="1" customWidth="1"/>
    <col min="9741" max="9741" width="12" bestFit="1" customWidth="1"/>
    <col min="9742" max="9742" width="49.28515625" bestFit="1" customWidth="1"/>
    <col min="9990" max="9990" width="28.140625" bestFit="1" customWidth="1"/>
    <col min="9992" max="9992" width="11.140625" bestFit="1" customWidth="1"/>
    <col min="9993" max="9993" width="13.140625" bestFit="1" customWidth="1"/>
    <col min="9996" max="9996" width="19.28515625" bestFit="1" customWidth="1"/>
    <col min="9997" max="9997" width="12" bestFit="1" customWidth="1"/>
    <col min="9998" max="9998" width="49.28515625" bestFit="1" customWidth="1"/>
    <col min="10246" max="10246" width="28.140625" bestFit="1" customWidth="1"/>
    <col min="10248" max="10248" width="11.140625" bestFit="1" customWidth="1"/>
    <col min="10249" max="10249" width="13.140625" bestFit="1" customWidth="1"/>
    <col min="10252" max="10252" width="19.28515625" bestFit="1" customWidth="1"/>
    <col min="10253" max="10253" width="12" bestFit="1" customWidth="1"/>
    <col min="10254" max="10254" width="49.28515625" bestFit="1" customWidth="1"/>
    <col min="10502" max="10502" width="28.140625" bestFit="1" customWidth="1"/>
    <col min="10504" max="10504" width="11.140625" bestFit="1" customWidth="1"/>
    <col min="10505" max="10505" width="13.140625" bestFit="1" customWidth="1"/>
    <col min="10508" max="10508" width="19.28515625" bestFit="1" customWidth="1"/>
    <col min="10509" max="10509" width="12" bestFit="1" customWidth="1"/>
    <col min="10510" max="10510" width="49.28515625" bestFit="1" customWidth="1"/>
    <col min="10758" max="10758" width="28.140625" bestFit="1" customWidth="1"/>
    <col min="10760" max="10760" width="11.140625" bestFit="1" customWidth="1"/>
    <col min="10761" max="10761" width="13.140625" bestFit="1" customWidth="1"/>
    <col min="10764" max="10764" width="19.28515625" bestFit="1" customWidth="1"/>
    <col min="10765" max="10765" width="12" bestFit="1" customWidth="1"/>
    <col min="10766" max="10766" width="49.28515625" bestFit="1" customWidth="1"/>
    <col min="11014" max="11014" width="28.140625" bestFit="1" customWidth="1"/>
    <col min="11016" max="11016" width="11.140625" bestFit="1" customWidth="1"/>
    <col min="11017" max="11017" width="13.140625" bestFit="1" customWidth="1"/>
    <col min="11020" max="11020" width="19.28515625" bestFit="1" customWidth="1"/>
    <col min="11021" max="11021" width="12" bestFit="1" customWidth="1"/>
    <col min="11022" max="11022" width="49.28515625" bestFit="1" customWidth="1"/>
    <col min="11270" max="11270" width="28.140625" bestFit="1" customWidth="1"/>
    <col min="11272" max="11272" width="11.140625" bestFit="1" customWidth="1"/>
    <col min="11273" max="11273" width="13.140625" bestFit="1" customWidth="1"/>
    <col min="11276" max="11276" width="19.28515625" bestFit="1" customWidth="1"/>
    <col min="11277" max="11277" width="12" bestFit="1" customWidth="1"/>
    <col min="11278" max="11278" width="49.28515625" bestFit="1" customWidth="1"/>
    <col min="11526" max="11526" width="28.140625" bestFit="1" customWidth="1"/>
    <col min="11528" max="11528" width="11.140625" bestFit="1" customWidth="1"/>
    <col min="11529" max="11529" width="13.140625" bestFit="1" customWidth="1"/>
    <col min="11532" max="11532" width="19.28515625" bestFit="1" customWidth="1"/>
    <col min="11533" max="11533" width="12" bestFit="1" customWidth="1"/>
    <col min="11534" max="11534" width="49.28515625" bestFit="1" customWidth="1"/>
    <col min="11782" max="11782" width="28.140625" bestFit="1" customWidth="1"/>
    <col min="11784" max="11784" width="11.140625" bestFit="1" customWidth="1"/>
    <col min="11785" max="11785" width="13.140625" bestFit="1" customWidth="1"/>
    <col min="11788" max="11788" width="19.28515625" bestFit="1" customWidth="1"/>
    <col min="11789" max="11789" width="12" bestFit="1" customWidth="1"/>
    <col min="11790" max="11790" width="49.28515625" bestFit="1" customWidth="1"/>
    <col min="12038" max="12038" width="28.140625" bestFit="1" customWidth="1"/>
    <col min="12040" max="12040" width="11.140625" bestFit="1" customWidth="1"/>
    <col min="12041" max="12041" width="13.140625" bestFit="1" customWidth="1"/>
    <col min="12044" max="12044" width="19.28515625" bestFit="1" customWidth="1"/>
    <col min="12045" max="12045" width="12" bestFit="1" customWidth="1"/>
    <col min="12046" max="12046" width="49.28515625" bestFit="1" customWidth="1"/>
    <col min="12294" max="12294" width="28.140625" bestFit="1" customWidth="1"/>
    <col min="12296" max="12296" width="11.140625" bestFit="1" customWidth="1"/>
    <col min="12297" max="12297" width="13.140625" bestFit="1" customWidth="1"/>
    <col min="12300" max="12300" width="19.28515625" bestFit="1" customWidth="1"/>
    <col min="12301" max="12301" width="12" bestFit="1" customWidth="1"/>
    <col min="12302" max="12302" width="49.28515625" bestFit="1" customWidth="1"/>
    <col min="12550" max="12550" width="28.140625" bestFit="1" customWidth="1"/>
    <col min="12552" max="12552" width="11.140625" bestFit="1" customWidth="1"/>
    <col min="12553" max="12553" width="13.140625" bestFit="1" customWidth="1"/>
    <col min="12556" max="12556" width="19.28515625" bestFit="1" customWidth="1"/>
    <col min="12557" max="12557" width="12" bestFit="1" customWidth="1"/>
    <col min="12558" max="12558" width="49.28515625" bestFit="1" customWidth="1"/>
    <col min="12806" max="12806" width="28.140625" bestFit="1" customWidth="1"/>
    <col min="12808" max="12808" width="11.140625" bestFit="1" customWidth="1"/>
    <col min="12809" max="12809" width="13.140625" bestFit="1" customWidth="1"/>
    <col min="12812" max="12812" width="19.28515625" bestFit="1" customWidth="1"/>
    <col min="12813" max="12813" width="12" bestFit="1" customWidth="1"/>
    <col min="12814" max="12814" width="49.28515625" bestFit="1" customWidth="1"/>
    <col min="13062" max="13062" width="28.140625" bestFit="1" customWidth="1"/>
    <col min="13064" max="13064" width="11.140625" bestFit="1" customWidth="1"/>
    <col min="13065" max="13065" width="13.140625" bestFit="1" customWidth="1"/>
    <col min="13068" max="13068" width="19.28515625" bestFit="1" customWidth="1"/>
    <col min="13069" max="13069" width="12" bestFit="1" customWidth="1"/>
    <col min="13070" max="13070" width="49.28515625" bestFit="1" customWidth="1"/>
    <col min="13318" max="13318" width="28.140625" bestFit="1" customWidth="1"/>
    <col min="13320" max="13320" width="11.140625" bestFit="1" customWidth="1"/>
    <col min="13321" max="13321" width="13.140625" bestFit="1" customWidth="1"/>
    <col min="13324" max="13324" width="19.28515625" bestFit="1" customWidth="1"/>
    <col min="13325" max="13325" width="12" bestFit="1" customWidth="1"/>
    <col min="13326" max="13326" width="49.28515625" bestFit="1" customWidth="1"/>
    <col min="13574" max="13574" width="28.140625" bestFit="1" customWidth="1"/>
    <col min="13576" max="13576" width="11.140625" bestFit="1" customWidth="1"/>
    <col min="13577" max="13577" width="13.140625" bestFit="1" customWidth="1"/>
    <col min="13580" max="13580" width="19.28515625" bestFit="1" customWidth="1"/>
    <col min="13581" max="13581" width="12" bestFit="1" customWidth="1"/>
    <col min="13582" max="13582" width="49.28515625" bestFit="1" customWidth="1"/>
    <col min="13830" max="13830" width="28.140625" bestFit="1" customWidth="1"/>
    <col min="13832" max="13832" width="11.140625" bestFit="1" customWidth="1"/>
    <col min="13833" max="13833" width="13.140625" bestFit="1" customWidth="1"/>
    <col min="13836" max="13836" width="19.28515625" bestFit="1" customWidth="1"/>
    <col min="13837" max="13837" width="12" bestFit="1" customWidth="1"/>
    <col min="13838" max="13838" width="49.28515625" bestFit="1" customWidth="1"/>
    <col min="14086" max="14086" width="28.140625" bestFit="1" customWidth="1"/>
    <col min="14088" max="14088" width="11.140625" bestFit="1" customWidth="1"/>
    <col min="14089" max="14089" width="13.140625" bestFit="1" customWidth="1"/>
    <col min="14092" max="14092" width="19.28515625" bestFit="1" customWidth="1"/>
    <col min="14093" max="14093" width="12" bestFit="1" customWidth="1"/>
    <col min="14094" max="14094" width="49.28515625" bestFit="1" customWidth="1"/>
    <col min="14342" max="14342" width="28.140625" bestFit="1" customWidth="1"/>
    <col min="14344" max="14344" width="11.140625" bestFit="1" customWidth="1"/>
    <col min="14345" max="14345" width="13.140625" bestFit="1" customWidth="1"/>
    <col min="14348" max="14348" width="19.28515625" bestFit="1" customWidth="1"/>
    <col min="14349" max="14349" width="12" bestFit="1" customWidth="1"/>
    <col min="14350" max="14350" width="49.28515625" bestFit="1" customWidth="1"/>
    <col min="14598" max="14598" width="28.140625" bestFit="1" customWidth="1"/>
    <col min="14600" max="14600" width="11.140625" bestFit="1" customWidth="1"/>
    <col min="14601" max="14601" width="13.140625" bestFit="1" customWidth="1"/>
    <col min="14604" max="14604" width="19.28515625" bestFit="1" customWidth="1"/>
    <col min="14605" max="14605" width="12" bestFit="1" customWidth="1"/>
    <col min="14606" max="14606" width="49.28515625" bestFit="1" customWidth="1"/>
    <col min="14854" max="14854" width="28.140625" bestFit="1" customWidth="1"/>
    <col min="14856" max="14856" width="11.140625" bestFit="1" customWidth="1"/>
    <col min="14857" max="14857" width="13.140625" bestFit="1" customWidth="1"/>
    <col min="14860" max="14860" width="19.28515625" bestFit="1" customWidth="1"/>
    <col min="14861" max="14861" width="12" bestFit="1" customWidth="1"/>
    <col min="14862" max="14862" width="49.28515625" bestFit="1" customWidth="1"/>
    <col min="15110" max="15110" width="28.140625" bestFit="1" customWidth="1"/>
    <col min="15112" max="15112" width="11.140625" bestFit="1" customWidth="1"/>
    <col min="15113" max="15113" width="13.140625" bestFit="1" customWidth="1"/>
    <col min="15116" max="15116" width="19.28515625" bestFit="1" customWidth="1"/>
    <col min="15117" max="15117" width="12" bestFit="1" customWidth="1"/>
    <col min="15118" max="15118" width="49.28515625" bestFit="1" customWidth="1"/>
    <col min="15366" max="15366" width="28.140625" bestFit="1" customWidth="1"/>
    <col min="15368" max="15368" width="11.140625" bestFit="1" customWidth="1"/>
    <col min="15369" max="15369" width="13.140625" bestFit="1" customWidth="1"/>
    <col min="15372" max="15372" width="19.28515625" bestFit="1" customWidth="1"/>
    <col min="15373" max="15373" width="12" bestFit="1" customWidth="1"/>
    <col min="15374" max="15374" width="49.28515625" bestFit="1" customWidth="1"/>
    <col min="15622" max="15622" width="28.140625" bestFit="1" customWidth="1"/>
    <col min="15624" max="15624" width="11.140625" bestFit="1" customWidth="1"/>
    <col min="15625" max="15625" width="13.140625" bestFit="1" customWidth="1"/>
    <col min="15628" max="15628" width="19.28515625" bestFit="1" customWidth="1"/>
    <col min="15629" max="15629" width="12" bestFit="1" customWidth="1"/>
    <col min="15630" max="15630" width="49.28515625" bestFit="1" customWidth="1"/>
    <col min="15878" max="15878" width="28.140625" bestFit="1" customWidth="1"/>
    <col min="15880" max="15880" width="11.140625" bestFit="1" customWidth="1"/>
    <col min="15881" max="15881" width="13.140625" bestFit="1" customWidth="1"/>
    <col min="15884" max="15884" width="19.28515625" bestFit="1" customWidth="1"/>
    <col min="15885" max="15885" width="12" bestFit="1" customWidth="1"/>
    <col min="15886" max="15886" width="49.28515625" bestFit="1" customWidth="1"/>
    <col min="16134" max="16134" width="28.140625" bestFit="1" customWidth="1"/>
    <col min="16136" max="16136" width="11.140625" bestFit="1" customWidth="1"/>
    <col min="16137" max="16137" width="13.140625" bestFit="1" customWidth="1"/>
    <col min="16140" max="16140" width="19.28515625" bestFit="1" customWidth="1"/>
    <col min="16141" max="16141" width="12" bestFit="1" customWidth="1"/>
    <col min="16142" max="16142" width="49.28515625" bestFit="1" customWidth="1"/>
  </cols>
  <sheetData>
    <row r="1" spans="1:14">
      <c r="A1" s="857"/>
      <c r="B1" s="857"/>
      <c r="C1" s="857"/>
      <c r="D1" s="857"/>
      <c r="E1" s="857"/>
      <c r="F1" s="857"/>
      <c r="G1" s="857"/>
      <c r="H1" s="857"/>
      <c r="I1" s="857"/>
      <c r="J1" s="857"/>
      <c r="K1" s="857"/>
      <c r="L1" s="857"/>
      <c r="M1" s="857"/>
      <c r="N1" s="857"/>
    </row>
    <row r="2" spans="1:14" ht="15.75" thickBot="1">
      <c r="A2" s="857"/>
      <c r="B2" s="857"/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7"/>
    </row>
    <row r="3" spans="1:14" ht="15.75" thickBot="1">
      <c r="A3" s="857"/>
      <c r="B3" s="859"/>
      <c r="C3" s="859"/>
      <c r="D3" s="859"/>
      <c r="E3" s="857"/>
      <c r="F3" s="857"/>
      <c r="G3" s="913" t="s">
        <v>252</v>
      </c>
      <c r="H3" s="914"/>
      <c r="I3" s="914"/>
      <c r="J3" s="915"/>
      <c r="K3" s="857"/>
      <c r="L3" s="857"/>
      <c r="M3" s="857"/>
      <c r="N3" s="857"/>
    </row>
    <row r="4" spans="1:14" ht="15.75" thickBot="1">
      <c r="A4" s="857"/>
      <c r="B4" s="910" t="s">
        <v>246</v>
      </c>
      <c r="C4" s="911"/>
      <c r="D4" s="912"/>
      <c r="E4" s="857"/>
      <c r="F4" s="857"/>
      <c r="G4" s="496"/>
      <c r="H4" s="497"/>
      <c r="I4" s="497" t="s">
        <v>58</v>
      </c>
      <c r="J4" s="498">
        <f>'1. O&amp;M Model Budget'!S12</f>
        <v>1257.5</v>
      </c>
      <c r="K4" s="857"/>
      <c r="L4" s="857"/>
      <c r="M4" s="857"/>
      <c r="N4" s="857"/>
    </row>
    <row r="5" spans="1:14" ht="15.75" thickBot="1">
      <c r="A5" s="857"/>
      <c r="B5" s="910" t="s">
        <v>268</v>
      </c>
      <c r="C5" s="912"/>
      <c r="D5" s="860" t="s">
        <v>2</v>
      </c>
      <c r="E5" s="857"/>
      <c r="F5" s="857"/>
      <c r="G5" s="499"/>
      <c r="H5" s="500" t="s">
        <v>5</v>
      </c>
      <c r="I5" s="501" t="s">
        <v>6</v>
      </c>
      <c r="J5" s="502" t="s">
        <v>7</v>
      </c>
      <c r="K5" s="857"/>
      <c r="L5" s="857"/>
      <c r="M5" s="857"/>
      <c r="N5" s="857"/>
    </row>
    <row r="6" spans="1:14">
      <c r="A6" s="857"/>
      <c r="B6" s="861" t="s">
        <v>253</v>
      </c>
      <c r="C6" s="862">
        <v>35644</v>
      </c>
      <c r="D6" s="863" t="s">
        <v>668</v>
      </c>
      <c r="E6" s="857"/>
      <c r="F6" s="857"/>
      <c r="G6" s="503" t="s">
        <v>251</v>
      </c>
      <c r="H6" s="505">
        <f>'CMR 422 Master Lookup'!C7</f>
        <v>35643.839999999997</v>
      </c>
      <c r="I6" s="506">
        <v>1</v>
      </c>
      <c r="J6" s="524">
        <f>H6*I6</f>
        <v>35643.839999999997</v>
      </c>
      <c r="K6" s="857"/>
      <c r="L6" s="857"/>
      <c r="M6" s="857"/>
      <c r="N6" s="857"/>
    </row>
    <row r="7" spans="1:14" ht="15.75" thickBot="1">
      <c r="A7" s="857"/>
      <c r="B7" s="861" t="s">
        <v>20</v>
      </c>
      <c r="C7" s="864">
        <v>0.21709999999999999</v>
      </c>
      <c r="D7" s="863" t="s">
        <v>44</v>
      </c>
      <c r="E7" s="857"/>
      <c r="F7" s="857"/>
      <c r="G7" s="525" t="s">
        <v>649</v>
      </c>
      <c r="H7" s="526"/>
      <c r="I7" s="526"/>
      <c r="J7" s="527">
        <f>SUM(J6)</f>
        <v>35643.839999999997</v>
      </c>
      <c r="K7" s="857"/>
      <c r="L7" s="857"/>
      <c r="M7" s="857"/>
      <c r="N7" s="857"/>
    </row>
    <row r="8" spans="1:14">
      <c r="A8" s="857"/>
      <c r="B8" s="861" t="s">
        <v>22</v>
      </c>
      <c r="C8" s="865">
        <v>1591</v>
      </c>
      <c r="D8" s="863" t="s">
        <v>267</v>
      </c>
      <c r="E8" s="857"/>
      <c r="F8" s="857"/>
      <c r="G8" s="528"/>
      <c r="H8" s="529"/>
      <c r="I8" s="529"/>
      <c r="J8" s="530"/>
      <c r="K8" s="857"/>
      <c r="L8" s="857"/>
      <c r="M8" s="857"/>
      <c r="N8" s="857"/>
    </row>
    <row r="9" spans="1:14" ht="15.75" thickBot="1">
      <c r="A9" s="857"/>
      <c r="B9" s="861" t="s">
        <v>247</v>
      </c>
      <c r="C9" s="862">
        <v>20000</v>
      </c>
      <c r="D9" s="863" t="s">
        <v>267</v>
      </c>
      <c r="E9" s="857"/>
      <c r="F9" s="857"/>
      <c r="G9" s="503" t="s">
        <v>16</v>
      </c>
      <c r="H9" s="508">
        <f>'CMR 422 Master Lookup'!G3</f>
        <v>0.21709999999999999</v>
      </c>
      <c r="I9" s="504"/>
      <c r="J9" s="510">
        <f>H9*J7</f>
        <v>7738.2776639999984</v>
      </c>
      <c r="K9" s="857"/>
      <c r="L9" s="857"/>
      <c r="M9" s="857"/>
      <c r="N9" s="857"/>
    </row>
    <row r="10" spans="1:14" ht="16.5" thickTop="1" thickBot="1">
      <c r="A10" s="857"/>
      <c r="B10" s="861" t="s">
        <v>78</v>
      </c>
      <c r="C10" s="862">
        <v>439</v>
      </c>
      <c r="D10" s="863" t="s">
        <v>266</v>
      </c>
      <c r="E10" s="857"/>
      <c r="F10" s="857"/>
      <c r="G10" s="525"/>
      <c r="H10" s="526"/>
      <c r="I10" s="526"/>
      <c r="J10" s="531">
        <f>J9+J7</f>
        <v>43382.117663999998</v>
      </c>
      <c r="K10" s="857"/>
      <c r="L10" s="857"/>
      <c r="M10" s="857"/>
      <c r="N10" s="857"/>
    </row>
    <row r="11" spans="1:14">
      <c r="A11" s="857"/>
      <c r="B11" s="861" t="s">
        <v>248</v>
      </c>
      <c r="C11" s="864">
        <v>0.12</v>
      </c>
      <c r="D11" s="863" t="s">
        <v>265</v>
      </c>
      <c r="E11" s="857"/>
      <c r="F11" s="857"/>
      <c r="G11" s="503" t="s">
        <v>22</v>
      </c>
      <c r="H11" s="504"/>
      <c r="I11" s="504"/>
      <c r="J11" s="507">
        <f>'CMR 422 Master Lookup'!C28</f>
        <v>1591</v>
      </c>
      <c r="K11" s="857"/>
      <c r="L11" s="857"/>
      <c r="M11" s="857"/>
      <c r="N11" s="857"/>
    </row>
    <row r="12" spans="1:14" ht="15.75" thickBot="1">
      <c r="A12" s="857"/>
      <c r="B12" s="866" t="s">
        <v>249</v>
      </c>
      <c r="C12" s="867">
        <f>'1. O&amp;M Model Budget'!C25</f>
        <v>2.5376928471248276E-2</v>
      </c>
      <c r="D12" s="868" t="s">
        <v>363</v>
      </c>
      <c r="E12" s="857"/>
      <c r="F12" s="857"/>
      <c r="G12" s="503" t="s">
        <v>26</v>
      </c>
      <c r="H12" s="504"/>
      <c r="I12" s="511"/>
      <c r="J12" s="507">
        <v>3424.9</v>
      </c>
      <c r="K12" s="857"/>
      <c r="L12" s="857"/>
      <c r="M12" s="857"/>
      <c r="N12" s="857"/>
    </row>
    <row r="13" spans="1:14">
      <c r="A13" s="857"/>
      <c r="B13" s="859"/>
      <c r="C13" s="859"/>
      <c r="D13" s="859"/>
      <c r="E13" s="857"/>
      <c r="F13" s="857"/>
      <c r="G13" s="499" t="s">
        <v>78</v>
      </c>
      <c r="H13" s="500"/>
      <c r="I13" s="500"/>
      <c r="J13" s="512">
        <f>'CMR 422 Master Lookup'!C30</f>
        <v>439</v>
      </c>
      <c r="K13" s="857"/>
      <c r="L13" s="857"/>
      <c r="M13" s="857"/>
      <c r="N13" s="857"/>
    </row>
    <row r="14" spans="1:14" ht="15.75" thickBot="1">
      <c r="A14" s="857"/>
      <c r="B14" s="857"/>
      <c r="C14" s="857"/>
      <c r="D14" s="857"/>
      <c r="E14" s="857"/>
      <c r="F14" s="857"/>
      <c r="G14" s="503"/>
      <c r="H14" s="504"/>
      <c r="I14" s="504"/>
      <c r="J14" s="507"/>
      <c r="K14" s="857"/>
      <c r="L14" s="857"/>
      <c r="M14" s="857"/>
      <c r="N14" s="857"/>
    </row>
    <row r="15" spans="1:14" ht="15.75" thickBot="1">
      <c r="A15" s="857"/>
      <c r="B15" s="857"/>
      <c r="C15" s="857"/>
      <c r="D15" s="857"/>
      <c r="E15" s="857"/>
      <c r="F15" s="857"/>
      <c r="G15" s="513" t="s">
        <v>33</v>
      </c>
      <c r="H15" s="514"/>
      <c r="I15" s="514"/>
      <c r="J15" s="515">
        <f>SUM(J10:J14)</f>
        <v>48837.017663999999</v>
      </c>
      <c r="K15" s="857"/>
      <c r="L15" s="857"/>
      <c r="M15" s="857"/>
      <c r="N15" s="857"/>
    </row>
    <row r="16" spans="1:14">
      <c r="A16" s="857"/>
      <c r="B16" s="857"/>
      <c r="C16" s="857"/>
      <c r="D16" s="857"/>
      <c r="E16" s="857"/>
      <c r="F16" s="857"/>
      <c r="G16" s="516" t="s">
        <v>36</v>
      </c>
      <c r="H16" s="518">
        <f>'CMR 422 Master Lookup'!G4</f>
        <v>0.12</v>
      </c>
      <c r="I16" s="517"/>
      <c r="J16" s="519">
        <f>J15*H16</f>
        <v>5860.4421196799995</v>
      </c>
      <c r="K16" s="857"/>
      <c r="L16" s="857"/>
      <c r="M16" s="857"/>
      <c r="N16" s="857"/>
    </row>
    <row r="17" spans="1:14">
      <c r="A17" s="857"/>
      <c r="B17" s="857"/>
      <c r="C17" s="857"/>
      <c r="D17" s="857"/>
      <c r="E17" s="857"/>
      <c r="F17" s="857"/>
      <c r="G17" s="853" t="str">
        <f>'1. O&amp;M Model Budget'!B24</f>
        <v>PFMLA Trust Contribution</v>
      </c>
      <c r="H17" s="854">
        <f>'CMR 422 Master Lookup'!G5</f>
        <v>6.3E-3</v>
      </c>
      <c r="I17" s="855"/>
      <c r="J17" s="856">
        <f>H17*J6</f>
        <v>224.55619199999998</v>
      </c>
      <c r="K17" s="857"/>
      <c r="L17" s="857"/>
      <c r="M17" s="857"/>
      <c r="N17" s="857"/>
    </row>
    <row r="18" spans="1:14" ht="15.75" thickBot="1">
      <c r="A18" s="857"/>
      <c r="B18" s="857"/>
      <c r="C18" s="857"/>
      <c r="D18" s="857"/>
      <c r="E18" s="857"/>
      <c r="F18" s="857"/>
      <c r="G18" s="503"/>
      <c r="H18" s="504"/>
      <c r="I18" s="504"/>
      <c r="J18" s="507"/>
      <c r="K18" s="857"/>
      <c r="L18" s="857"/>
      <c r="M18" s="857"/>
      <c r="N18" s="857"/>
    </row>
    <row r="19" spans="1:14" ht="15.75" thickBot="1">
      <c r="A19" s="857"/>
      <c r="B19" s="857"/>
      <c r="C19" s="857"/>
      <c r="D19" s="857"/>
      <c r="E19" s="857"/>
      <c r="F19" s="857"/>
      <c r="G19" s="513" t="s">
        <v>38</v>
      </c>
      <c r="H19" s="514"/>
      <c r="I19" s="514"/>
      <c r="J19" s="515">
        <f>J17+J16+J15</f>
        <v>54922.015975679999</v>
      </c>
      <c r="K19" s="857"/>
      <c r="L19" s="857"/>
      <c r="M19" s="857"/>
      <c r="N19" s="857"/>
    </row>
    <row r="20" spans="1:14">
      <c r="A20" s="857"/>
      <c r="B20" s="857"/>
      <c r="C20" s="857"/>
      <c r="D20" s="857"/>
      <c r="E20" s="857"/>
      <c r="F20" s="857"/>
      <c r="G20" s="503"/>
      <c r="H20" s="504"/>
      <c r="I20" s="504"/>
      <c r="J20" s="507"/>
      <c r="K20" s="857"/>
      <c r="L20" s="857"/>
      <c r="M20" s="857"/>
      <c r="N20" s="857"/>
    </row>
    <row r="21" spans="1:14" ht="15.75" thickBot="1">
      <c r="A21" s="857"/>
      <c r="B21" s="857"/>
      <c r="C21" s="857"/>
      <c r="D21" s="857"/>
      <c r="E21" s="857"/>
      <c r="F21" s="857"/>
      <c r="G21" s="503" t="s">
        <v>39</v>
      </c>
      <c r="H21" s="509">
        <f>'CMR 422 Master Lookup'!G6</f>
        <v>1.8120393120392975E-2</v>
      </c>
      <c r="I21" s="504"/>
      <c r="J21" s="507">
        <f>J19*(H21+1)</f>
        <v>55917.224496123825</v>
      </c>
      <c r="K21" s="857"/>
      <c r="L21" s="857"/>
      <c r="M21" s="857"/>
      <c r="N21" s="857"/>
    </row>
    <row r="22" spans="1:14" ht="15.75" thickBot="1">
      <c r="A22" s="857"/>
      <c r="B22" s="857"/>
      <c r="C22" s="857"/>
      <c r="D22" s="857"/>
      <c r="E22" s="857"/>
      <c r="F22" s="857"/>
      <c r="G22" s="513" t="s">
        <v>250</v>
      </c>
      <c r="H22" s="514"/>
      <c r="I22" s="514"/>
      <c r="J22" s="523">
        <f>J21/J4+0.01</f>
        <v>44.476977730515962</v>
      </c>
      <c r="K22" s="800"/>
      <c r="L22" s="533"/>
      <c r="M22" s="857"/>
      <c r="N22" s="857"/>
    </row>
    <row r="23" spans="1:14">
      <c r="A23" s="857"/>
      <c r="B23" s="857"/>
      <c r="C23" s="857"/>
      <c r="D23" s="857"/>
      <c r="E23" s="857"/>
      <c r="F23" s="857"/>
      <c r="G23" s="857"/>
      <c r="H23" s="857"/>
      <c r="I23" s="857"/>
      <c r="J23" s="857"/>
      <c r="K23" s="857"/>
      <c r="L23" s="857"/>
      <c r="M23" s="857"/>
      <c r="N23" s="857"/>
    </row>
    <row r="24" spans="1:14">
      <c r="A24" s="857"/>
      <c r="B24" s="857"/>
      <c r="C24" s="857"/>
      <c r="D24" s="857"/>
      <c r="E24" s="857"/>
      <c r="F24" s="857"/>
      <c r="G24" s="857"/>
      <c r="H24" s="857"/>
      <c r="I24" s="857"/>
      <c r="J24" s="858"/>
      <c r="K24" s="870"/>
      <c r="L24" s="857"/>
      <c r="M24" s="857"/>
      <c r="N24" s="857"/>
    </row>
    <row r="25" spans="1:14">
      <c r="A25" s="857"/>
      <c r="B25" s="857"/>
      <c r="C25" s="857"/>
      <c r="D25" s="857"/>
      <c r="E25" s="857"/>
      <c r="F25" s="857"/>
      <c r="G25" s="857"/>
      <c r="H25" s="857"/>
      <c r="I25" s="857"/>
      <c r="J25" s="857"/>
      <c r="K25" s="857"/>
      <c r="L25" s="857"/>
      <c r="M25" s="857"/>
      <c r="N25" s="857"/>
    </row>
    <row r="26" spans="1:14">
      <c r="A26" s="857"/>
      <c r="B26" s="857"/>
      <c r="C26" s="857"/>
      <c r="D26" s="857"/>
      <c r="E26" s="857"/>
      <c r="F26" s="857"/>
      <c r="G26" s="857"/>
      <c r="H26" s="857"/>
      <c r="I26" s="857"/>
      <c r="J26" s="869"/>
      <c r="K26" s="857"/>
      <c r="L26" s="857"/>
      <c r="M26" s="857"/>
      <c r="N26" s="857"/>
    </row>
  </sheetData>
  <mergeCells count="3">
    <mergeCell ref="B4:D4"/>
    <mergeCell ref="G3:J3"/>
    <mergeCell ref="B5:C5"/>
  </mergeCells>
  <pageMargins left="0.7" right="0.7" top="0.75" bottom="0.75" header="0.3" footer="0.3"/>
  <pageSetup scale="6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07"/>
  <sheetViews>
    <sheetView workbookViewId="0">
      <selection activeCell="M31" sqref="M31"/>
    </sheetView>
  </sheetViews>
  <sheetFormatPr defaultColWidth="9.140625" defaultRowHeight="12.75"/>
  <cols>
    <col min="1" max="1" width="9.85546875" style="95" customWidth="1"/>
    <col min="2" max="2" width="14.85546875" style="95" customWidth="1"/>
    <col min="3" max="3" width="13" style="95" hidden="1" customWidth="1"/>
    <col min="4" max="4" width="12.5703125" style="95" customWidth="1"/>
    <col min="5" max="5" width="10.42578125" style="95" customWidth="1"/>
    <col min="6" max="6" width="11.42578125" style="98" customWidth="1"/>
    <col min="7" max="7" width="12.85546875" style="98" customWidth="1"/>
    <col min="8" max="8" width="12" style="98" customWidth="1"/>
    <col min="9" max="9" width="10.5703125" style="98" customWidth="1"/>
    <col min="10" max="10" width="9.85546875" style="98" customWidth="1"/>
    <col min="11" max="11" width="8" style="98" customWidth="1"/>
    <col min="12" max="12" width="10" style="98" customWidth="1"/>
    <col min="13" max="13" width="3.42578125" style="95" customWidth="1"/>
    <col min="14" max="14" width="7.140625" style="95" customWidth="1"/>
    <col min="15" max="15" width="7.5703125" style="95" customWidth="1"/>
    <col min="16" max="16" width="23" style="95" customWidth="1"/>
    <col min="17" max="17" width="14.5703125" style="95" customWidth="1"/>
    <col min="18" max="18" width="11.5703125" style="95" customWidth="1"/>
    <col min="19" max="19" width="19.5703125" style="95" customWidth="1"/>
    <col min="20" max="16384" width="9.140625" style="95"/>
  </cols>
  <sheetData>
    <row r="2" spans="1:19" ht="13.5" thickBot="1">
      <c r="A2" s="97"/>
      <c r="B2" s="923" t="s">
        <v>628</v>
      </c>
      <c r="C2" s="923"/>
      <c r="D2" s="923"/>
      <c r="F2" s="95"/>
      <c r="J2" s="95"/>
      <c r="K2" s="95"/>
      <c r="L2" s="95"/>
    </row>
    <row r="3" spans="1:19" ht="16.5" customHeight="1" thickBot="1">
      <c r="A3" s="97"/>
      <c r="B3" s="921" t="s">
        <v>281</v>
      </c>
      <c r="C3" s="922"/>
      <c r="D3" s="393"/>
      <c r="E3" s="916" t="s">
        <v>634</v>
      </c>
      <c r="F3" s="917"/>
      <c r="G3" s="95"/>
      <c r="H3" s="95"/>
      <c r="I3" s="95"/>
      <c r="J3" s="95"/>
      <c r="K3" s="95"/>
      <c r="L3" s="95"/>
    </row>
    <row r="4" spans="1:19" ht="12.75" customHeight="1">
      <c r="A4" s="100"/>
      <c r="B4" s="918" t="s">
        <v>98</v>
      </c>
      <c r="C4" s="218" t="s">
        <v>360</v>
      </c>
      <c r="D4" s="218" t="s">
        <v>361</v>
      </c>
      <c r="E4" s="101" t="s">
        <v>241</v>
      </c>
      <c r="F4" s="154" t="s">
        <v>242</v>
      </c>
      <c r="G4" s="95"/>
      <c r="H4" s="95"/>
      <c r="I4" s="95"/>
      <c r="J4" s="95"/>
      <c r="K4" s="95"/>
      <c r="L4" s="95"/>
    </row>
    <row r="5" spans="1:19">
      <c r="A5" s="103"/>
      <c r="B5" s="919"/>
      <c r="C5" s="217" t="s">
        <v>100</v>
      </c>
      <c r="D5" s="217" t="s">
        <v>100</v>
      </c>
      <c r="E5" s="104" t="s">
        <v>235</v>
      </c>
      <c r="F5" s="155" t="s">
        <v>100</v>
      </c>
      <c r="G5" s="95"/>
      <c r="H5" s="95"/>
      <c r="I5" s="95"/>
      <c r="J5" s="95"/>
      <c r="K5" s="95"/>
      <c r="L5" s="95"/>
    </row>
    <row r="6" spans="1:19" ht="13.5" thickBot="1">
      <c r="A6" s="103"/>
      <c r="B6" s="920"/>
      <c r="C6" s="219"/>
      <c r="D6" s="219"/>
      <c r="E6" s="213">
        <f>'CMR 422 Master Lookup'!G6</f>
        <v>1.8120393120392975E-2</v>
      </c>
      <c r="F6" s="156"/>
      <c r="G6" s="95"/>
      <c r="H6" s="95"/>
      <c r="I6" s="95"/>
      <c r="J6" s="95"/>
      <c r="K6" s="95"/>
      <c r="L6" s="95"/>
    </row>
    <row r="7" spans="1:19">
      <c r="A7" s="103"/>
      <c r="B7" s="214" t="s">
        <v>101</v>
      </c>
      <c r="C7" s="220">
        <v>25.242362227667872</v>
      </c>
      <c r="D7" s="220">
        <v>25.92</v>
      </c>
      <c r="E7" s="335"/>
      <c r="F7" s="210">
        <f>D7*($E$6+1)+0.01</f>
        <v>26.399680589680592</v>
      </c>
      <c r="G7" s="95"/>
      <c r="H7" s="95"/>
      <c r="I7" s="95"/>
      <c r="J7" s="95"/>
      <c r="K7" s="95"/>
      <c r="L7" s="95"/>
    </row>
    <row r="8" spans="1:19">
      <c r="A8" s="103"/>
      <c r="B8" s="215" t="s">
        <v>102</v>
      </c>
      <c r="C8" s="221">
        <v>23.76477118389646</v>
      </c>
      <c r="D8" s="220">
        <v>24.4</v>
      </c>
      <c r="E8" s="335"/>
      <c r="F8" s="211">
        <f>D8*($E$6+1)</f>
        <v>24.84213759213759</v>
      </c>
      <c r="G8" s="95"/>
      <c r="H8" s="95"/>
      <c r="I8" s="95"/>
      <c r="J8" s="95"/>
      <c r="K8" s="95"/>
      <c r="L8" s="95"/>
    </row>
    <row r="9" spans="1:19">
      <c r="A9" s="103"/>
      <c r="B9" s="215" t="s">
        <v>103</v>
      </c>
      <c r="C9" s="221">
        <v>23.837125312706743</v>
      </c>
      <c r="D9" s="220">
        <v>24.52</v>
      </c>
      <c r="E9" s="335"/>
      <c r="F9" s="211">
        <f>D9*($E$6+1)</f>
        <v>24.964312039312038</v>
      </c>
      <c r="G9" s="95"/>
      <c r="H9" s="95"/>
      <c r="I9" s="95"/>
      <c r="J9" s="95"/>
      <c r="K9" s="95"/>
      <c r="L9" s="95"/>
    </row>
    <row r="10" spans="1:19">
      <c r="A10" s="103"/>
      <c r="B10" s="215" t="s">
        <v>104</v>
      </c>
      <c r="C10" s="221">
        <v>24.556028046158566</v>
      </c>
      <c r="D10" s="220">
        <v>25.24</v>
      </c>
      <c r="E10" s="335"/>
      <c r="F10" s="211">
        <f>D10*($E$6+1)+0.02</f>
        <v>25.717358722358718</v>
      </c>
      <c r="G10" s="95"/>
      <c r="H10" s="95"/>
      <c r="I10" s="95"/>
      <c r="J10" s="95"/>
      <c r="K10" s="95"/>
      <c r="L10" s="95"/>
    </row>
    <row r="11" spans="1:19" ht="13.5" thickBot="1">
      <c r="A11" s="103"/>
      <c r="B11" s="216" t="s">
        <v>105</v>
      </c>
      <c r="C11" s="222">
        <v>24.478717109786089</v>
      </c>
      <c r="D11" s="222">
        <v>25.16</v>
      </c>
      <c r="E11" s="336"/>
      <c r="F11" s="212">
        <f>D11*($E$6+1)+0.02</f>
        <v>25.635909090909088</v>
      </c>
      <c r="G11" s="95"/>
      <c r="H11" s="95"/>
      <c r="I11" s="95"/>
      <c r="J11" s="95"/>
      <c r="K11" s="95"/>
      <c r="L11" s="95"/>
    </row>
    <row r="12" spans="1:19">
      <c r="A12" s="103"/>
      <c r="C12" s="102"/>
      <c r="F12" s="95"/>
      <c r="J12" s="95"/>
      <c r="K12" s="95"/>
      <c r="L12" s="95"/>
    </row>
    <row r="13" spans="1:19">
      <c r="A13" s="103"/>
      <c r="I13" s="95"/>
      <c r="J13" s="95"/>
      <c r="K13" s="95"/>
      <c r="L13" s="95"/>
    </row>
    <row r="14" spans="1:19">
      <c r="A14" s="103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99"/>
      <c r="M14" s="99"/>
      <c r="N14" s="102"/>
      <c r="O14" s="102"/>
      <c r="P14" s="102"/>
      <c r="Q14" s="102"/>
      <c r="R14" s="102"/>
      <c r="S14" s="102"/>
    </row>
    <row r="15" spans="1:19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99"/>
      <c r="M15" s="99"/>
      <c r="N15" s="102"/>
      <c r="O15" s="102"/>
      <c r="P15" s="102"/>
      <c r="Q15" s="102"/>
      <c r="R15" s="102"/>
      <c r="S15" s="102"/>
    </row>
    <row r="16" spans="1:19" ht="18.75">
      <c r="A16" s="103"/>
      <c r="B16" s="103"/>
      <c r="C16" s="103"/>
      <c r="D16" s="103"/>
      <c r="E16" s="103"/>
      <c r="F16" s="118"/>
      <c r="G16" s="103"/>
      <c r="H16" s="103"/>
      <c r="I16" s="103"/>
      <c r="J16" s="103"/>
      <c r="K16" s="103"/>
      <c r="L16" s="99"/>
      <c r="M16" s="99"/>
      <c r="N16" s="102"/>
      <c r="O16" s="102"/>
      <c r="P16" s="102"/>
      <c r="Q16" s="102"/>
      <c r="R16" s="102"/>
      <c r="S16" s="102"/>
    </row>
    <row r="17" spans="1:18">
      <c r="A17" s="103"/>
      <c r="B17" s="103"/>
      <c r="C17" s="103"/>
      <c r="D17" s="103"/>
      <c r="E17" s="103"/>
      <c r="F17" s="103"/>
      <c r="G17" s="103"/>
      <c r="H17" s="103"/>
      <c r="I17" s="103"/>
      <c r="J17" s="103"/>
      <c r="K17" s="99"/>
      <c r="L17" s="99"/>
      <c r="M17" s="102"/>
      <c r="N17" s="102"/>
      <c r="O17" s="102"/>
      <c r="P17" s="102"/>
      <c r="Q17" s="102"/>
      <c r="R17" s="102"/>
    </row>
    <row r="18" spans="1:18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99"/>
      <c r="L18" s="99"/>
      <c r="M18" s="102"/>
      <c r="N18" s="102"/>
      <c r="O18" s="102"/>
      <c r="P18" s="102"/>
      <c r="Q18" s="102"/>
      <c r="R18" s="102"/>
    </row>
    <row r="19" spans="1:18">
      <c r="A19" s="103"/>
      <c r="B19" s="103"/>
      <c r="C19" s="103"/>
      <c r="D19" s="103"/>
      <c r="E19" s="103"/>
      <c r="F19" s="103"/>
      <c r="G19" s="103"/>
      <c r="H19" s="103"/>
      <c r="J19" s="105"/>
      <c r="K19" s="99"/>
      <c r="L19" s="99"/>
      <c r="M19" s="102"/>
      <c r="N19" s="102"/>
      <c r="O19" s="102"/>
      <c r="P19" s="102"/>
      <c r="Q19" s="102"/>
      <c r="R19" s="102"/>
    </row>
    <row r="20" spans="1:18">
      <c r="A20" s="103"/>
      <c r="B20" s="103"/>
      <c r="C20" s="103"/>
      <c r="D20" s="103"/>
      <c r="E20" s="103"/>
      <c r="F20" s="103"/>
      <c r="G20" s="103"/>
      <c r="H20" s="103"/>
      <c r="K20" s="99"/>
      <c r="L20" s="99"/>
      <c r="M20" s="102"/>
      <c r="N20" s="102"/>
      <c r="O20" s="102"/>
      <c r="P20" s="102"/>
      <c r="Q20" s="102"/>
      <c r="R20" s="102"/>
    </row>
    <row r="21" spans="1:18">
      <c r="A21" s="103"/>
      <c r="B21" s="103"/>
      <c r="C21" s="103"/>
      <c r="D21" s="103"/>
      <c r="E21" s="103"/>
      <c r="M21" s="102"/>
      <c r="N21" s="102"/>
      <c r="O21" s="102"/>
      <c r="P21" s="102"/>
      <c r="Q21" s="102"/>
      <c r="R21" s="102"/>
    </row>
    <row r="22" spans="1:18">
      <c r="A22" s="103"/>
      <c r="B22" s="103"/>
      <c r="C22" s="103"/>
      <c r="D22" s="103"/>
      <c r="E22" s="103"/>
      <c r="M22" s="102"/>
      <c r="N22" s="102"/>
      <c r="O22" s="102"/>
      <c r="P22" s="102"/>
      <c r="Q22" s="102"/>
      <c r="R22" s="102"/>
    </row>
    <row r="23" spans="1:18">
      <c r="A23" s="103"/>
      <c r="B23" s="103"/>
      <c r="C23" s="103"/>
      <c r="D23" s="103"/>
      <c r="E23" s="103"/>
      <c r="G23" s="99"/>
    </row>
    <row r="24" spans="1:18">
      <c r="A24" s="103"/>
      <c r="B24" s="103"/>
      <c r="C24" s="103"/>
      <c r="D24" s="103"/>
      <c r="E24" s="103"/>
      <c r="F24" s="100"/>
      <c r="G24" s="99"/>
    </row>
    <row r="25" spans="1:18" ht="15.75" customHeight="1">
      <c r="A25" s="106"/>
      <c r="B25" s="106"/>
      <c r="C25" s="106"/>
      <c r="D25" s="106"/>
      <c r="E25" s="106"/>
      <c r="F25" s="100"/>
      <c r="G25" s="99"/>
    </row>
    <row r="26" spans="1:18" ht="14.25" customHeight="1">
      <c r="A26" s="106"/>
      <c r="B26" s="106"/>
      <c r="C26" s="106"/>
      <c r="D26" s="106"/>
      <c r="E26" s="106"/>
      <c r="F26" s="100"/>
      <c r="G26" s="99"/>
    </row>
    <row r="27" spans="1:18" ht="14.25" customHeight="1">
      <c r="A27" s="107"/>
      <c r="B27" s="107"/>
      <c r="C27" s="107"/>
      <c r="D27" s="107"/>
      <c r="E27" s="107"/>
      <c r="F27" s="108"/>
      <c r="G27" s="99"/>
      <c r="I27" s="99"/>
      <c r="J27" s="99"/>
    </row>
    <row r="28" spans="1:18" ht="12" customHeight="1">
      <c r="A28" s="109"/>
      <c r="B28" s="109"/>
      <c r="C28" s="109"/>
      <c r="D28" s="109"/>
      <c r="E28" s="109"/>
      <c r="F28" s="100"/>
      <c r="G28" s="99"/>
      <c r="I28" s="99"/>
      <c r="J28" s="99"/>
    </row>
    <row r="29" spans="1:18" s="102" customFormat="1">
      <c r="A29" s="96"/>
      <c r="B29" s="95"/>
      <c r="C29" s="110"/>
      <c r="D29" s="95"/>
      <c r="E29" s="95"/>
      <c r="F29" s="98"/>
      <c r="G29" s="98"/>
      <c r="H29" s="99"/>
      <c r="I29" s="99"/>
      <c r="J29" s="99"/>
      <c r="K29" s="98"/>
      <c r="L29" s="98"/>
      <c r="M29" s="95"/>
      <c r="N29" s="95"/>
      <c r="O29" s="95"/>
      <c r="P29" s="95"/>
      <c r="Q29" s="95"/>
      <c r="R29" s="95"/>
    </row>
    <row r="30" spans="1:18" s="102" customFormat="1">
      <c r="A30" s="96"/>
      <c r="B30" s="95"/>
      <c r="C30" s="110"/>
      <c r="D30" s="95"/>
      <c r="E30" s="95"/>
      <c r="F30" s="98"/>
      <c r="G30" s="98"/>
      <c r="H30" s="99"/>
      <c r="I30" s="99"/>
      <c r="J30" s="99"/>
      <c r="K30" s="98"/>
      <c r="L30" s="98"/>
      <c r="M30" s="95"/>
      <c r="N30" s="95"/>
      <c r="O30" s="95"/>
      <c r="P30" s="95"/>
      <c r="Q30" s="95"/>
      <c r="R30" s="95"/>
    </row>
    <row r="31" spans="1:18" s="102" customFormat="1">
      <c r="A31" s="96"/>
      <c r="B31" s="95"/>
      <c r="C31" s="110"/>
      <c r="D31" s="95"/>
      <c r="E31" s="95"/>
      <c r="F31" s="98"/>
      <c r="G31" s="98"/>
      <c r="H31" s="99"/>
      <c r="I31" s="99"/>
      <c r="J31" s="99"/>
      <c r="K31" s="98"/>
      <c r="L31" s="98"/>
      <c r="M31" s="95"/>
      <c r="N31" s="95"/>
      <c r="O31" s="95"/>
      <c r="P31" s="95"/>
      <c r="Q31" s="95"/>
      <c r="R31" s="95"/>
    </row>
    <row r="32" spans="1:18" s="102" customFormat="1">
      <c r="A32" s="96"/>
      <c r="B32" s="95"/>
      <c r="C32" s="95"/>
      <c r="D32" s="95"/>
      <c r="E32" s="95"/>
      <c r="F32" s="98"/>
      <c r="G32" s="98"/>
      <c r="H32" s="99"/>
      <c r="I32" s="99"/>
      <c r="J32" s="99"/>
      <c r="K32" s="98"/>
      <c r="L32" s="98"/>
      <c r="M32" s="95"/>
      <c r="N32" s="95"/>
      <c r="O32" s="95"/>
      <c r="P32" s="95"/>
      <c r="Q32" s="95"/>
      <c r="R32" s="95"/>
    </row>
    <row r="33" spans="1:18" s="102" customFormat="1">
      <c r="A33" s="96"/>
      <c r="B33" s="95"/>
      <c r="C33" s="95"/>
      <c r="D33" s="95"/>
      <c r="E33" s="95"/>
      <c r="F33" s="98"/>
      <c r="G33" s="98"/>
      <c r="H33" s="99"/>
      <c r="I33" s="99"/>
      <c r="J33" s="99"/>
      <c r="K33" s="98"/>
      <c r="L33" s="98"/>
      <c r="M33" s="95"/>
      <c r="N33" s="95"/>
      <c r="O33" s="95"/>
      <c r="P33" s="95"/>
      <c r="Q33" s="95"/>
      <c r="R33" s="95"/>
    </row>
    <row r="34" spans="1:18" s="102" customFormat="1">
      <c r="A34" s="96"/>
      <c r="B34" s="95"/>
      <c r="C34" s="95"/>
      <c r="D34" s="95"/>
      <c r="E34" s="95"/>
      <c r="F34" s="98"/>
      <c r="G34" s="98"/>
      <c r="H34" s="99"/>
      <c r="I34" s="99"/>
      <c r="J34" s="99"/>
      <c r="K34" s="98"/>
      <c r="L34" s="98"/>
      <c r="M34" s="95"/>
      <c r="N34" s="95"/>
      <c r="O34" s="95"/>
      <c r="P34" s="95"/>
      <c r="Q34" s="95"/>
      <c r="R34" s="95"/>
    </row>
    <row r="35" spans="1:18" s="102" customFormat="1">
      <c r="A35" s="96"/>
      <c r="B35" s="95"/>
      <c r="C35" s="95"/>
      <c r="D35" s="95"/>
      <c r="E35" s="95"/>
      <c r="F35" s="98"/>
      <c r="G35" s="98"/>
      <c r="H35" s="99"/>
      <c r="I35" s="99"/>
      <c r="J35" s="99"/>
      <c r="K35" s="98"/>
      <c r="L35" s="98"/>
      <c r="M35" s="95"/>
      <c r="N35" s="95"/>
      <c r="O35" s="95"/>
      <c r="P35" s="95"/>
      <c r="Q35" s="95"/>
      <c r="R35" s="95"/>
    </row>
    <row r="36" spans="1:18" s="102" customFormat="1">
      <c r="A36" s="96"/>
      <c r="B36" s="95"/>
      <c r="C36" s="95"/>
      <c r="D36" s="95"/>
      <c r="E36" s="95"/>
      <c r="F36" s="98"/>
      <c r="G36" s="98"/>
      <c r="H36" s="99"/>
      <c r="I36" s="99"/>
      <c r="J36" s="98"/>
      <c r="K36" s="98"/>
      <c r="L36" s="98"/>
      <c r="M36" s="95"/>
      <c r="N36" s="95"/>
      <c r="O36" s="95"/>
      <c r="P36" s="95"/>
      <c r="Q36" s="95"/>
      <c r="R36" s="95"/>
    </row>
    <row r="37" spans="1:18" s="102" customFormat="1">
      <c r="A37" s="96"/>
      <c r="B37" s="95"/>
      <c r="C37" s="95"/>
      <c r="D37" s="95"/>
      <c r="E37" s="95"/>
      <c r="F37" s="98"/>
      <c r="G37" s="98"/>
      <c r="H37" s="99"/>
      <c r="I37" s="99"/>
      <c r="J37" s="98"/>
      <c r="K37" s="98"/>
      <c r="L37" s="98"/>
      <c r="M37" s="95"/>
      <c r="N37" s="95"/>
      <c r="O37" s="95"/>
      <c r="P37" s="95"/>
      <c r="Q37" s="95"/>
      <c r="R37" s="95"/>
    </row>
    <row r="38" spans="1:18">
      <c r="A38" s="96"/>
      <c r="I38" s="99"/>
    </row>
    <row r="39" spans="1:18">
      <c r="A39" s="96"/>
      <c r="I39" s="99"/>
    </row>
    <row r="40" spans="1:18">
      <c r="A40" s="96"/>
      <c r="I40" s="99"/>
    </row>
    <row r="41" spans="1:18">
      <c r="A41" s="96"/>
      <c r="I41" s="99"/>
    </row>
    <row r="42" spans="1:18">
      <c r="A42" s="96"/>
      <c r="I42" s="99"/>
    </row>
    <row r="43" spans="1:18">
      <c r="I43" s="99"/>
    </row>
    <row r="44" spans="1:18" s="98" customFormat="1">
      <c r="A44" s="95"/>
      <c r="B44" s="95"/>
      <c r="C44" s="95"/>
      <c r="D44" s="95"/>
      <c r="E44" s="95"/>
      <c r="I44" s="99"/>
    </row>
    <row r="45" spans="1:18" s="98" customFormat="1">
      <c r="A45" s="95"/>
      <c r="B45" s="95"/>
      <c r="C45" s="95"/>
      <c r="D45" s="95"/>
      <c r="E45" s="95"/>
    </row>
    <row r="46" spans="1:18" s="98" customFormat="1">
      <c r="A46" s="95"/>
      <c r="B46" s="95"/>
      <c r="C46" s="95"/>
      <c r="D46" s="95"/>
      <c r="E46" s="95"/>
    </row>
    <row r="47" spans="1:18" s="98" customFormat="1">
      <c r="A47" s="95"/>
      <c r="B47" s="95"/>
      <c r="C47" s="95"/>
      <c r="D47" s="95"/>
      <c r="E47" s="95"/>
    </row>
    <row r="48" spans="1:18" s="98" customFormat="1">
      <c r="A48" s="95"/>
      <c r="B48" s="95"/>
      <c r="C48" s="95"/>
      <c r="D48" s="95"/>
      <c r="E48" s="95"/>
    </row>
    <row r="49" spans="1:5" s="98" customFormat="1">
      <c r="A49" s="95"/>
      <c r="B49" s="95"/>
      <c r="C49" s="95"/>
      <c r="D49" s="95"/>
      <c r="E49" s="95"/>
    </row>
    <row r="50" spans="1:5" s="98" customFormat="1">
      <c r="A50" s="95"/>
      <c r="B50" s="95"/>
      <c r="C50" s="95"/>
      <c r="D50" s="95"/>
      <c r="E50" s="95"/>
    </row>
    <row r="51" spans="1:5" s="98" customFormat="1">
      <c r="A51" s="95"/>
      <c r="B51" s="95"/>
      <c r="C51" s="95"/>
      <c r="D51" s="95"/>
      <c r="E51" s="95"/>
    </row>
    <row r="52" spans="1:5" s="98" customFormat="1">
      <c r="A52" s="95"/>
      <c r="B52" s="95"/>
      <c r="C52" s="95"/>
      <c r="D52" s="95"/>
      <c r="E52" s="95"/>
    </row>
    <row r="53" spans="1:5" s="98" customFormat="1">
      <c r="A53" s="95"/>
      <c r="B53" s="95"/>
      <c r="C53" s="95"/>
      <c r="D53" s="95"/>
      <c r="E53" s="95"/>
    </row>
    <row r="54" spans="1:5" s="98" customFormat="1">
      <c r="A54" s="95"/>
      <c r="B54" s="95"/>
      <c r="C54" s="95"/>
      <c r="D54" s="95"/>
      <c r="E54" s="95"/>
    </row>
    <row r="55" spans="1:5" s="98" customFormat="1">
      <c r="A55" s="95"/>
      <c r="B55" s="95"/>
      <c r="C55" s="95"/>
      <c r="D55" s="95"/>
      <c r="E55" s="95"/>
    </row>
    <row r="56" spans="1:5" s="98" customFormat="1">
      <c r="A56" s="95"/>
      <c r="B56" s="95"/>
      <c r="C56" s="95"/>
      <c r="D56" s="95"/>
      <c r="E56" s="95"/>
    </row>
    <row r="57" spans="1:5" s="98" customFormat="1">
      <c r="A57" s="95"/>
      <c r="B57" s="95"/>
      <c r="C57" s="95"/>
      <c r="D57" s="95"/>
      <c r="E57" s="95"/>
    </row>
    <row r="58" spans="1:5" s="98" customFormat="1">
      <c r="A58" s="95"/>
      <c r="B58" s="95"/>
      <c r="C58" s="95"/>
      <c r="D58" s="95"/>
      <c r="E58" s="95"/>
    </row>
    <row r="59" spans="1:5" s="98" customFormat="1">
      <c r="A59" s="95"/>
      <c r="B59" s="95"/>
      <c r="C59" s="95"/>
      <c r="D59" s="95"/>
      <c r="E59" s="95"/>
    </row>
    <row r="60" spans="1:5" s="98" customFormat="1">
      <c r="A60" s="95"/>
      <c r="B60" s="95"/>
      <c r="C60" s="95"/>
      <c r="D60" s="95"/>
      <c r="E60" s="95"/>
    </row>
    <row r="61" spans="1:5" s="98" customFormat="1">
      <c r="A61" s="95"/>
      <c r="B61" s="95"/>
      <c r="C61" s="95"/>
      <c r="D61" s="95"/>
      <c r="E61" s="95"/>
    </row>
    <row r="62" spans="1:5" s="98" customFormat="1">
      <c r="A62" s="95"/>
      <c r="B62" s="95"/>
      <c r="C62" s="95"/>
      <c r="D62" s="95"/>
      <c r="E62" s="95"/>
    </row>
    <row r="63" spans="1:5" s="98" customFormat="1">
      <c r="A63" s="95"/>
      <c r="B63" s="95"/>
      <c r="C63" s="95"/>
      <c r="D63" s="95"/>
      <c r="E63" s="95"/>
    </row>
    <row r="64" spans="1:5" s="98" customFormat="1">
      <c r="A64" s="95"/>
      <c r="B64" s="95"/>
      <c r="C64" s="95"/>
      <c r="D64" s="95"/>
      <c r="E64" s="95"/>
    </row>
    <row r="65" spans="1:5" s="98" customFormat="1">
      <c r="A65" s="95"/>
      <c r="B65" s="95"/>
      <c r="C65" s="95"/>
      <c r="D65" s="95"/>
      <c r="E65" s="95"/>
    </row>
    <row r="66" spans="1:5" s="98" customFormat="1">
      <c r="A66" s="95"/>
      <c r="B66" s="95"/>
      <c r="C66" s="95"/>
      <c r="D66" s="95"/>
      <c r="E66" s="95"/>
    </row>
    <row r="67" spans="1:5" s="98" customFormat="1">
      <c r="A67" s="95"/>
      <c r="B67" s="95"/>
      <c r="C67" s="95"/>
      <c r="D67" s="95"/>
      <c r="E67" s="95"/>
    </row>
    <row r="68" spans="1:5" s="98" customFormat="1">
      <c r="A68" s="95"/>
      <c r="B68" s="95"/>
      <c r="C68" s="95"/>
      <c r="D68" s="95"/>
      <c r="E68" s="95"/>
    </row>
    <row r="69" spans="1:5" s="98" customFormat="1">
      <c r="A69" s="95"/>
      <c r="B69" s="95"/>
      <c r="C69" s="95"/>
      <c r="D69" s="95"/>
      <c r="E69" s="95"/>
    </row>
    <row r="70" spans="1:5" s="98" customFormat="1">
      <c r="A70" s="95"/>
      <c r="B70" s="95"/>
      <c r="C70" s="95"/>
      <c r="D70" s="95"/>
      <c r="E70" s="95"/>
    </row>
    <row r="71" spans="1:5" s="98" customFormat="1">
      <c r="A71" s="95"/>
      <c r="B71" s="95"/>
      <c r="C71" s="95"/>
      <c r="D71" s="95"/>
      <c r="E71" s="95"/>
    </row>
    <row r="72" spans="1:5" s="98" customFormat="1">
      <c r="A72" s="95"/>
      <c r="B72" s="95"/>
      <c r="C72" s="95"/>
      <c r="D72" s="95"/>
      <c r="E72" s="95"/>
    </row>
    <row r="73" spans="1:5" s="98" customFormat="1">
      <c r="A73" s="95"/>
      <c r="B73" s="95"/>
      <c r="C73" s="95"/>
      <c r="D73" s="95"/>
      <c r="E73" s="95"/>
    </row>
    <row r="74" spans="1:5" s="98" customFormat="1">
      <c r="A74" s="95"/>
      <c r="B74" s="95"/>
      <c r="C74" s="95"/>
      <c r="D74" s="95"/>
      <c r="E74" s="95"/>
    </row>
    <row r="75" spans="1:5" s="98" customFormat="1">
      <c r="A75" s="95"/>
      <c r="B75" s="95"/>
      <c r="C75" s="95"/>
      <c r="D75" s="95"/>
      <c r="E75" s="95"/>
    </row>
    <row r="76" spans="1:5" s="98" customFormat="1">
      <c r="A76" s="95"/>
      <c r="B76" s="95"/>
      <c r="C76" s="95"/>
      <c r="D76" s="95"/>
      <c r="E76" s="95"/>
    </row>
    <row r="77" spans="1:5" s="98" customFormat="1">
      <c r="A77" s="95"/>
      <c r="B77" s="95"/>
      <c r="C77" s="95"/>
      <c r="D77" s="95"/>
      <c r="E77" s="95"/>
    </row>
    <row r="78" spans="1:5" s="98" customFormat="1">
      <c r="A78" s="95"/>
      <c r="B78" s="95"/>
      <c r="C78" s="95"/>
      <c r="D78" s="95"/>
      <c r="E78" s="95"/>
    </row>
    <row r="79" spans="1:5" s="98" customFormat="1">
      <c r="A79" s="95"/>
      <c r="B79" s="95"/>
      <c r="C79" s="95"/>
      <c r="D79" s="95"/>
      <c r="E79" s="95"/>
    </row>
    <row r="80" spans="1:5" s="98" customFormat="1">
      <c r="A80" s="95"/>
      <c r="B80" s="95"/>
      <c r="C80" s="95"/>
      <c r="D80" s="95"/>
      <c r="E80" s="95"/>
    </row>
    <row r="81" spans="1:5" s="98" customFormat="1">
      <c r="A81" s="95"/>
      <c r="B81" s="95"/>
      <c r="C81" s="95"/>
      <c r="D81" s="95"/>
      <c r="E81" s="95"/>
    </row>
    <row r="82" spans="1:5" s="98" customFormat="1">
      <c r="A82" s="95"/>
      <c r="B82" s="95"/>
      <c r="C82" s="95"/>
      <c r="D82" s="95"/>
      <c r="E82" s="95"/>
    </row>
    <row r="83" spans="1:5" s="98" customFormat="1">
      <c r="A83" s="95"/>
      <c r="B83" s="95"/>
      <c r="C83" s="95"/>
      <c r="D83" s="95"/>
      <c r="E83" s="95"/>
    </row>
    <row r="84" spans="1:5" s="98" customFormat="1">
      <c r="A84" s="95"/>
      <c r="B84" s="95"/>
      <c r="C84" s="95"/>
      <c r="D84" s="95"/>
      <c r="E84" s="95"/>
    </row>
    <row r="85" spans="1:5" s="98" customFormat="1">
      <c r="A85" s="95"/>
      <c r="B85" s="95"/>
      <c r="C85" s="95"/>
      <c r="D85" s="95"/>
      <c r="E85" s="95"/>
    </row>
    <row r="86" spans="1:5" s="98" customFormat="1">
      <c r="A86" s="95"/>
      <c r="B86" s="95"/>
      <c r="C86" s="95"/>
      <c r="D86" s="95"/>
      <c r="E86" s="95"/>
    </row>
    <row r="87" spans="1:5" s="98" customFormat="1">
      <c r="A87" s="95"/>
      <c r="B87" s="95"/>
      <c r="C87" s="95"/>
      <c r="D87" s="95"/>
      <c r="E87" s="95"/>
    </row>
    <row r="88" spans="1:5" s="98" customFormat="1">
      <c r="A88" s="95"/>
      <c r="B88" s="95"/>
      <c r="C88" s="95"/>
      <c r="D88" s="95"/>
      <c r="E88" s="95"/>
    </row>
    <row r="89" spans="1:5" s="98" customFormat="1">
      <c r="A89" s="95"/>
      <c r="B89" s="95"/>
      <c r="C89" s="95"/>
      <c r="D89" s="95"/>
      <c r="E89" s="95"/>
    </row>
    <row r="90" spans="1:5" s="98" customFormat="1">
      <c r="A90" s="95"/>
      <c r="B90" s="95"/>
      <c r="C90" s="95"/>
      <c r="D90" s="95"/>
      <c r="E90" s="95"/>
    </row>
    <row r="91" spans="1:5" s="98" customFormat="1">
      <c r="A91" s="95"/>
      <c r="B91" s="95"/>
      <c r="C91" s="95"/>
      <c r="D91" s="95"/>
      <c r="E91" s="95"/>
    </row>
    <row r="92" spans="1:5" s="98" customFormat="1">
      <c r="A92" s="95"/>
      <c r="B92" s="95"/>
      <c r="C92" s="95"/>
      <c r="D92" s="95"/>
      <c r="E92" s="95"/>
    </row>
    <row r="93" spans="1:5" s="98" customFormat="1">
      <c r="A93" s="95"/>
      <c r="B93" s="95"/>
      <c r="C93" s="95"/>
      <c r="D93" s="95"/>
      <c r="E93" s="95"/>
    </row>
    <row r="94" spans="1:5" s="98" customFormat="1">
      <c r="A94" s="95"/>
      <c r="B94" s="95"/>
      <c r="C94" s="95"/>
      <c r="D94" s="95"/>
      <c r="E94" s="95"/>
    </row>
    <row r="95" spans="1:5" s="98" customFormat="1">
      <c r="A95" s="95"/>
      <c r="B95" s="95"/>
      <c r="C95" s="95"/>
      <c r="D95" s="95"/>
      <c r="E95" s="95"/>
    </row>
    <row r="96" spans="1:5" s="98" customFormat="1">
      <c r="A96" s="95"/>
      <c r="B96" s="95"/>
      <c r="C96" s="95"/>
      <c r="D96" s="95"/>
      <c r="E96" s="95"/>
    </row>
    <row r="97" spans="1:5" s="98" customFormat="1">
      <c r="A97" s="95"/>
      <c r="B97" s="95"/>
      <c r="C97" s="95"/>
      <c r="D97" s="95"/>
      <c r="E97" s="95"/>
    </row>
    <row r="98" spans="1:5" s="98" customFormat="1">
      <c r="A98" s="95"/>
      <c r="B98" s="95"/>
      <c r="C98" s="95"/>
      <c r="D98" s="95"/>
      <c r="E98" s="95"/>
    </row>
    <row r="99" spans="1:5" s="98" customFormat="1">
      <c r="A99" s="95"/>
      <c r="B99" s="95"/>
      <c r="C99" s="95"/>
      <c r="D99" s="95"/>
      <c r="E99" s="95"/>
    </row>
    <row r="100" spans="1:5" s="98" customFormat="1">
      <c r="A100" s="95"/>
      <c r="B100" s="95"/>
      <c r="C100" s="95"/>
      <c r="D100" s="95"/>
      <c r="E100" s="95"/>
    </row>
    <row r="101" spans="1:5" s="98" customFormat="1">
      <c r="A101" s="95"/>
      <c r="B101" s="95"/>
      <c r="C101" s="95"/>
      <c r="D101" s="95"/>
      <c r="E101" s="95"/>
    </row>
    <row r="102" spans="1:5" s="98" customFormat="1">
      <c r="A102" s="95"/>
      <c r="B102" s="95"/>
      <c r="C102" s="95"/>
      <c r="D102" s="95"/>
      <c r="E102" s="95"/>
    </row>
    <row r="103" spans="1:5" s="98" customFormat="1">
      <c r="A103" s="95"/>
      <c r="B103" s="95"/>
      <c r="C103" s="95"/>
      <c r="D103" s="95"/>
      <c r="E103" s="95"/>
    </row>
    <row r="104" spans="1:5" s="98" customFormat="1">
      <c r="A104" s="95"/>
      <c r="B104" s="95"/>
      <c r="C104" s="95"/>
      <c r="D104" s="95"/>
      <c r="E104" s="95"/>
    </row>
    <row r="105" spans="1:5" s="98" customFormat="1">
      <c r="A105" s="95"/>
      <c r="B105" s="95"/>
      <c r="C105" s="95"/>
      <c r="D105" s="95"/>
      <c r="E105" s="95"/>
    </row>
    <row r="106" spans="1:5" s="98" customFormat="1">
      <c r="A106" s="95"/>
      <c r="B106" s="95"/>
      <c r="C106" s="95"/>
      <c r="D106" s="95"/>
      <c r="E106" s="95"/>
    </row>
    <row r="107" spans="1:5" s="98" customFormat="1">
      <c r="A107" s="95"/>
      <c r="B107" s="95"/>
      <c r="C107" s="95"/>
      <c r="D107" s="95"/>
      <c r="E107" s="95"/>
    </row>
  </sheetData>
  <mergeCells count="4">
    <mergeCell ref="E3:F3"/>
    <mergeCell ref="B4:B6"/>
    <mergeCell ref="B3:C3"/>
    <mergeCell ref="B2:D2"/>
  </mergeCells>
  <pageMargins left="0.2" right="0.2" top="0.25" bottom="0.2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9"/>
  <sheetViews>
    <sheetView topLeftCell="H4" zoomScaleNormal="100" zoomScaleSheetLayoutView="100" workbookViewId="0">
      <selection activeCell="M31" sqref="M31"/>
    </sheetView>
  </sheetViews>
  <sheetFormatPr defaultColWidth="9.140625" defaultRowHeight="15"/>
  <cols>
    <col min="1" max="1" width="38.7109375" style="111" hidden="1" customWidth="1"/>
    <col min="2" max="2" width="12.140625" style="111" hidden="1" customWidth="1"/>
    <col min="3" max="3" width="11.85546875" style="111" hidden="1" customWidth="1"/>
    <col min="4" max="4" width="6" style="113" hidden="1" customWidth="1"/>
    <col min="5" max="5" width="13.42578125" style="113" hidden="1" customWidth="1"/>
    <col min="6" max="6" width="15.28515625" style="113" hidden="1" customWidth="1"/>
    <col min="7" max="7" width="17" style="113" hidden="1" customWidth="1"/>
    <col min="8" max="8" width="3.42578125" style="111" customWidth="1"/>
    <col min="9" max="9" width="34.42578125" style="111" customWidth="1"/>
    <col min="10" max="10" width="12.140625" style="111" customWidth="1"/>
    <col min="11" max="12" width="11.5703125" style="111" customWidth="1"/>
    <col min="13" max="13" width="3.7109375" style="111" customWidth="1"/>
    <col min="14" max="14" width="42.140625" style="111" bestFit="1" customWidth="1"/>
    <col min="15" max="15" width="8.5703125" style="111" bestFit="1" customWidth="1"/>
    <col min="16" max="16" width="11.5703125" style="111" customWidth="1"/>
    <col min="17" max="17" width="12.85546875" style="111" customWidth="1"/>
    <col min="18" max="18" width="9.5703125" style="111" bestFit="1" customWidth="1"/>
    <col min="19" max="19" width="9.7109375" style="111" bestFit="1" customWidth="1"/>
    <col min="20" max="16384" width="9.140625" style="111"/>
  </cols>
  <sheetData>
    <row r="1" spans="1:20">
      <c r="A1" s="95"/>
      <c r="B1" s="95"/>
      <c r="C1" s="95"/>
      <c r="D1" s="102"/>
      <c r="E1" s="102"/>
      <c r="F1" s="102"/>
      <c r="G1" s="102"/>
      <c r="H1" s="95"/>
      <c r="I1" s="95"/>
      <c r="N1" s="112"/>
      <c r="O1" s="112"/>
      <c r="P1" s="113"/>
    </row>
    <row r="2" spans="1:20" ht="23.25" customHeight="1" thickBot="1">
      <c r="A2" s="801"/>
      <c r="B2" s="801"/>
      <c r="C2" s="801"/>
      <c r="D2" s="801"/>
      <c r="E2" s="801"/>
      <c r="F2" s="801"/>
      <c r="G2" s="801"/>
      <c r="H2" s="95"/>
      <c r="I2" s="95"/>
      <c r="J2" s="95"/>
      <c r="K2" s="95"/>
      <c r="L2" s="95"/>
      <c r="M2" s="95"/>
      <c r="N2" s="719">
        <v>42857</v>
      </c>
      <c r="O2" s="95"/>
      <c r="P2" s="95"/>
      <c r="Q2" s="95"/>
      <c r="R2" s="95"/>
      <c r="S2" s="95"/>
      <c r="T2" s="95"/>
    </row>
    <row r="3" spans="1:20" s="114" customFormat="1" ht="35.25" customHeight="1" thickBot="1">
      <c r="A3" s="936" t="s">
        <v>0</v>
      </c>
      <c r="B3" s="937"/>
      <c r="C3" s="937"/>
      <c r="D3" s="937"/>
      <c r="E3" s="937"/>
      <c r="F3" s="937"/>
      <c r="G3" s="938"/>
      <c r="H3" s="725"/>
      <c r="I3" s="720" t="s">
        <v>111</v>
      </c>
      <c r="J3" s="721" t="s">
        <v>245</v>
      </c>
      <c r="K3" s="722" t="s">
        <v>56</v>
      </c>
      <c r="L3" s="723" t="s">
        <v>57</v>
      </c>
      <c r="M3" s="724"/>
      <c r="N3" s="924" t="s">
        <v>279</v>
      </c>
      <c r="O3" s="925"/>
      <c r="P3" s="925"/>
      <c r="Q3" s="926"/>
      <c r="R3" s="725"/>
      <c r="S3" s="725"/>
      <c r="T3" s="725"/>
    </row>
    <row r="4" spans="1:20" ht="15.75" customHeight="1" thickBot="1">
      <c r="A4" s="934" t="s">
        <v>1</v>
      </c>
      <c r="B4" s="935"/>
      <c r="C4" s="931" t="s">
        <v>2</v>
      </c>
      <c r="D4" s="932"/>
      <c r="E4" s="932"/>
      <c r="F4" s="932"/>
      <c r="G4" s="933"/>
      <c r="H4" s="95"/>
      <c r="I4" s="726" t="s">
        <v>58</v>
      </c>
      <c r="J4" s="727">
        <v>2080</v>
      </c>
      <c r="K4" s="728" t="s">
        <v>59</v>
      </c>
      <c r="L4" s="729" t="s">
        <v>60</v>
      </c>
      <c r="M4" s="95"/>
      <c r="N4" s="730"/>
      <c r="O4" s="731"/>
      <c r="P4" s="732" t="s">
        <v>112</v>
      </c>
      <c r="Q4" s="733">
        <f>J14</f>
        <v>1083.9820605758107</v>
      </c>
      <c r="R4" s="95"/>
      <c r="S4" s="95"/>
      <c r="T4" s="95"/>
    </row>
    <row r="5" spans="1:20" ht="15.75" customHeight="1">
      <c r="A5" s="802" t="s">
        <v>113</v>
      </c>
      <c r="B5" s="803">
        <f>60924.8705*(B24+1)</f>
        <v>62582.026977599991</v>
      </c>
      <c r="C5" s="804" t="s">
        <v>263</v>
      </c>
      <c r="D5" s="805"/>
      <c r="E5" s="805"/>
      <c r="F5" s="805"/>
      <c r="G5" s="806"/>
      <c r="H5" s="95"/>
      <c r="I5" s="734" t="s">
        <v>61</v>
      </c>
      <c r="J5" s="735">
        <v>80</v>
      </c>
      <c r="K5" s="736">
        <v>10</v>
      </c>
      <c r="L5" s="737" t="s">
        <v>62</v>
      </c>
      <c r="M5" s="419"/>
      <c r="N5" s="738" t="s">
        <v>114</v>
      </c>
      <c r="O5" s="739" t="s">
        <v>5</v>
      </c>
      <c r="P5" s="739" t="s">
        <v>115</v>
      </c>
      <c r="Q5" s="740" t="s">
        <v>7</v>
      </c>
      <c r="R5" s="95"/>
      <c r="S5" s="95"/>
      <c r="T5" s="95"/>
    </row>
    <row r="6" spans="1:20" s="117" customFormat="1" ht="15.75" customHeight="1">
      <c r="A6" s="802" t="s">
        <v>116</v>
      </c>
      <c r="B6" s="807">
        <f>46560.3125*(B24+1)</f>
        <v>47826.752999999997</v>
      </c>
      <c r="C6" s="804" t="s">
        <v>263</v>
      </c>
      <c r="D6" s="805"/>
      <c r="E6" s="805"/>
      <c r="F6" s="805"/>
      <c r="G6" s="806"/>
      <c r="H6" s="749"/>
      <c r="I6" s="741" t="s">
        <v>63</v>
      </c>
      <c r="J6" s="742">
        <v>80</v>
      </c>
      <c r="K6" s="743">
        <v>10</v>
      </c>
      <c r="L6" s="744" t="s">
        <v>62</v>
      </c>
      <c r="M6" s="419"/>
      <c r="N6" s="745" t="str">
        <f>A5</f>
        <v>Director</v>
      </c>
      <c r="O6" s="746">
        <f>'CMR 422 Master Lookup'!C20</f>
        <v>62582.026977599991</v>
      </c>
      <c r="P6" s="747">
        <f>B11</f>
        <v>0.18087407407407408</v>
      </c>
      <c r="Q6" s="748">
        <f>O6*P6</f>
        <v>11319.466183252123</v>
      </c>
      <c r="R6" s="749"/>
      <c r="S6" s="749"/>
      <c r="T6" s="749"/>
    </row>
    <row r="7" spans="1:20" ht="15.75" customHeight="1">
      <c r="A7" s="802" t="s">
        <v>118</v>
      </c>
      <c r="B7" s="807">
        <f>55267.875*(B24+1)</f>
        <v>56771.161199999995</v>
      </c>
      <c r="C7" s="804" t="s">
        <v>263</v>
      </c>
      <c r="D7" s="805"/>
      <c r="E7" s="805"/>
      <c r="F7" s="805"/>
      <c r="G7" s="806"/>
      <c r="H7" s="95"/>
      <c r="I7" s="750" t="s">
        <v>64</v>
      </c>
      <c r="J7" s="751">
        <v>40</v>
      </c>
      <c r="K7" s="743">
        <v>5</v>
      </c>
      <c r="L7" s="752" t="s">
        <v>62</v>
      </c>
      <c r="M7" s="753"/>
      <c r="N7" s="745" t="str">
        <f>A6</f>
        <v>Direct Client Interaction</v>
      </c>
      <c r="O7" s="746">
        <f>'CMR 422 Master Lookup'!C12</f>
        <v>47826.752999999997</v>
      </c>
      <c r="P7" s="747">
        <f>B12</f>
        <v>0.12888888888888889</v>
      </c>
      <c r="Q7" s="754">
        <f>O7*P7</f>
        <v>6164.3370533333327</v>
      </c>
      <c r="R7" s="95"/>
      <c r="S7" s="95"/>
      <c r="T7" s="95"/>
    </row>
    <row r="8" spans="1:20" ht="15.75" customHeight="1">
      <c r="A8" s="802" t="s">
        <v>119</v>
      </c>
      <c r="B8" s="807">
        <f>37196.8770707688*(B24+1)</f>
        <v>38208.632127093711</v>
      </c>
      <c r="C8" s="804" t="s">
        <v>263</v>
      </c>
      <c r="D8" s="805"/>
      <c r="E8" s="805"/>
      <c r="F8" s="805"/>
      <c r="G8" s="806"/>
      <c r="H8" s="95"/>
      <c r="I8" s="750" t="s">
        <v>65</v>
      </c>
      <c r="J8" s="751">
        <v>80</v>
      </c>
      <c r="K8" s="743">
        <v>10</v>
      </c>
      <c r="L8" s="752" t="s">
        <v>62</v>
      </c>
      <c r="M8" s="753"/>
      <c r="N8" s="755" t="s">
        <v>120</v>
      </c>
      <c r="O8" s="746"/>
      <c r="P8" s="747"/>
      <c r="Q8" s="754"/>
      <c r="R8" s="95"/>
      <c r="S8" s="95"/>
      <c r="T8" s="95"/>
    </row>
    <row r="9" spans="1:20" ht="15.75" customHeight="1">
      <c r="A9" s="808" t="s">
        <v>110</v>
      </c>
      <c r="B9" s="809">
        <f>37196.8770707688*(B24+1)</f>
        <v>38208.632127093711</v>
      </c>
      <c r="C9" s="810" t="s">
        <v>263</v>
      </c>
      <c r="D9" s="811"/>
      <c r="E9" s="811"/>
      <c r="F9" s="811"/>
      <c r="G9" s="812"/>
      <c r="H9" s="95"/>
      <c r="I9" s="756" t="s">
        <v>67</v>
      </c>
      <c r="J9" s="751">
        <v>459.53984793058396</v>
      </c>
      <c r="K9" s="757">
        <v>10.211996620679644</v>
      </c>
      <c r="L9" s="752" t="s">
        <v>68</v>
      </c>
      <c r="M9" s="753"/>
      <c r="N9" s="758" t="s">
        <v>121</v>
      </c>
      <c r="O9" s="746"/>
      <c r="P9" s="747"/>
      <c r="Q9" s="754"/>
      <c r="R9" s="95"/>
      <c r="S9" s="95"/>
      <c r="T9" s="95"/>
    </row>
    <row r="10" spans="1:20" ht="15.75" customHeight="1" thickBot="1">
      <c r="A10" s="927" t="s">
        <v>14</v>
      </c>
      <c r="B10" s="928"/>
      <c r="C10" s="813"/>
      <c r="D10" s="814"/>
      <c r="E10" s="814"/>
      <c r="F10" s="814"/>
      <c r="G10" s="815"/>
      <c r="H10" s="95"/>
      <c r="I10" s="759" t="s">
        <v>70</v>
      </c>
      <c r="J10" s="760">
        <v>652.16901723222827</v>
      </c>
      <c r="K10" s="761">
        <v>14.492644827382851</v>
      </c>
      <c r="L10" s="762" t="s">
        <v>68</v>
      </c>
      <c r="M10" s="753"/>
      <c r="N10" s="763" t="s">
        <v>122</v>
      </c>
      <c r="O10" s="746"/>
      <c r="P10" s="747"/>
      <c r="Q10" s="754"/>
      <c r="R10" s="95"/>
      <c r="S10" s="764"/>
      <c r="T10" s="95"/>
    </row>
    <row r="11" spans="1:20" ht="15.75" customHeight="1" thickBot="1">
      <c r="A11" s="802" t="s">
        <v>113</v>
      </c>
      <c r="B11" s="816">
        <v>0.18087407407407408</v>
      </c>
      <c r="C11" s="804" t="s">
        <v>117</v>
      </c>
      <c r="D11" s="805"/>
      <c r="E11" s="805"/>
      <c r="F11" s="805"/>
      <c r="G11" s="806"/>
      <c r="H11" s="95"/>
      <c r="I11" s="765" t="s">
        <v>71</v>
      </c>
      <c r="J11" s="727">
        <v>1391.7088651628123</v>
      </c>
      <c r="K11" s="98"/>
      <c r="L11" s="105"/>
      <c r="M11" s="753"/>
      <c r="N11" s="766" t="str">
        <f t="shared" ref="N11:N13" si="0">A7</f>
        <v>Assistive Technology Specialist</v>
      </c>
      <c r="O11" s="746">
        <f>'CMR 422 Master Lookup'!C17</f>
        <v>56771.161199999995</v>
      </c>
      <c r="P11" s="747">
        <f>B13</f>
        <v>0.628</v>
      </c>
      <c r="Q11" s="754">
        <f>O11*P11</f>
        <v>35652.2892336</v>
      </c>
      <c r="R11" s="95"/>
      <c r="S11" s="95"/>
      <c r="T11" s="95"/>
    </row>
    <row r="12" spans="1:20" ht="15.75" customHeight="1">
      <c r="A12" s="802" t="s">
        <v>124</v>
      </c>
      <c r="B12" s="816">
        <v>0.12888888888888889</v>
      </c>
      <c r="C12" s="804" t="s">
        <v>117</v>
      </c>
      <c r="D12" s="805"/>
      <c r="E12" s="805"/>
      <c r="F12" s="805"/>
      <c r="G12" s="806"/>
      <c r="H12" s="95"/>
      <c r="I12" s="767" t="s">
        <v>123</v>
      </c>
      <c r="J12" s="768">
        <v>688.29113483718766</v>
      </c>
      <c r="K12" s="105"/>
      <c r="L12" s="105"/>
      <c r="M12" s="753"/>
      <c r="N12" s="766" t="str">
        <f t="shared" si="0"/>
        <v>Equipment Tech/Specialist/Designer</v>
      </c>
      <c r="O12" s="746">
        <f>'CMR 422 Master Lookup'!C8</f>
        <v>38208.632127093711</v>
      </c>
      <c r="P12" s="747">
        <f>B14</f>
        <v>0.81799999999999995</v>
      </c>
      <c r="Q12" s="754">
        <f>O12*P12</f>
        <v>31254.661079962654</v>
      </c>
      <c r="R12" s="95"/>
      <c r="S12" s="95"/>
      <c r="T12" s="95"/>
    </row>
    <row r="13" spans="1:20" ht="15.75" customHeight="1" thickBot="1">
      <c r="A13" s="802" t="s">
        <v>118</v>
      </c>
      <c r="B13" s="816">
        <v>0.628</v>
      </c>
      <c r="C13" s="804" t="s">
        <v>117</v>
      </c>
      <c r="D13" s="805"/>
      <c r="E13" s="805"/>
      <c r="F13" s="805"/>
      <c r="G13" s="806"/>
      <c r="H13" s="95"/>
      <c r="I13" s="769" t="s">
        <v>125</v>
      </c>
      <c r="J13" s="770">
        <v>1.5748888888888888</v>
      </c>
      <c r="K13" s="98"/>
      <c r="L13" s="98"/>
      <c r="M13" s="753"/>
      <c r="N13" s="745" t="str">
        <f t="shared" si="0"/>
        <v>Support</v>
      </c>
      <c r="O13" s="771">
        <f>'CMR 422 Master Lookup'!C9</f>
        <v>38208.632127093711</v>
      </c>
      <c r="P13" s="747">
        <f>B15</f>
        <v>0.23200000000000004</v>
      </c>
      <c r="Q13" s="748">
        <f>O13*P13</f>
        <v>8864.4026534857421</v>
      </c>
      <c r="R13" s="95"/>
      <c r="S13" s="95"/>
      <c r="T13" s="95"/>
    </row>
    <row r="14" spans="1:20" ht="15.75" customHeight="1" thickBot="1">
      <c r="A14" s="802" t="s">
        <v>127</v>
      </c>
      <c r="B14" s="816">
        <v>0.81799999999999995</v>
      </c>
      <c r="C14" s="804" t="s">
        <v>117</v>
      </c>
      <c r="D14" s="805"/>
      <c r="E14" s="805"/>
      <c r="F14" s="805"/>
      <c r="G14" s="806"/>
      <c r="H14" s="95"/>
      <c r="I14" s="765" t="s">
        <v>126</v>
      </c>
      <c r="J14" s="727">
        <v>1083.9820605758107</v>
      </c>
      <c r="K14" s="98"/>
      <c r="L14" s="98"/>
      <c r="M14" s="753"/>
      <c r="N14" s="772" t="s">
        <v>128</v>
      </c>
      <c r="O14" s="773"/>
      <c r="P14" s="774">
        <f>SUM(P6:P13)</f>
        <v>1.987762962962963</v>
      </c>
      <c r="Q14" s="775">
        <f>SUM(Q6:Q13)</f>
        <v>93255.156203633844</v>
      </c>
      <c r="R14" s="95"/>
      <c r="S14" s="95"/>
      <c r="T14" s="95"/>
    </row>
    <row r="15" spans="1:20" ht="15.75" customHeight="1">
      <c r="A15" s="808" t="s">
        <v>110</v>
      </c>
      <c r="B15" s="817">
        <v>0.23200000000000004</v>
      </c>
      <c r="C15" s="810" t="s">
        <v>117</v>
      </c>
      <c r="D15" s="811"/>
      <c r="E15" s="811"/>
      <c r="F15" s="811"/>
      <c r="G15" s="812"/>
      <c r="H15" s="95"/>
      <c r="I15" s="95"/>
      <c r="J15" s="95"/>
      <c r="K15" s="95"/>
      <c r="L15" s="95"/>
      <c r="M15" s="753"/>
      <c r="N15" s="776"/>
      <c r="O15" s="777"/>
      <c r="P15" s="778"/>
      <c r="Q15" s="754"/>
      <c r="R15" s="95"/>
      <c r="S15" s="95"/>
      <c r="T15" s="95"/>
    </row>
    <row r="16" spans="1:20" ht="15.75" customHeight="1" thickBot="1">
      <c r="A16" s="929" t="s">
        <v>18</v>
      </c>
      <c r="B16" s="930"/>
      <c r="C16" s="818"/>
      <c r="D16" s="818"/>
      <c r="E16" s="818"/>
      <c r="F16" s="818"/>
      <c r="G16" s="819"/>
      <c r="H16" s="95"/>
      <c r="I16" s="95"/>
      <c r="J16" s="95"/>
      <c r="K16" s="95"/>
      <c r="L16" s="95"/>
      <c r="M16" s="753"/>
      <c r="N16" s="779" t="s">
        <v>16</v>
      </c>
      <c r="O16" s="780">
        <f>'CMR 422 Master Lookup'!G3</f>
        <v>0.21709999999999999</v>
      </c>
      <c r="P16" s="781"/>
      <c r="Q16" s="782">
        <f>Q14*O16</f>
        <v>20245.694411808905</v>
      </c>
      <c r="R16" s="95"/>
      <c r="S16" s="95"/>
      <c r="T16" s="95"/>
    </row>
    <row r="17" spans="1:20" ht="15.75" customHeight="1" thickTop="1" thickBot="1">
      <c r="A17" s="820" t="s">
        <v>20</v>
      </c>
      <c r="B17" s="821">
        <v>0.21709999999999999</v>
      </c>
      <c r="C17" s="822" t="s">
        <v>44</v>
      </c>
      <c r="D17" s="822"/>
      <c r="E17" s="822"/>
      <c r="F17" s="822"/>
      <c r="G17" s="823"/>
      <c r="H17" s="95"/>
      <c r="I17" s="95"/>
      <c r="J17" s="95"/>
      <c r="K17" s="95"/>
      <c r="L17" s="95"/>
      <c r="M17" s="753"/>
      <c r="N17" s="783" t="s">
        <v>129</v>
      </c>
      <c r="O17" s="784"/>
      <c r="P17" s="784"/>
      <c r="Q17" s="785">
        <f>SUM(Q14:Q16)</f>
        <v>113500.85061544275</v>
      </c>
      <c r="R17" s="95"/>
      <c r="S17" s="95"/>
      <c r="T17" s="95"/>
    </row>
    <row r="18" spans="1:20" ht="15.75" customHeight="1" thickTop="1">
      <c r="A18" s="820" t="s">
        <v>22</v>
      </c>
      <c r="B18" s="807">
        <v>2648.1974999999998</v>
      </c>
      <c r="C18" s="805" t="s">
        <v>264</v>
      </c>
      <c r="D18" s="805"/>
      <c r="E18" s="805"/>
      <c r="F18" s="805"/>
      <c r="G18" s="806"/>
      <c r="H18" s="95"/>
      <c r="I18" s="95"/>
      <c r="J18" s="95"/>
      <c r="K18" s="95"/>
      <c r="L18" s="95"/>
      <c r="M18" s="753"/>
      <c r="N18" s="776"/>
      <c r="O18" s="777"/>
      <c r="P18" s="777"/>
      <c r="Q18" s="754"/>
      <c r="R18" s="95"/>
      <c r="S18" s="95"/>
      <c r="T18" s="95"/>
    </row>
    <row r="19" spans="1:20" ht="15.75" customHeight="1">
      <c r="A19" s="824" t="s">
        <v>130</v>
      </c>
      <c r="B19" s="807">
        <v>193.89499999999998</v>
      </c>
      <c r="C19" s="805" t="s">
        <v>264</v>
      </c>
      <c r="D19" s="805"/>
      <c r="E19" s="805"/>
      <c r="F19" s="805"/>
      <c r="G19" s="806"/>
      <c r="H19" s="95"/>
      <c r="I19" s="95"/>
      <c r="J19" s="95"/>
      <c r="K19" s="95"/>
      <c r="L19" s="95"/>
      <c r="M19" s="419"/>
      <c r="N19" s="776" t="s">
        <v>22</v>
      </c>
      <c r="O19" s="777"/>
      <c r="P19" s="777"/>
      <c r="Q19" s="754">
        <f>'CMR 422 Master Lookup'!C31</f>
        <v>2648.1974999999998</v>
      </c>
      <c r="R19" s="95"/>
      <c r="S19" s="95"/>
      <c r="T19" s="95"/>
    </row>
    <row r="20" spans="1:20" ht="15.75" customHeight="1">
      <c r="A20" s="824" t="s">
        <v>131</v>
      </c>
      <c r="B20" s="807">
        <v>8752.7411896222184</v>
      </c>
      <c r="C20" s="805" t="s">
        <v>264</v>
      </c>
      <c r="D20" s="805"/>
      <c r="E20" s="805"/>
      <c r="F20" s="805"/>
      <c r="G20" s="806"/>
      <c r="H20" s="95"/>
      <c r="I20" s="95"/>
      <c r="J20" s="95"/>
      <c r="K20" s="95"/>
      <c r="L20" s="95"/>
      <c r="M20" s="753"/>
      <c r="N20" s="776" t="s">
        <v>130</v>
      </c>
      <c r="O20" s="777"/>
      <c r="P20" s="777"/>
      <c r="Q20" s="754">
        <f>'CMR 422 Master Lookup'!C32</f>
        <v>193.89499999999998</v>
      </c>
      <c r="R20" s="95"/>
      <c r="S20" s="95"/>
      <c r="T20" s="95"/>
    </row>
    <row r="21" spans="1:20" ht="15.75" customHeight="1">
      <c r="A21" s="825" t="s">
        <v>36</v>
      </c>
      <c r="B21" s="826">
        <v>0.12</v>
      </c>
      <c r="C21" s="827" t="s">
        <v>265</v>
      </c>
      <c r="D21" s="827"/>
      <c r="E21" s="827"/>
      <c r="F21" s="827"/>
      <c r="G21" s="828"/>
      <c r="H21" s="95"/>
      <c r="I21" s="95"/>
      <c r="J21" s="95"/>
      <c r="K21" s="95"/>
      <c r="L21" s="95"/>
      <c r="M21" s="753"/>
      <c r="N21" s="776" t="s">
        <v>131</v>
      </c>
      <c r="O21" s="777"/>
      <c r="P21" s="777"/>
      <c r="Q21" s="754">
        <f>'CMR 422 Master Lookup'!C33</f>
        <v>8752.7411896222184</v>
      </c>
      <c r="R21" s="95"/>
      <c r="S21" s="786"/>
      <c r="T21" s="95"/>
    </row>
    <row r="22" spans="1:20" ht="15.75" customHeight="1">
      <c r="A22" s="829" t="str">
        <f>'1. O&amp;M Model Budget'!B24</f>
        <v>PFMLA Trust Contribution</v>
      </c>
      <c r="B22" s="830">
        <f>'1. O&amp;M Model Budget'!C24</f>
        <v>6.3E-3</v>
      </c>
      <c r="C22" s="831" t="str">
        <f>'1. O&amp;M Model Budget'!D24</f>
        <v>Effective 7/1/19</v>
      </c>
      <c r="D22" s="818"/>
      <c r="E22" s="818"/>
      <c r="F22" s="818"/>
      <c r="G22" s="832"/>
      <c r="H22" s="95"/>
      <c r="I22" s="95"/>
      <c r="J22" s="95"/>
      <c r="K22" s="95"/>
      <c r="L22" s="95"/>
      <c r="M22" s="419"/>
      <c r="N22" s="772" t="s">
        <v>132</v>
      </c>
      <c r="O22" s="773"/>
      <c r="P22" s="773"/>
      <c r="Q22" s="775">
        <f>SUM(Q17:Q21)</f>
        <v>125095.68430506496</v>
      </c>
      <c r="R22" s="95"/>
      <c r="S22" s="95"/>
      <c r="T22" s="95"/>
    </row>
    <row r="23" spans="1:20" ht="15.75" customHeight="1" thickBot="1">
      <c r="A23" s="833" t="s">
        <v>37</v>
      </c>
      <c r="B23" s="834">
        <f>'Fall 2018'!BQ26</f>
        <v>2.5376928471248276E-2</v>
      </c>
      <c r="C23" s="619" t="s">
        <v>363</v>
      </c>
      <c r="D23" s="835"/>
      <c r="E23" s="835"/>
      <c r="F23" s="835"/>
      <c r="G23" s="836"/>
      <c r="H23" s="95"/>
      <c r="I23" s="95"/>
      <c r="J23" s="95"/>
      <c r="K23" s="95"/>
      <c r="L23" s="95"/>
      <c r="M23" s="419"/>
      <c r="N23" s="776" t="s">
        <v>36</v>
      </c>
      <c r="O23" s="419">
        <f>'CMR 422 Master Lookup'!G4</f>
        <v>0.12</v>
      </c>
      <c r="P23" s="777"/>
      <c r="Q23" s="754">
        <f>Q22*O23</f>
        <v>15011.482116607795</v>
      </c>
      <c r="R23" s="95"/>
      <c r="S23" s="95"/>
      <c r="T23" s="95"/>
    </row>
    <row r="24" spans="1:20" ht="15.75" customHeight="1">
      <c r="A24" s="837" t="s">
        <v>362</v>
      </c>
      <c r="B24" s="838">
        <v>2.7199999999999998E-2</v>
      </c>
      <c r="C24" s="822"/>
      <c r="D24" s="822"/>
      <c r="E24" s="822"/>
      <c r="F24" s="822"/>
      <c r="G24" s="822"/>
      <c r="H24" s="95"/>
      <c r="I24" s="95"/>
      <c r="J24" s="95"/>
      <c r="K24" s="95"/>
      <c r="L24" s="95"/>
      <c r="M24" s="753"/>
      <c r="N24" s="787" t="str">
        <f>A22</f>
        <v>PFMLA Trust Contribution</v>
      </c>
      <c r="O24" s="788">
        <f>'CMR 422 Master Lookup'!G5</f>
        <v>6.3E-3</v>
      </c>
      <c r="P24" s="789"/>
      <c r="Q24" s="790">
        <f>O24*Q14</f>
        <v>587.50748408289326</v>
      </c>
      <c r="R24" s="95"/>
      <c r="S24" s="95"/>
      <c r="T24" s="95"/>
    </row>
    <row r="25" spans="1:20" ht="15.75" customHeight="1" thickBot="1">
      <c r="A25" s="801"/>
      <c r="B25" s="801"/>
      <c r="C25" s="801"/>
      <c r="D25" s="801"/>
      <c r="E25" s="801"/>
      <c r="F25" s="822"/>
      <c r="G25" s="822"/>
      <c r="H25" s="95"/>
      <c r="I25" s="95"/>
      <c r="J25" s="95"/>
      <c r="K25" s="95"/>
      <c r="L25" s="95"/>
      <c r="M25" s="419"/>
      <c r="N25" s="779"/>
      <c r="O25" s="781"/>
      <c r="P25" s="781"/>
      <c r="Q25" s="782"/>
      <c r="R25" s="95"/>
      <c r="S25" s="95"/>
      <c r="T25" s="95"/>
    </row>
    <row r="26" spans="1:20" ht="15.75" customHeight="1" thickTop="1" thickBot="1">
      <c r="A26" s="801"/>
      <c r="B26" s="801"/>
      <c r="C26" s="801"/>
      <c r="D26" s="801"/>
      <c r="E26" s="801"/>
      <c r="F26" s="837"/>
      <c r="G26" s="837"/>
      <c r="H26" s="95"/>
      <c r="I26" s="95"/>
      <c r="J26" s="95"/>
      <c r="K26" s="95"/>
      <c r="L26" s="95"/>
      <c r="M26" s="753"/>
      <c r="N26" s="783" t="s">
        <v>38</v>
      </c>
      <c r="O26" s="784"/>
      <c r="P26" s="784"/>
      <c r="Q26" s="785">
        <f>SUM(Q22:Q25)</f>
        <v>140694.67390575566</v>
      </c>
      <c r="R26" s="95"/>
      <c r="S26" s="791"/>
      <c r="T26" s="95"/>
    </row>
    <row r="27" spans="1:20" ht="15.75" customHeight="1" thickTop="1">
      <c r="A27" s="801"/>
      <c r="B27" s="801"/>
      <c r="C27" s="801"/>
      <c r="D27" s="801"/>
      <c r="E27" s="801"/>
      <c r="F27" s="837"/>
      <c r="G27" s="837"/>
      <c r="H27" s="95"/>
      <c r="I27" s="95"/>
      <c r="J27" s="95"/>
      <c r="K27" s="95"/>
      <c r="L27" s="95"/>
      <c r="M27" s="419"/>
      <c r="N27" s="776"/>
      <c r="O27" s="110"/>
      <c r="P27" s="110"/>
      <c r="Q27" s="754"/>
      <c r="R27" s="95"/>
      <c r="S27" s="95"/>
      <c r="T27" s="95"/>
    </row>
    <row r="28" spans="1:20" ht="13.5" customHeight="1">
      <c r="A28" s="801"/>
      <c r="B28" s="801"/>
      <c r="C28" s="801"/>
      <c r="D28" s="801"/>
      <c r="E28" s="801"/>
      <c r="F28" s="837"/>
      <c r="G28" s="837"/>
      <c r="H28" s="95"/>
      <c r="I28" s="95"/>
      <c r="J28" s="95"/>
      <c r="K28" s="95"/>
      <c r="L28" s="95"/>
      <c r="M28" s="753"/>
      <c r="N28" s="792" t="s">
        <v>629</v>
      </c>
      <c r="O28" s="508">
        <f>'CMR 422 Master Lookup'!G6</f>
        <v>1.8120393120392975E-2</v>
      </c>
      <c r="P28" s="793"/>
      <c r="Q28" s="794">
        <f>(1+O28)*Q26</f>
        <v>143244.11670687346</v>
      </c>
      <c r="R28" s="95"/>
      <c r="S28" s="95"/>
      <c r="T28" s="95"/>
    </row>
    <row r="29" spans="1:20" ht="14.25" customHeight="1">
      <c r="A29" s="801"/>
      <c r="B29" s="801"/>
      <c r="C29" s="801"/>
      <c r="D29" s="801"/>
      <c r="E29" s="801"/>
      <c r="F29" s="801"/>
      <c r="G29" s="801"/>
      <c r="H29" s="95"/>
      <c r="I29" s="95"/>
      <c r="J29" s="95"/>
      <c r="K29" s="95"/>
      <c r="L29" s="95"/>
      <c r="M29" s="753"/>
      <c r="N29" s="776"/>
      <c r="O29" s="110"/>
      <c r="P29" s="110"/>
      <c r="Q29" s="795"/>
      <c r="R29" s="95"/>
      <c r="S29" s="791"/>
      <c r="T29" s="95"/>
    </row>
    <row r="30" spans="1:20" ht="15.75" customHeight="1" thickBot="1">
      <c r="A30" s="801"/>
      <c r="B30" s="801"/>
      <c r="C30" s="801"/>
      <c r="D30" s="801"/>
      <c r="E30" s="801"/>
      <c r="F30" s="839"/>
      <c r="G30" s="839"/>
      <c r="H30" s="95"/>
      <c r="I30" s="95"/>
      <c r="J30" s="95"/>
      <c r="K30" s="95"/>
      <c r="L30" s="95"/>
      <c r="M30" s="753"/>
      <c r="N30" s="796" t="s">
        <v>135</v>
      </c>
      <c r="O30" s="797"/>
      <c r="P30" s="798"/>
      <c r="Q30" s="799">
        <f>Q28/Q4+0.01</f>
        <v>132.15620602741549</v>
      </c>
      <c r="R30" s="800"/>
      <c r="S30" s="533"/>
      <c r="T30" s="95"/>
    </row>
    <row r="31" spans="1:20" ht="15.75" customHeight="1">
      <c r="A31" s="840" t="s">
        <v>133</v>
      </c>
      <c r="B31" s="841"/>
      <c r="C31" s="842"/>
      <c r="D31" s="842"/>
      <c r="E31" s="843"/>
      <c r="F31" s="844"/>
      <c r="G31" s="844"/>
      <c r="H31" s="95"/>
      <c r="I31" s="95"/>
      <c r="J31" s="95"/>
      <c r="K31" s="95"/>
      <c r="L31" s="95"/>
      <c r="M31" s="419"/>
      <c r="N31" s="95"/>
      <c r="O31" s="95"/>
      <c r="P31" s="95"/>
      <c r="Q31" s="95"/>
      <c r="R31" s="95"/>
      <c r="S31" s="95"/>
      <c r="T31" s="95"/>
    </row>
    <row r="32" spans="1:20" ht="18.75" customHeight="1">
      <c r="A32" s="845" t="s">
        <v>657</v>
      </c>
      <c r="B32" s="837"/>
      <c r="C32" s="837"/>
      <c r="D32" s="837"/>
      <c r="E32" s="846"/>
      <c r="F32" s="847"/>
      <c r="G32" s="847"/>
      <c r="H32" s="95"/>
      <c r="I32" s="110"/>
      <c r="J32" s="110"/>
      <c r="K32" s="110"/>
      <c r="L32" s="110"/>
      <c r="M32" s="419"/>
      <c r="N32" s="95"/>
      <c r="O32" s="95"/>
      <c r="P32" s="95"/>
      <c r="Q32" s="95"/>
      <c r="R32" s="95"/>
      <c r="S32" s="95"/>
      <c r="T32" s="95"/>
    </row>
    <row r="33" spans="1:14" ht="18.75" customHeight="1">
      <c r="A33" s="845" t="s">
        <v>658</v>
      </c>
      <c r="B33" s="837"/>
      <c r="C33" s="837"/>
      <c r="D33" s="837"/>
      <c r="E33" s="846"/>
      <c r="F33" s="848"/>
      <c r="G33" s="848"/>
      <c r="H33" s="95"/>
      <c r="I33" s="95"/>
      <c r="M33" s="116"/>
    </row>
    <row r="34" spans="1:14" ht="19.5" customHeight="1">
      <c r="A34" s="849" t="s">
        <v>134</v>
      </c>
      <c r="B34" s="850"/>
      <c r="C34" s="850"/>
      <c r="D34" s="850"/>
      <c r="E34" s="851"/>
      <c r="F34" s="847"/>
      <c r="G34" s="847"/>
      <c r="H34" s="95"/>
      <c r="I34" s="95"/>
      <c r="M34" s="116"/>
      <c r="N34" s="115"/>
    </row>
    <row r="35" spans="1:14" ht="15.75" customHeight="1">
      <c r="A35" s="801"/>
      <c r="B35" s="801"/>
      <c r="C35" s="801"/>
      <c r="D35" s="801"/>
      <c r="E35" s="801"/>
      <c r="F35" s="847"/>
      <c r="G35" s="847"/>
      <c r="H35" s="110"/>
      <c r="I35" s="95"/>
      <c r="M35" s="115"/>
      <c r="N35" s="115"/>
    </row>
    <row r="36" spans="1:14" ht="15.75" customHeight="1">
      <c r="A36" s="801"/>
      <c r="B36" s="801"/>
      <c r="C36" s="801"/>
      <c r="D36" s="801"/>
      <c r="E36" s="801"/>
      <c r="F36" s="847"/>
      <c r="G36" s="847"/>
      <c r="H36" s="110"/>
      <c r="I36" s="95"/>
      <c r="M36" s="115"/>
      <c r="N36" s="115"/>
    </row>
    <row r="37" spans="1:14" ht="15.75" customHeight="1">
      <c r="A37" s="801"/>
      <c r="B37" s="801"/>
      <c r="C37" s="801"/>
      <c r="D37" s="801"/>
      <c r="E37" s="801"/>
      <c r="F37" s="847"/>
      <c r="G37" s="847"/>
      <c r="H37" s="110"/>
      <c r="I37" s="95"/>
      <c r="M37" s="115"/>
      <c r="N37" s="115"/>
    </row>
    <row r="38" spans="1:14" ht="15.75" customHeight="1">
      <c r="F38" s="176"/>
      <c r="G38" s="176"/>
      <c r="H38" s="115"/>
      <c r="M38" s="115"/>
      <c r="N38" s="115"/>
    </row>
    <row r="39" spans="1:14" ht="15.75" customHeight="1">
      <c r="F39" s="176"/>
      <c r="G39" s="176"/>
      <c r="H39" s="115"/>
      <c r="M39" s="115"/>
      <c r="N39" s="115"/>
    </row>
    <row r="40" spans="1:14" ht="15.75" customHeight="1">
      <c r="F40" s="177"/>
      <c r="G40" s="177"/>
      <c r="H40" s="115"/>
      <c r="M40" s="115"/>
      <c r="N40" s="115"/>
    </row>
    <row r="41" spans="1:14" ht="15.75" customHeight="1">
      <c r="F41" s="177"/>
      <c r="G41" s="177"/>
      <c r="H41" s="115"/>
      <c r="M41" s="115"/>
      <c r="N41" s="115"/>
    </row>
    <row r="42" spans="1:14" ht="15.75" customHeight="1">
      <c r="H42" s="115"/>
      <c r="M42" s="115"/>
      <c r="N42" s="115"/>
    </row>
    <row r="43" spans="1:14" ht="15.75" customHeight="1">
      <c r="H43" s="115"/>
      <c r="M43" s="115"/>
      <c r="N43" s="115"/>
    </row>
    <row r="44" spans="1:14">
      <c r="H44" s="115"/>
      <c r="M44" s="115"/>
      <c r="N44" s="115"/>
    </row>
    <row r="45" spans="1:14" ht="18.75">
      <c r="D45" s="178"/>
      <c r="E45" s="178"/>
      <c r="H45" s="115"/>
      <c r="M45" s="115"/>
      <c r="N45" s="115"/>
    </row>
    <row r="46" spans="1:14">
      <c r="H46" s="115"/>
      <c r="M46" s="115"/>
      <c r="N46" s="115"/>
    </row>
    <row r="47" spans="1:14">
      <c r="H47" s="115"/>
      <c r="M47" s="115"/>
      <c r="N47" s="115"/>
    </row>
    <row r="48" spans="1:14">
      <c r="H48" s="115"/>
      <c r="M48" s="115"/>
      <c r="N48" s="115"/>
    </row>
    <row r="49" spans="6:14">
      <c r="H49" s="115"/>
      <c r="M49" s="115"/>
      <c r="N49" s="115"/>
    </row>
    <row r="50" spans="6:14">
      <c r="H50" s="115"/>
      <c r="M50" s="115"/>
      <c r="N50" s="115"/>
    </row>
    <row r="51" spans="6:14">
      <c r="H51" s="115"/>
      <c r="M51" s="115"/>
      <c r="N51" s="115"/>
    </row>
    <row r="52" spans="6:14">
      <c r="H52" s="115"/>
      <c r="M52" s="115"/>
      <c r="N52" s="115"/>
    </row>
    <row r="53" spans="6:14">
      <c r="H53" s="115"/>
      <c r="M53" s="115"/>
    </row>
    <row r="57" spans="6:14" ht="21">
      <c r="I57" s="191"/>
    </row>
    <row r="59" spans="6:14" ht="18.75">
      <c r="F59" s="178"/>
      <c r="G59" s="178"/>
    </row>
    <row r="68" spans="1:3" ht="15.75">
      <c r="A68" s="38"/>
      <c r="B68" s="39"/>
      <c r="C68" s="38"/>
    </row>
    <row r="69" spans="1:3" ht="15.75">
      <c r="A69" s="38"/>
      <c r="B69" s="39"/>
      <c r="C69" s="38"/>
    </row>
    <row r="70" spans="1:3" ht="15.75">
      <c r="A70" s="38"/>
      <c r="B70" s="39"/>
      <c r="C70" s="38"/>
    </row>
    <row r="96" spans="8:13" ht="15.75">
      <c r="H96" s="40"/>
      <c r="I96" s="38"/>
      <c r="J96" s="38"/>
      <c r="K96" s="38"/>
      <c r="L96" s="38"/>
      <c r="M96" s="42"/>
    </row>
    <row r="97" spans="4:13" ht="15.75">
      <c r="D97" s="40"/>
      <c r="E97" s="40"/>
      <c r="F97" s="38"/>
      <c r="G97" s="42"/>
      <c r="H97" s="40"/>
      <c r="I97" s="40"/>
      <c r="J97" s="38"/>
      <c r="K97" s="39"/>
      <c r="L97" s="38"/>
      <c r="M97" s="38"/>
    </row>
    <row r="98" spans="4:13" ht="15.75">
      <c r="D98" s="40"/>
      <c r="E98" s="40"/>
      <c r="F98" s="38"/>
      <c r="G98" s="42"/>
      <c r="H98" s="40"/>
      <c r="I98" s="40"/>
      <c r="J98" s="38"/>
      <c r="K98" s="39"/>
      <c r="L98" s="38"/>
      <c r="M98" s="38"/>
    </row>
    <row r="99" spans="4:13" ht="15.75">
      <c r="D99" s="40"/>
      <c r="E99" s="40"/>
      <c r="F99" s="38"/>
      <c r="G99" s="42"/>
    </row>
  </sheetData>
  <mergeCells count="6">
    <mergeCell ref="N3:Q3"/>
    <mergeCell ref="A10:B10"/>
    <mergeCell ref="A16:B16"/>
    <mergeCell ref="C4:G4"/>
    <mergeCell ref="A4:B4"/>
    <mergeCell ref="A3:G3"/>
  </mergeCells>
  <pageMargins left="0.25" right="0.25" top="0.75" bottom="0.75" header="0.3" footer="0.3"/>
  <pageSetup scale="7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12</vt:i4>
      </vt:variant>
    </vt:vector>
  </HeadingPairs>
  <TitlesOfParts>
    <vt:vector size="28" baseType="lpstr">
      <vt:lpstr>ATIL FY16</vt:lpstr>
      <vt:lpstr>ATIL FY15 FI</vt:lpstr>
      <vt:lpstr>Fall 2018</vt:lpstr>
      <vt:lpstr>Fiscal Impact - wip</vt:lpstr>
      <vt:lpstr>CMR 422 Master Lookup</vt:lpstr>
      <vt:lpstr>1. O&amp;M Model Budget</vt:lpstr>
      <vt:lpstr>1a. VR Assistant</vt:lpstr>
      <vt:lpstr>2. HCA-Post PH</vt:lpstr>
      <vt:lpstr>3. ATILSingleSiteModel</vt:lpstr>
      <vt:lpstr>4. Mobile Eye Model Budget</vt:lpstr>
      <vt:lpstr>5. DBCAN Model Budget</vt:lpstr>
      <vt:lpstr>Spring 2019 CAF</vt:lpstr>
      <vt:lpstr>FY18 Spend</vt:lpstr>
      <vt:lpstr>Spring2017 CAF</vt:lpstr>
      <vt:lpstr>Salary Compare</vt:lpstr>
      <vt:lpstr>Activity Codes</vt:lpstr>
      <vt:lpstr>'1. O&amp;M Model Budget'!Print_Area</vt:lpstr>
      <vt:lpstr>'1a. VR Assistant'!Print_Area</vt:lpstr>
      <vt:lpstr>'2. HCA-Post PH'!Print_Area</vt:lpstr>
      <vt:lpstr>'3. ATILSingleSiteModel'!Print_Area</vt:lpstr>
      <vt:lpstr>'4. Mobile Eye Model Budget'!Print_Area</vt:lpstr>
      <vt:lpstr>'5. DBCAN Model Budget'!Print_Area</vt:lpstr>
      <vt:lpstr>'ATIL FY15 FI'!Print_Area</vt:lpstr>
      <vt:lpstr>'CMR 422 Master Lookup'!Print_Area</vt:lpstr>
      <vt:lpstr>'Spring 2019 CAF'!Print_Area</vt:lpstr>
      <vt:lpstr>'Fall 2018'!Print_Titles</vt:lpstr>
      <vt:lpstr>'Spring 2019 CAF'!Print_Titles</vt:lpstr>
      <vt:lpstr>'Spring2017 CAF'!Print_Titles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EHS</dc:creator>
  <cp:lastModifiedBy> </cp:lastModifiedBy>
  <cp:lastPrinted>2019-09-04T14:43:16Z</cp:lastPrinted>
  <dcterms:created xsi:type="dcterms:W3CDTF">2017-02-22T14:50:59Z</dcterms:created>
  <dcterms:modified xsi:type="dcterms:W3CDTF">2019-09-05T14:53:54Z</dcterms:modified>
</cp:coreProperties>
</file>