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05" windowWidth="15450" windowHeight="11280" tabRatio="816" firstSheet="9" activeTab="9"/>
  </bookViews>
  <sheets>
    <sheet name="Updated Unit Summary after P.H" sheetId="18" state="hidden" r:id="rId1"/>
    <sheet name="CAF Spring 2015" sheetId="23" state="hidden" r:id="rId2"/>
    <sheet name="DCF Fiscal Impact" sheetId="37" state="hidden" r:id="rId3"/>
    <sheet name="DMH Fiscal Impact" sheetId="36" state="hidden" r:id="rId4"/>
    <sheet name="Rate summary - 2016 PH" sheetId="24" state="hidden" r:id="rId5"/>
    <sheet name="IRTP" sheetId="1" state="hidden" r:id="rId6"/>
    <sheet name="Consolidated Changes " sheetId="41" state="hidden" r:id="rId7"/>
    <sheet name=" Fiscal Impact " sheetId="39" state="hidden" r:id="rId8"/>
    <sheet name="DC Program Add-on" sheetId="43" state="hidden" r:id="rId9"/>
    <sheet name="CIRT (rebased)" sheetId="26" r:id="rId10"/>
    <sheet name="IRTP (rebased)" sheetId="25" r:id="rId11"/>
    <sheet name="STARR" sheetId="29" state="hidden" r:id="rId12"/>
    <sheet name="Teen Parent (rebased)" sheetId="30" r:id="rId13"/>
    <sheet name="Group Home (rebased)" sheetId="27" r:id="rId14"/>
    <sheet name="STARR (rebased)" sheetId="3" r:id="rId15"/>
    <sheet name="CIRT" sheetId="2" state="hidden" r:id="rId16"/>
    <sheet name="Group Home" sheetId="4" state="hidden" r:id="rId17"/>
    <sheet name="Teen Parent" sheetId="5" state="hidden" r:id="rId18"/>
    <sheet name="Continuum (rebased)" sheetId="31" r:id="rId19"/>
    <sheet name="FA - SO (rebased)" sheetId="7" r:id="rId20"/>
    <sheet name="SpecPgm-TAY(rebased)" sheetId="8" r:id="rId21"/>
    <sheet name="SpecPgm-1t1 SL (rebased)" sheetId="34" r:id="rId22"/>
    <sheet name="TLP E-bed add-on (rebased)" sheetId="19" r:id="rId23"/>
    <sheet name="Continuum" sheetId="6" state="hidden" r:id="rId24"/>
    <sheet name="Intensive GH with exp. Nursing" sheetId="17" state="hidden" r:id="rId25"/>
    <sheet name="SpecPgm-1t2 GH (rebased)" sheetId="35" r:id="rId26"/>
    <sheet name="Inten GH w exp. Nurs (rebased)" sheetId="32" r:id="rId27"/>
    <sheet name="SpecPgm-Med.Com N.GH" sheetId="9" state="hidden" r:id="rId28"/>
    <sheet name="SpecPgm-Med.Com N.GH (rebased)" sheetId="33" r:id="rId29"/>
    <sheet name="SpecPgm-1t1 SL" sheetId="10" state="hidden" r:id="rId30"/>
    <sheet name="SpecPgm-1t2 GH" sheetId="11" state="hidden" r:id="rId31"/>
    <sheet name="SpecPgm-College Prep" sheetId="12" r:id="rId32"/>
    <sheet name="SpecPgm-TransIFC" sheetId="14" r:id="rId33"/>
    <sheet name="SpecPgm-Outrch Ind.Liv (rebased" sheetId="15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Print_Area" localSheetId="7">' Fiscal Impact '!$A$1:$G$47</definedName>
    <definedName name="_xlnm.Print_Area" localSheetId="15">CIRT!$A$6:$M$50</definedName>
    <definedName name="_xlnm.Print_Area" localSheetId="9">'CIRT (rebased)'!$H$6:$M$50</definedName>
    <definedName name="_xlnm.Print_Area" localSheetId="6">'Consolidated Changes '!$A$1:$H$36</definedName>
    <definedName name="_xlnm.Print_Area" localSheetId="23">Continuum!$A$6:$F$135</definedName>
    <definedName name="_xlnm.Print_Area" localSheetId="18">'Continuum (rebased)'!$A$6:$F$137</definedName>
    <definedName name="_xlnm.Print_Area" localSheetId="2">'DCF Fiscal Impact'!$A$1:$K$47</definedName>
    <definedName name="_xlnm.Print_Area" localSheetId="19">'FA - SO (rebased)'!$A$7:$E$75</definedName>
    <definedName name="_xlnm.Print_Area" localSheetId="16">'Group Home'!$A$6:$L$169</definedName>
    <definedName name="_xlnm.Print_Area" localSheetId="13">'Group Home (rebased)'!$H$1:$S$170</definedName>
    <definedName name="_xlnm.Print_Area" localSheetId="26">'Inten GH w exp. Nurs (rebased)'!$A$6:$E$51</definedName>
    <definedName name="_xlnm.Print_Area" localSheetId="24">'Intensive GH with exp. Nursing'!$A$6:$F$51</definedName>
    <definedName name="_xlnm.Print_Area" localSheetId="5">IRTP!$A$6:$T$66</definedName>
    <definedName name="_xlnm.Print_Area" localSheetId="10">'IRTP (rebased)'!$H$6:$T$53</definedName>
    <definedName name="_xlnm.Print_Area" localSheetId="4">'Rate summary - 2016 PH'!$A$1:$N$43</definedName>
    <definedName name="_xlnm.Print_Area" localSheetId="29">'SpecPgm-1t1 SL'!$A$6:$F$43</definedName>
    <definedName name="_xlnm.Print_Area" localSheetId="21">'SpecPgm-1t1 SL (rebased)'!$A$6:$E$43</definedName>
    <definedName name="_xlnm.Print_Area" localSheetId="30">'SpecPgm-1t2 GH'!$A$6:$F$49</definedName>
    <definedName name="_xlnm.Print_Area" localSheetId="25">'SpecPgm-1t2 GH (rebased)'!$A$6:$E$49</definedName>
    <definedName name="_xlnm.Print_Area" localSheetId="31">'SpecPgm-College Prep'!$A$6:$F$43</definedName>
    <definedName name="_xlnm.Print_Area" localSheetId="27">'SpecPgm-Med.Com N.GH'!$H$47:$N$130</definedName>
    <definedName name="_xlnm.Print_Area" localSheetId="28">'SpecPgm-Med.Com N.GH (rebased)'!$H$4:$N$138</definedName>
    <definedName name="_xlnm.Print_Area" localSheetId="33">'SpecPgm-Outrch Ind.Liv (rebased'!$A$7:$E$38</definedName>
    <definedName name="_xlnm.Print_Area" localSheetId="20">'SpecPgm-TAY(rebased)'!$A$6:$E$95</definedName>
    <definedName name="_xlnm.Print_Area" localSheetId="32">'SpecPgm-TransIFC'!$A$6:$F$41</definedName>
    <definedName name="_xlnm.Print_Area" localSheetId="11">STARR!$A$6:$N$178</definedName>
    <definedName name="_xlnm.Print_Area" localSheetId="14">'STARR (rebased)'!$H$5:$O$177</definedName>
    <definedName name="_xlnm.Print_Area" localSheetId="17">'Teen Parent'!$A$46:$H$162</definedName>
    <definedName name="_xlnm.Print_Area" localSheetId="12">'Teen Parent (rebased)'!$A$6:$H$161</definedName>
    <definedName name="_xlnm.Print_Area" localSheetId="22">'TLP E-bed add-on (rebased)'!$A$5:$G$26</definedName>
    <definedName name="_xlnm.Print_Area" localSheetId="0">'Updated Unit Summary after P.H'!$A$2:$G$40</definedName>
    <definedName name="_xlnm.Print_Titles" localSheetId="6">'Consolidated Changes '!$1:$1</definedName>
    <definedName name="Program_File" localSheetId="7">#REF!</definedName>
    <definedName name="Program_File" localSheetId="6">#REF!</definedName>
    <definedName name="Program_File">#REF!</definedName>
    <definedName name="ProvFTE">'[1]FTE Data'!$A$3:$AW$56</definedName>
    <definedName name="PurchasedBy">'[1]FTE Data'!$C$263:$AZ$657</definedName>
    <definedName name="Site_list">[1]Lists!$A$2:$A$53</definedName>
  </definedNames>
  <calcPr calcId="145621"/>
  <customWorkbookViews>
    <customWorkbookView name="KEVIN FLYNN - Personal View" guid="{C4FB04C2-CA74-4980-BD95-4B9444F5E469}" mergeInterval="0" personalView="1" maximized="1" xWindow="1" yWindow="1" windowWidth="1280" windowHeight="752" tabRatio="895" activeSheetId="5"/>
    <customWorkbookView name="ksmith - Personal View" guid="{DD59BDBA-2B4B-4A1B-B4A1-2CCC67D7DFDF}" mergeInterval="0" personalView="1" maximized="1" windowWidth="1244" windowHeight="740" tabRatio="895" activeSheetId="8"/>
    <customWorkbookView name="kflynn - Personal View" guid="{5AADE27E-F302-43C6-9977-5F0A9EFCE2DA}" mergeInterval="0" personalView="1" maximized="1" windowWidth="1276" windowHeight="764" tabRatio="895" activeSheetId="1"/>
    <customWorkbookView name="CKE - Personal View" guid="{24909757-F1DE-4143-82F8-9D141610CA99}" mergeInterval="0" personalView="1" maximized="1" xWindow="1" yWindow="1" windowWidth="1280" windowHeight="783" tabRatio="895" activeSheetId="12"/>
  </customWorkbookViews>
  <pivotCaches>
    <pivotCache cacheId="1" r:id="rId51"/>
  </pivotCaches>
</workbook>
</file>

<file path=xl/calcChain.xml><?xml version="1.0" encoding="utf-8"?>
<calcChain xmlns="http://schemas.openxmlformats.org/spreadsheetml/2006/main">
  <c r="G26" i="19" l="1"/>
  <c r="F34" i="14" l="1"/>
  <c r="E41" i="34"/>
  <c r="E94" i="8"/>
  <c r="E41" i="7"/>
  <c r="F92" i="31"/>
  <c r="F48" i="31"/>
  <c r="N133" i="3"/>
  <c r="E38" i="15"/>
  <c r="C38" i="15"/>
  <c r="F39" i="12"/>
  <c r="J137" i="33"/>
  <c r="J94" i="33"/>
  <c r="J43" i="33"/>
  <c r="E50" i="32"/>
  <c r="C50" i="32"/>
  <c r="C45" i="35"/>
  <c r="C41" i="34"/>
  <c r="C94" i="8"/>
  <c r="E48" i="8"/>
  <c r="C48" i="8"/>
  <c r="C75" i="7"/>
  <c r="E75" i="7"/>
  <c r="C41" i="7"/>
  <c r="C136" i="31"/>
  <c r="C92" i="31"/>
  <c r="F136" i="31"/>
  <c r="C48" i="31"/>
  <c r="F26" i="19"/>
  <c r="C83" i="30"/>
  <c r="C126" i="30"/>
  <c r="C161" i="30"/>
  <c r="C43" i="30"/>
  <c r="J90" i="27"/>
  <c r="J131" i="27"/>
  <c r="J168" i="27"/>
  <c r="L168" i="27"/>
  <c r="L131" i="27"/>
  <c r="L90" i="27"/>
  <c r="L47" i="27"/>
  <c r="J47" i="27"/>
  <c r="M48" i="26"/>
  <c r="J48" i="26"/>
  <c r="J177" i="3"/>
  <c r="J133" i="3"/>
  <c r="J88" i="3"/>
  <c r="J45" i="3"/>
  <c r="F13" i="43"/>
  <c r="D11" i="43"/>
  <c r="E11" i="43"/>
  <c r="F11" i="43"/>
  <c r="C11" i="43"/>
  <c r="D10" i="43"/>
  <c r="E10" i="43"/>
  <c r="F10" i="43"/>
  <c r="C10" i="43"/>
  <c r="D9" i="43"/>
  <c r="E9" i="43"/>
  <c r="F9" i="43"/>
  <c r="D8" i="43"/>
  <c r="E8" i="43"/>
  <c r="F8" i="43"/>
  <c r="C8" i="43"/>
  <c r="C9" i="43"/>
  <c r="E7" i="43"/>
  <c r="C7" i="43"/>
  <c r="E6" i="43"/>
  <c r="C6" i="43"/>
  <c r="E4" i="43"/>
  <c r="C4" i="43"/>
  <c r="F4" i="43"/>
  <c r="F6" i="43"/>
  <c r="D4" i="43"/>
  <c r="D6" i="43"/>
  <c r="D7" i="43"/>
  <c r="F7" i="43"/>
  <c r="E4" i="41"/>
  <c r="E3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E5" i="41"/>
  <c r="E2" i="41"/>
  <c r="J33" i="15"/>
  <c r="D23" i="15"/>
  <c r="J32" i="15"/>
  <c r="D22" i="15"/>
  <c r="C12" i="15"/>
  <c r="C14" i="15"/>
  <c r="C15" i="15"/>
  <c r="S19" i="33"/>
  <c r="S18" i="33"/>
  <c r="S15" i="33"/>
  <c r="S13" i="33"/>
  <c r="J30" i="32"/>
  <c r="J22" i="32"/>
  <c r="J20" i="32"/>
  <c r="J19" i="32"/>
  <c r="J18" i="32"/>
  <c r="S16" i="33"/>
  <c r="J39" i="35"/>
  <c r="J57" i="32"/>
  <c r="J38" i="35"/>
  <c r="J16" i="35"/>
  <c r="J15" i="35"/>
  <c r="J17" i="32"/>
  <c r="I37" i="34"/>
  <c r="I36" i="34"/>
  <c r="I19" i="34"/>
  <c r="J19" i="35"/>
  <c r="J25" i="32"/>
  <c r="I18" i="34"/>
  <c r="J18" i="35"/>
  <c r="J23" i="32"/>
  <c r="I16" i="34"/>
  <c r="I15" i="34"/>
  <c r="I13" i="34"/>
  <c r="J13" i="35"/>
  <c r="J14" i="32"/>
  <c r="D79" i="8"/>
  <c r="J50" i="8"/>
  <c r="I22" i="8"/>
  <c r="I21" i="8"/>
  <c r="J24" i="32"/>
  <c r="I20" i="8"/>
  <c r="I18" i="8"/>
  <c r="I17" i="8"/>
  <c r="I16" i="8"/>
  <c r="I15" i="8"/>
  <c r="J16" i="32"/>
  <c r="I13" i="8"/>
  <c r="J42" i="7"/>
  <c r="I51" i="8"/>
  <c r="J40" i="7"/>
  <c r="J39" i="7"/>
  <c r="I47" i="8"/>
  <c r="J19" i="7"/>
  <c r="J18" i="7"/>
  <c r="J17" i="7"/>
  <c r="J15" i="7"/>
  <c r="J13" i="7"/>
  <c r="C60" i="31"/>
  <c r="K19" i="31"/>
  <c r="K18" i="31"/>
  <c r="I52" i="31"/>
  <c r="I51" i="31"/>
  <c r="I26" i="31"/>
  <c r="I23" i="31"/>
  <c r="I22" i="31"/>
  <c r="I21" i="31"/>
  <c r="I19" i="31"/>
  <c r="C62" i="31"/>
  <c r="I18" i="31"/>
  <c r="C61" i="31"/>
  <c r="I16" i="31"/>
  <c r="C59" i="31"/>
  <c r="I14" i="31"/>
  <c r="C57" i="31"/>
  <c r="E14" i="19"/>
  <c r="E13" i="19"/>
  <c r="E11" i="19"/>
  <c r="M20" i="30"/>
  <c r="D69" i="30"/>
  <c r="C16" i="30"/>
  <c r="M22" i="30"/>
  <c r="K22" i="31"/>
  <c r="C108" i="31"/>
  <c r="C64" i="31"/>
  <c r="J143" i="27"/>
  <c r="J142" i="27"/>
  <c r="J140" i="27"/>
  <c r="J106" i="27"/>
  <c r="J105" i="27"/>
  <c r="J104" i="27"/>
  <c r="J103" i="27"/>
  <c r="J101" i="27"/>
  <c r="J99" i="27"/>
  <c r="J63" i="27"/>
  <c r="J62" i="27"/>
  <c r="J61" i="27"/>
  <c r="J59" i="27"/>
  <c r="J58" i="27"/>
  <c r="J56" i="27"/>
  <c r="K30" i="27"/>
  <c r="J20" i="27"/>
  <c r="J19" i="27"/>
  <c r="J18" i="27"/>
  <c r="J16" i="27"/>
  <c r="J15" i="27"/>
  <c r="J14" i="27"/>
  <c r="J13" i="27"/>
  <c r="J11" i="27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11" i="26"/>
  <c r="J104" i="3"/>
  <c r="J105" i="3"/>
  <c r="J149" i="3"/>
  <c r="J103" i="3"/>
  <c r="J101" i="3"/>
  <c r="J99" i="3"/>
  <c r="J60" i="3"/>
  <c r="J59" i="3"/>
  <c r="J57" i="3"/>
  <c r="J55" i="3"/>
  <c r="J143" i="3"/>
  <c r="J147" i="3"/>
  <c r="J145" i="3"/>
  <c r="J148" i="3"/>
  <c r="J17" i="3"/>
  <c r="J16" i="3"/>
  <c r="J15" i="3"/>
  <c r="J13" i="3"/>
  <c r="J11" i="3"/>
  <c r="M84" i="39"/>
  <c r="M71" i="39"/>
  <c r="M58" i="39"/>
  <c r="M42" i="39"/>
  <c r="M28" i="39"/>
  <c r="M15" i="39"/>
  <c r="A47" i="39"/>
  <c r="D43" i="39"/>
  <c r="D42" i="39"/>
  <c r="D41" i="39"/>
  <c r="D40" i="39"/>
  <c r="D39" i="39"/>
  <c r="D36" i="39"/>
  <c r="D35" i="39"/>
  <c r="D34" i="39"/>
  <c r="D33" i="39"/>
  <c r="D32" i="39"/>
  <c r="D29" i="39"/>
  <c r="D28" i="39"/>
  <c r="D27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9" i="39"/>
  <c r="D8" i="39"/>
  <c r="D7" i="39"/>
  <c r="D6" i="39"/>
  <c r="K35" i="25"/>
  <c r="K34" i="25"/>
  <c r="Q18" i="25"/>
  <c r="J18" i="25"/>
  <c r="Q11" i="25"/>
  <c r="J11" i="25"/>
  <c r="I6" i="37"/>
  <c r="M13" i="3"/>
  <c r="G18" i="36"/>
  <c r="G17" i="36"/>
  <c r="K5" i="36"/>
  <c r="K6" i="36"/>
  <c r="G41" i="36"/>
  <c r="G42" i="36"/>
  <c r="G40" i="36"/>
  <c r="G43" i="36"/>
  <c r="G44" i="36"/>
  <c r="I5" i="36"/>
  <c r="I6" i="36"/>
  <c r="G6" i="36"/>
  <c r="G5" i="36"/>
  <c r="O47" i="37"/>
  <c r="Q40" i="37"/>
  <c r="Q41" i="37"/>
  <c r="Q42" i="37"/>
  <c r="Q43" i="37"/>
  <c r="Q39" i="37"/>
  <c r="P40" i="37"/>
  <c r="P41" i="37"/>
  <c r="P42" i="37"/>
  <c r="P43" i="37"/>
  <c r="P39" i="37"/>
  <c r="Q12" i="37"/>
  <c r="P12" i="37"/>
  <c r="Q28" i="37"/>
  <c r="Q29" i="37"/>
  <c r="Q27" i="37"/>
  <c r="P28" i="37"/>
  <c r="P29" i="37"/>
  <c r="P27" i="37"/>
  <c r="P20" i="37"/>
  <c r="Q20" i="37"/>
  <c r="Q24" i="37"/>
  <c r="A47" i="37"/>
  <c r="K43" i="37"/>
  <c r="I43" i="37"/>
  <c r="H43" i="37"/>
  <c r="D43" i="37"/>
  <c r="K42" i="37"/>
  <c r="I42" i="37"/>
  <c r="H42" i="37"/>
  <c r="D42" i="37"/>
  <c r="K41" i="37"/>
  <c r="I41" i="37"/>
  <c r="H41" i="37"/>
  <c r="D41" i="37"/>
  <c r="K40" i="37"/>
  <c r="I40" i="37"/>
  <c r="H40" i="37"/>
  <c r="D40" i="37"/>
  <c r="K39" i="37"/>
  <c r="I39" i="37"/>
  <c r="H39" i="37"/>
  <c r="D39" i="37"/>
  <c r="K36" i="37"/>
  <c r="I36" i="37"/>
  <c r="H36" i="37"/>
  <c r="D36" i="37"/>
  <c r="K35" i="37"/>
  <c r="I35" i="37"/>
  <c r="H35" i="37"/>
  <c r="D35" i="37"/>
  <c r="K34" i="37"/>
  <c r="I34" i="37"/>
  <c r="H34" i="37"/>
  <c r="D34" i="37"/>
  <c r="K33" i="37"/>
  <c r="I33" i="37"/>
  <c r="H33" i="37"/>
  <c r="D33" i="37"/>
  <c r="K32" i="37"/>
  <c r="I32" i="37"/>
  <c r="H32" i="37"/>
  <c r="D32" i="37"/>
  <c r="K29" i="37"/>
  <c r="I29" i="37"/>
  <c r="H29" i="37"/>
  <c r="D29" i="37"/>
  <c r="K28" i="37"/>
  <c r="I28" i="37"/>
  <c r="H28" i="37"/>
  <c r="D28" i="37"/>
  <c r="K27" i="37"/>
  <c r="I27" i="37"/>
  <c r="H27" i="37"/>
  <c r="D27" i="37"/>
  <c r="K24" i="37"/>
  <c r="I24" i="37"/>
  <c r="H24" i="37"/>
  <c r="D24" i="37"/>
  <c r="K23" i="37"/>
  <c r="I23" i="37"/>
  <c r="H23" i="37"/>
  <c r="D23" i="37"/>
  <c r="K22" i="37"/>
  <c r="I22" i="37"/>
  <c r="H22" i="37"/>
  <c r="D22" i="37"/>
  <c r="K21" i="37"/>
  <c r="I21" i="37"/>
  <c r="H21" i="37"/>
  <c r="D21" i="37"/>
  <c r="K20" i="37"/>
  <c r="I20" i="37"/>
  <c r="H20" i="37"/>
  <c r="D20" i="37"/>
  <c r="K19" i="37"/>
  <c r="I19" i="37"/>
  <c r="H19" i="37"/>
  <c r="D19" i="37"/>
  <c r="K18" i="37"/>
  <c r="I18" i="37"/>
  <c r="H18" i="37"/>
  <c r="D18" i="37"/>
  <c r="K17" i="37"/>
  <c r="I17" i="37"/>
  <c r="H17" i="37"/>
  <c r="D17" i="37"/>
  <c r="K16" i="37"/>
  <c r="I16" i="37"/>
  <c r="H16" i="37"/>
  <c r="D16" i="37"/>
  <c r="K15" i="37"/>
  <c r="I15" i="37"/>
  <c r="H15" i="37"/>
  <c r="D15" i="37"/>
  <c r="K14" i="37"/>
  <c r="I14" i="37"/>
  <c r="H14" i="37"/>
  <c r="D14" i="37"/>
  <c r="K13" i="37"/>
  <c r="I13" i="37"/>
  <c r="H13" i="37"/>
  <c r="D13" i="37"/>
  <c r="K12" i="37"/>
  <c r="I12" i="37"/>
  <c r="H12" i="37"/>
  <c r="D12" i="37"/>
  <c r="K9" i="37"/>
  <c r="I9" i="37"/>
  <c r="H9" i="37"/>
  <c r="D9" i="37"/>
  <c r="K8" i="37"/>
  <c r="I8" i="37"/>
  <c r="H8" i="37"/>
  <c r="D8" i="37"/>
  <c r="K7" i="37"/>
  <c r="I7" i="37"/>
  <c r="H7" i="37"/>
  <c r="D7" i="37"/>
  <c r="K6" i="37"/>
  <c r="K47" i="37"/>
  <c r="H6" i="37"/>
  <c r="H47" i="37"/>
  <c r="D6" i="37"/>
  <c r="E18" i="36"/>
  <c r="D18" i="36"/>
  <c r="E17" i="36"/>
  <c r="D17" i="36"/>
  <c r="E16" i="36"/>
  <c r="D16" i="36"/>
  <c r="E15" i="36"/>
  <c r="D15" i="36"/>
  <c r="E14" i="36"/>
  <c r="E20" i="36"/>
  <c r="D14" i="36"/>
  <c r="D20" i="36"/>
  <c r="I47" i="37"/>
  <c r="C26" i="35"/>
  <c r="E26" i="35"/>
  <c r="J30" i="35"/>
  <c r="J29" i="35"/>
  <c r="D16" i="35"/>
  <c r="J27" i="35"/>
  <c r="D14" i="35"/>
  <c r="J26" i="35"/>
  <c r="D13" i="35"/>
  <c r="J24" i="35"/>
  <c r="D11" i="35"/>
  <c r="J23" i="35"/>
  <c r="B8" i="35"/>
  <c r="E8" i="35"/>
  <c r="D17" i="35"/>
  <c r="C14" i="35"/>
  <c r="C16" i="35"/>
  <c r="J8" i="35"/>
  <c r="J7" i="35"/>
  <c r="J6" i="35"/>
  <c r="J5" i="35"/>
  <c r="J9" i="35"/>
  <c r="J10" i="35"/>
  <c r="I27" i="34"/>
  <c r="D14" i="34"/>
  <c r="I26" i="34"/>
  <c r="I23" i="34"/>
  <c r="B8" i="34"/>
  <c r="E8" i="34"/>
  <c r="D17" i="34"/>
  <c r="C14" i="34"/>
  <c r="D16" i="34"/>
  <c r="C16" i="34"/>
  <c r="E16" i="34"/>
  <c r="D13" i="34"/>
  <c r="I8" i="34"/>
  <c r="I7" i="34"/>
  <c r="I6" i="34"/>
  <c r="I5" i="34"/>
  <c r="H145" i="33"/>
  <c r="G145" i="33"/>
  <c r="F145" i="33"/>
  <c r="E145" i="33"/>
  <c r="D145" i="33"/>
  <c r="C145" i="33"/>
  <c r="B145" i="33"/>
  <c r="H144" i="33"/>
  <c r="G144" i="33"/>
  <c r="F144" i="33"/>
  <c r="E144" i="33"/>
  <c r="D144" i="33"/>
  <c r="C144" i="33"/>
  <c r="B144" i="33"/>
  <c r="H147" i="33"/>
  <c r="N100" i="33"/>
  <c r="L100" i="33"/>
  <c r="N57" i="33"/>
  <c r="L57" i="33"/>
  <c r="C41" i="33"/>
  <c r="M120" i="33"/>
  <c r="C37" i="33"/>
  <c r="S35" i="33"/>
  <c r="K69" i="33" s="1"/>
  <c r="S31" i="33"/>
  <c r="D14" i="33" s="1"/>
  <c r="S29" i="33"/>
  <c r="S28" i="33"/>
  <c r="K11" i="33" s="1"/>
  <c r="S26" i="33"/>
  <c r="D9" i="33" s="1"/>
  <c r="M103" i="33"/>
  <c r="M26" i="33"/>
  <c r="N26" i="33" s="1"/>
  <c r="K26" i="33"/>
  <c r="L26" i="33" s="1"/>
  <c r="D26" i="33"/>
  <c r="E26" i="33" s="1"/>
  <c r="S25" i="33"/>
  <c r="B6" i="33" s="1"/>
  <c r="E6" i="33" s="1"/>
  <c r="J65" i="33"/>
  <c r="J63" i="33"/>
  <c r="N63" i="33" s="1"/>
  <c r="D15" i="33"/>
  <c r="J14" i="33"/>
  <c r="C14" i="33"/>
  <c r="J13" i="33"/>
  <c r="C12" i="33"/>
  <c r="S8" i="33"/>
  <c r="S7" i="33"/>
  <c r="S6" i="33"/>
  <c r="N6" i="33"/>
  <c r="L6" i="33"/>
  <c r="S5" i="33"/>
  <c r="S9" i="33"/>
  <c r="S10" i="33" s="1"/>
  <c r="S33" i="33" s="1"/>
  <c r="D16" i="33" s="1"/>
  <c r="J59" i="32"/>
  <c r="D35" i="32"/>
  <c r="D33" i="32"/>
  <c r="J54" i="32"/>
  <c r="C29" i="32"/>
  <c r="J40" i="32"/>
  <c r="J39" i="32"/>
  <c r="J38" i="32"/>
  <c r="D34" i="32"/>
  <c r="D32" i="32"/>
  <c r="J28" i="32"/>
  <c r="C23" i="32"/>
  <c r="D25" i="32"/>
  <c r="D24" i="32"/>
  <c r="C19" i="32"/>
  <c r="C15" i="32"/>
  <c r="C17" i="32"/>
  <c r="D16" i="32"/>
  <c r="C16" i="32"/>
  <c r="D15" i="32"/>
  <c r="D14" i="32"/>
  <c r="C11" i="32"/>
  <c r="J9" i="32"/>
  <c r="J8" i="32"/>
  <c r="B8" i="32"/>
  <c r="E8" i="32"/>
  <c r="J7" i="32"/>
  <c r="J6" i="32"/>
  <c r="B100" i="31"/>
  <c r="E100" i="31"/>
  <c r="I82" i="31"/>
  <c r="Q80" i="31"/>
  <c r="B54" i="31"/>
  <c r="E54" i="31"/>
  <c r="D32" i="31"/>
  <c r="L43" i="31"/>
  <c r="D112" i="31"/>
  <c r="K43" i="31"/>
  <c r="D68" i="31"/>
  <c r="I43" i="31"/>
  <c r="D22" i="31"/>
  <c r="L40" i="31"/>
  <c r="K40" i="31"/>
  <c r="I40" i="31"/>
  <c r="L39" i="31"/>
  <c r="D108" i="31"/>
  <c r="K39" i="31"/>
  <c r="D64" i="31"/>
  <c r="I39" i="31"/>
  <c r="D18" i="31"/>
  <c r="I38" i="31"/>
  <c r="L36" i="31"/>
  <c r="D106" i="31"/>
  <c r="K36" i="31"/>
  <c r="D62" i="31"/>
  <c r="I36" i="31"/>
  <c r="D15" i="31"/>
  <c r="K35" i="31"/>
  <c r="D61" i="31"/>
  <c r="I35" i="31"/>
  <c r="D14" i="31"/>
  <c r="L34" i="31"/>
  <c r="K34" i="31"/>
  <c r="K33" i="31"/>
  <c r="D59" i="31"/>
  <c r="I33" i="31"/>
  <c r="D13" i="31"/>
  <c r="D33" i="31"/>
  <c r="L31" i="31"/>
  <c r="D103" i="31"/>
  <c r="K31" i="31"/>
  <c r="D57" i="31"/>
  <c r="I31" i="31"/>
  <c r="D11" i="31"/>
  <c r="I30" i="31"/>
  <c r="B8" i="31"/>
  <c r="E8" i="31"/>
  <c r="C29" i="31"/>
  <c r="I24" i="31"/>
  <c r="C20" i="31"/>
  <c r="C18" i="31"/>
  <c r="C17" i="31"/>
  <c r="D17" i="31"/>
  <c r="C15" i="31"/>
  <c r="C14" i="31"/>
  <c r="J8" i="31"/>
  <c r="J7" i="31"/>
  <c r="J6" i="31"/>
  <c r="J5" i="31"/>
  <c r="J9" i="31"/>
  <c r="J10" i="31"/>
  <c r="D147" i="30"/>
  <c r="D148" i="30" s="1"/>
  <c r="D146" i="30"/>
  <c r="N40" i="30"/>
  <c r="D104" i="30" s="1"/>
  <c r="M40" i="30"/>
  <c r="D61" i="30" s="1"/>
  <c r="L40" i="30"/>
  <c r="D20" i="30" s="1"/>
  <c r="N37" i="30"/>
  <c r="D101" i="30" s="1"/>
  <c r="M37" i="30"/>
  <c r="D58" i="30" s="1"/>
  <c r="L37" i="30"/>
  <c r="O36" i="30"/>
  <c r="D139" i="30" s="1"/>
  <c r="N36" i="30"/>
  <c r="D100" i="30" s="1"/>
  <c r="M36" i="30"/>
  <c r="D57" i="30" s="1"/>
  <c r="L35" i="30"/>
  <c r="N34" i="30"/>
  <c r="D99" i="30" s="1"/>
  <c r="M34" i="30"/>
  <c r="D56" i="30" s="1"/>
  <c r="L34" i="30"/>
  <c r="D15" i="30" s="1"/>
  <c r="N32" i="30"/>
  <c r="D97" i="30" s="1"/>
  <c r="M32" i="30"/>
  <c r="D54" i="30" s="1"/>
  <c r="L31" i="30"/>
  <c r="O29" i="30"/>
  <c r="D137" i="30" s="1"/>
  <c r="N29" i="30"/>
  <c r="D95" i="30" s="1"/>
  <c r="M29" i="30"/>
  <c r="D52" i="30" s="1"/>
  <c r="L29" i="30"/>
  <c r="O28" i="30"/>
  <c r="B134" i="30" s="1"/>
  <c r="E134" i="30" s="1"/>
  <c r="N28" i="30"/>
  <c r="B92" i="30"/>
  <c r="E92" i="30" s="1"/>
  <c r="M28" i="30"/>
  <c r="B49" i="30" s="1"/>
  <c r="E49" i="30" s="1"/>
  <c r="L28" i="30"/>
  <c r="B8" i="30" s="1"/>
  <c r="E8" i="30" s="1"/>
  <c r="D27" i="30"/>
  <c r="D17" i="30"/>
  <c r="D16" i="30"/>
  <c r="C15" i="30"/>
  <c r="D13" i="30"/>
  <c r="D11" i="30"/>
  <c r="M8" i="30"/>
  <c r="M7" i="30"/>
  <c r="M6" i="30"/>
  <c r="M5" i="30"/>
  <c r="M9" i="30" s="1"/>
  <c r="M10" i="30" s="1"/>
  <c r="E15" i="31"/>
  <c r="K9" i="33"/>
  <c r="M9" i="33" s="1"/>
  <c r="K12" i="33"/>
  <c r="J10" i="32"/>
  <c r="J11" i="32"/>
  <c r="D36" i="32"/>
  <c r="I9" i="34"/>
  <c r="I10" i="34"/>
  <c r="I31" i="34"/>
  <c r="D18" i="34"/>
  <c r="E64" i="31"/>
  <c r="E15" i="32"/>
  <c r="E16" i="32"/>
  <c r="C20" i="32"/>
  <c r="C21" i="32"/>
  <c r="J26" i="32"/>
  <c r="M77" i="33"/>
  <c r="N77" i="33" s="1"/>
  <c r="C19" i="31"/>
  <c r="J29" i="32"/>
  <c r="C24" i="32"/>
  <c r="E24" i="32"/>
  <c r="E62" i="31"/>
  <c r="D28" i="30"/>
  <c r="K41" i="31"/>
  <c r="D66" i="31"/>
  <c r="E14" i="31"/>
  <c r="I54" i="31"/>
  <c r="D31" i="31"/>
  <c r="E31" i="31"/>
  <c r="K62" i="33"/>
  <c r="M62" i="33" s="1"/>
  <c r="M108" i="33"/>
  <c r="E14" i="34"/>
  <c r="C22" i="31"/>
  <c r="E22" i="31"/>
  <c r="E61" i="31"/>
  <c r="J60" i="32"/>
  <c r="K77" i="33"/>
  <c r="L77" i="33" s="1"/>
  <c r="E16" i="35"/>
  <c r="E14" i="35"/>
  <c r="J31" i="35"/>
  <c r="D18" i="35"/>
  <c r="D11" i="33"/>
  <c r="D12" i="33"/>
  <c r="E12" i="33" s="1"/>
  <c r="J12" i="33"/>
  <c r="L12" i="33" s="1"/>
  <c r="K18" i="33"/>
  <c r="M105" i="33"/>
  <c r="J106" i="33"/>
  <c r="N106" i="33" s="1"/>
  <c r="J108" i="33"/>
  <c r="M112" i="33"/>
  <c r="K65" i="33"/>
  <c r="N120" i="33"/>
  <c r="E33" i="32"/>
  <c r="E35" i="32"/>
  <c r="E34" i="32"/>
  <c r="E32" i="32"/>
  <c r="D69" i="31"/>
  <c r="E32" i="31"/>
  <c r="I41" i="31"/>
  <c r="D20" i="31"/>
  <c r="E20" i="31"/>
  <c r="D19" i="31"/>
  <c r="E19" i="31"/>
  <c r="L41" i="31"/>
  <c r="C106" i="31"/>
  <c r="E106" i="31"/>
  <c r="E17" i="31"/>
  <c r="E18" i="31"/>
  <c r="E108" i="31"/>
  <c r="E29" i="31"/>
  <c r="E33" i="31"/>
  <c r="C97" i="30"/>
  <c r="C54" i="30"/>
  <c r="C99" i="30"/>
  <c r="C56" i="30"/>
  <c r="M47" i="30"/>
  <c r="D68" i="30"/>
  <c r="D111" i="30"/>
  <c r="D112" i="30"/>
  <c r="M65" i="33"/>
  <c r="N65" i="33" s="1"/>
  <c r="D19" i="35"/>
  <c r="M110" i="33"/>
  <c r="M18" i="33"/>
  <c r="D34" i="31"/>
  <c r="D113" i="31"/>
  <c r="D29" i="30"/>
  <c r="K113" i="33"/>
  <c r="L108" i="33"/>
  <c r="N108" i="33"/>
  <c r="L65" i="33"/>
  <c r="L120" i="33"/>
  <c r="L106" i="33"/>
  <c r="N12" i="33"/>
  <c r="D23" i="31"/>
  <c r="D70" i="30"/>
  <c r="J175" i="29"/>
  <c r="C175" i="29"/>
  <c r="J171" i="29"/>
  <c r="C171" i="29"/>
  <c r="J167" i="29"/>
  <c r="C167" i="29"/>
  <c r="K162" i="29"/>
  <c r="L162" i="29"/>
  <c r="D162" i="29"/>
  <c r="K161" i="29"/>
  <c r="L161" i="29"/>
  <c r="D161" i="29"/>
  <c r="K160" i="29"/>
  <c r="L160" i="29"/>
  <c r="D160" i="29"/>
  <c r="K159" i="29"/>
  <c r="K163" i="29"/>
  <c r="D159" i="29"/>
  <c r="J156" i="29"/>
  <c r="C156" i="29"/>
  <c r="L152" i="29"/>
  <c r="D152" i="29"/>
  <c r="C152" i="29"/>
  <c r="E152" i="29"/>
  <c r="L150" i="29"/>
  <c r="D150" i="29"/>
  <c r="L149" i="29"/>
  <c r="D149" i="29"/>
  <c r="C149" i="29"/>
  <c r="E149" i="29"/>
  <c r="L148" i="29"/>
  <c r="D148" i="29"/>
  <c r="C148" i="29"/>
  <c r="E148" i="29"/>
  <c r="L147" i="29"/>
  <c r="D147" i="29"/>
  <c r="D145" i="29"/>
  <c r="K145" i="29"/>
  <c r="L143" i="29"/>
  <c r="D143" i="29"/>
  <c r="D153" i="29"/>
  <c r="C143" i="29"/>
  <c r="E143" i="29"/>
  <c r="L140" i="29"/>
  <c r="J131" i="29"/>
  <c r="C131" i="29"/>
  <c r="J127" i="29"/>
  <c r="C127" i="29"/>
  <c r="J123" i="29"/>
  <c r="C123" i="29"/>
  <c r="K118" i="29"/>
  <c r="L118" i="29"/>
  <c r="D118" i="29"/>
  <c r="K117" i="29"/>
  <c r="L117" i="29"/>
  <c r="D117" i="29"/>
  <c r="K116" i="29"/>
  <c r="L116" i="29"/>
  <c r="D116" i="29"/>
  <c r="K115" i="29"/>
  <c r="K119" i="29"/>
  <c r="D115" i="29"/>
  <c r="J112" i="29"/>
  <c r="C112" i="29"/>
  <c r="L108" i="29"/>
  <c r="D108" i="29"/>
  <c r="C108" i="29"/>
  <c r="E108" i="29"/>
  <c r="D106" i="29"/>
  <c r="L105" i="29"/>
  <c r="D105" i="29"/>
  <c r="C105" i="29"/>
  <c r="E105" i="29"/>
  <c r="L104" i="29"/>
  <c r="D104" i="29"/>
  <c r="C104" i="29"/>
  <c r="E104" i="29"/>
  <c r="L103" i="29"/>
  <c r="D103" i="29"/>
  <c r="D101" i="29"/>
  <c r="K101" i="29"/>
  <c r="L99" i="29"/>
  <c r="D99" i="29"/>
  <c r="D109" i="29"/>
  <c r="C99" i="29"/>
  <c r="E99" i="29"/>
  <c r="L96" i="29"/>
  <c r="J86" i="29"/>
  <c r="C86" i="29"/>
  <c r="J82" i="29"/>
  <c r="C82" i="29"/>
  <c r="X78" i="29"/>
  <c r="J78" i="29"/>
  <c r="C78" i="29"/>
  <c r="X76" i="29"/>
  <c r="X79" i="29"/>
  <c r="D74" i="29"/>
  <c r="K73" i="29"/>
  <c r="D73" i="29"/>
  <c r="K72" i="29"/>
  <c r="D72" i="29"/>
  <c r="K71" i="29"/>
  <c r="D71" i="29"/>
  <c r="K70" i="29"/>
  <c r="K74" i="29"/>
  <c r="D70" i="29"/>
  <c r="X68" i="29"/>
  <c r="X67" i="29"/>
  <c r="J67" i="29"/>
  <c r="C67" i="29"/>
  <c r="L63" i="29"/>
  <c r="D63" i="29"/>
  <c r="C63" i="29"/>
  <c r="E63" i="29"/>
  <c r="D61" i="29"/>
  <c r="L60" i="29"/>
  <c r="D60" i="29"/>
  <c r="C60" i="29"/>
  <c r="E60" i="29"/>
  <c r="L59" i="29"/>
  <c r="D59" i="29"/>
  <c r="D57" i="29"/>
  <c r="K57" i="29"/>
  <c r="L55" i="29"/>
  <c r="D55" i="29"/>
  <c r="D64" i="29"/>
  <c r="C55" i="29"/>
  <c r="E55" i="29"/>
  <c r="L52" i="29"/>
  <c r="L72" i="29"/>
  <c r="R45" i="29"/>
  <c r="J43" i="29"/>
  <c r="C43" i="29"/>
  <c r="J39" i="29"/>
  <c r="C39" i="29"/>
  <c r="J35" i="29"/>
  <c r="C35" i="29"/>
  <c r="K31" i="29"/>
  <c r="L30" i="29"/>
  <c r="K30" i="29"/>
  <c r="D30" i="29"/>
  <c r="L29" i="29"/>
  <c r="K29" i="29"/>
  <c r="D29" i="29"/>
  <c r="L28" i="29"/>
  <c r="K28" i="29"/>
  <c r="D28" i="29"/>
  <c r="L27" i="29"/>
  <c r="K27" i="29"/>
  <c r="D27" i="29"/>
  <c r="D31" i="29"/>
  <c r="T26" i="29"/>
  <c r="B140" i="29"/>
  <c r="E140" i="29"/>
  <c r="S26" i="29"/>
  <c r="B8" i="29"/>
  <c r="E8" i="29"/>
  <c r="E30" i="29"/>
  <c r="R26" i="29"/>
  <c r="B96" i="29"/>
  <c r="E96" i="29"/>
  <c r="Q26" i="29"/>
  <c r="B52" i="29"/>
  <c r="E52" i="29"/>
  <c r="J24" i="29"/>
  <c r="C24" i="29"/>
  <c r="R20" i="29"/>
  <c r="L20" i="29"/>
  <c r="E20" i="29"/>
  <c r="D20" i="29"/>
  <c r="C20" i="29"/>
  <c r="L18" i="29"/>
  <c r="D18" i="29"/>
  <c r="C18" i="29"/>
  <c r="E18" i="29"/>
  <c r="R17" i="29"/>
  <c r="C59" i="29"/>
  <c r="E59" i="29"/>
  <c r="L17" i="29"/>
  <c r="D17" i="29"/>
  <c r="C17" i="29"/>
  <c r="E17" i="29"/>
  <c r="L16" i="29"/>
  <c r="D16" i="29"/>
  <c r="C16" i="29"/>
  <c r="E16" i="29"/>
  <c r="R15" i="29"/>
  <c r="L15" i="29"/>
  <c r="D15" i="29"/>
  <c r="C15" i="29"/>
  <c r="E15" i="29"/>
  <c r="D13" i="29"/>
  <c r="K13" i="29"/>
  <c r="L11" i="29"/>
  <c r="D11" i="29"/>
  <c r="D21" i="29"/>
  <c r="C11" i="29"/>
  <c r="E11" i="29"/>
  <c r="R8" i="29"/>
  <c r="L8" i="29"/>
  <c r="R7" i="29"/>
  <c r="R6" i="29"/>
  <c r="R5" i="29"/>
  <c r="R9" i="29"/>
  <c r="R10" i="29"/>
  <c r="M113" i="33"/>
  <c r="K106" i="29"/>
  <c r="L106" i="29"/>
  <c r="K61" i="29"/>
  <c r="L61" i="29"/>
  <c r="K21" i="29"/>
  <c r="L13" i="29"/>
  <c r="L21" i="29"/>
  <c r="L24" i="29"/>
  <c r="L25" i="29"/>
  <c r="E73" i="29"/>
  <c r="E72" i="29"/>
  <c r="E71" i="29"/>
  <c r="E70" i="29"/>
  <c r="L64" i="29"/>
  <c r="L67" i="29"/>
  <c r="L68" i="29"/>
  <c r="K64" i="29"/>
  <c r="L57" i="29"/>
  <c r="C145" i="29"/>
  <c r="E145" i="29"/>
  <c r="C101" i="29"/>
  <c r="E101" i="29"/>
  <c r="C106" i="29"/>
  <c r="E106" i="29"/>
  <c r="C150" i="29"/>
  <c r="E150" i="29"/>
  <c r="E27" i="29"/>
  <c r="E28" i="29"/>
  <c r="E29" i="29"/>
  <c r="C13" i="29"/>
  <c r="E13" i="29"/>
  <c r="E21" i="29"/>
  <c r="E24" i="29"/>
  <c r="E25" i="29"/>
  <c r="C103" i="29"/>
  <c r="E103" i="29"/>
  <c r="C147" i="29"/>
  <c r="E147" i="29"/>
  <c r="C57" i="29"/>
  <c r="E57" i="29"/>
  <c r="E64" i="29"/>
  <c r="E67" i="29"/>
  <c r="E68" i="29"/>
  <c r="L73" i="29"/>
  <c r="E115" i="29"/>
  <c r="E116" i="29"/>
  <c r="E117" i="29"/>
  <c r="E118" i="29"/>
  <c r="L145" i="29"/>
  <c r="K153" i="29"/>
  <c r="E159" i="29"/>
  <c r="E160" i="29"/>
  <c r="E161" i="29"/>
  <c r="E162" i="29"/>
  <c r="C61" i="29"/>
  <c r="E61" i="29"/>
  <c r="L70" i="29"/>
  <c r="L71" i="29"/>
  <c r="K109" i="29"/>
  <c r="L101" i="29"/>
  <c r="L109" i="29"/>
  <c r="L112" i="29"/>
  <c r="L113" i="29"/>
  <c r="L153" i="29"/>
  <c r="L156" i="29"/>
  <c r="L157" i="29"/>
  <c r="D119" i="29"/>
  <c r="D163" i="29"/>
  <c r="L115" i="29"/>
  <c r="L159" i="29"/>
  <c r="E109" i="29"/>
  <c r="E112" i="29"/>
  <c r="E113" i="29"/>
  <c r="E153" i="29"/>
  <c r="E156" i="29"/>
  <c r="E157" i="29"/>
  <c r="E165" i="29"/>
  <c r="L121" i="29"/>
  <c r="K113" i="29"/>
  <c r="E33" i="29"/>
  <c r="D25" i="29"/>
  <c r="L165" i="29"/>
  <c r="K157" i="29"/>
  <c r="E121" i="29"/>
  <c r="D113" i="29"/>
  <c r="D68" i="29"/>
  <c r="E76" i="29"/>
  <c r="K25" i="29"/>
  <c r="L33" i="29"/>
  <c r="L76" i="29"/>
  <c r="K68" i="29"/>
  <c r="D157" i="29"/>
  <c r="L80" i="29"/>
  <c r="L78" i="29"/>
  <c r="E167" i="29"/>
  <c r="E169" i="29"/>
  <c r="E123" i="29"/>
  <c r="E125" i="29"/>
  <c r="L169" i="29"/>
  <c r="L167" i="29"/>
  <c r="E35" i="29"/>
  <c r="E37" i="29"/>
  <c r="L125" i="29"/>
  <c r="L123" i="29"/>
  <c r="L35" i="29"/>
  <c r="L37" i="29"/>
  <c r="E78" i="29"/>
  <c r="E80" i="29"/>
  <c r="D45" i="29"/>
  <c r="E45" i="29"/>
  <c r="D44" i="29"/>
  <c r="E44" i="29"/>
  <c r="D42" i="29"/>
  <c r="E42" i="29"/>
  <c r="F43" i="29"/>
  <c r="F45" i="29"/>
  <c r="E39" i="29"/>
  <c r="D46" i="29"/>
  <c r="E46" i="29"/>
  <c r="D90" i="29"/>
  <c r="E90" i="29"/>
  <c r="D89" i="29"/>
  <c r="E89" i="29"/>
  <c r="D88" i="29"/>
  <c r="E88" i="29"/>
  <c r="D87" i="29"/>
  <c r="E87" i="29"/>
  <c r="D85" i="29"/>
  <c r="E85" i="29"/>
  <c r="F86" i="29"/>
  <c r="F89" i="29"/>
  <c r="E82" i="29"/>
  <c r="K42" i="29"/>
  <c r="L42" i="29"/>
  <c r="L43" i="29"/>
  <c r="L39" i="29"/>
  <c r="M37" i="29"/>
  <c r="M39" i="29"/>
  <c r="M42" i="29"/>
  <c r="M43" i="29"/>
  <c r="D15" i="24"/>
  <c r="K130" i="29"/>
  <c r="L130" i="29"/>
  <c r="L131" i="29"/>
  <c r="L127" i="29"/>
  <c r="M125" i="29"/>
  <c r="M127" i="29"/>
  <c r="M130" i="29"/>
  <c r="M131" i="29"/>
  <c r="D13" i="24"/>
  <c r="K174" i="29"/>
  <c r="L174" i="29"/>
  <c r="L175" i="29"/>
  <c r="L171" i="29"/>
  <c r="M169" i="29"/>
  <c r="M171" i="29"/>
  <c r="M174" i="29"/>
  <c r="M175" i="29"/>
  <c r="D17" i="24"/>
  <c r="D134" i="29"/>
  <c r="E134" i="29"/>
  <c r="D133" i="29"/>
  <c r="E133" i="29"/>
  <c r="D132" i="29"/>
  <c r="E132" i="29"/>
  <c r="D130" i="29"/>
  <c r="E130" i="29"/>
  <c r="F131" i="29"/>
  <c r="F134" i="29"/>
  <c r="E127" i="29"/>
  <c r="D178" i="29"/>
  <c r="E178" i="29"/>
  <c r="D177" i="29"/>
  <c r="E177" i="29"/>
  <c r="D176" i="29"/>
  <c r="E176" i="29"/>
  <c r="D174" i="29"/>
  <c r="E174" i="29"/>
  <c r="F175" i="29"/>
  <c r="F177" i="29"/>
  <c r="E171" i="29"/>
  <c r="K85" i="29"/>
  <c r="L85" i="29"/>
  <c r="L86" i="29"/>
  <c r="L82" i="29"/>
  <c r="M80" i="29"/>
  <c r="M82" i="29"/>
  <c r="M85" i="29"/>
  <c r="M86" i="29"/>
  <c r="D11" i="24"/>
  <c r="L177" i="29"/>
  <c r="D16" i="24"/>
  <c r="L89" i="29"/>
  <c r="D10" i="24"/>
  <c r="L134" i="29"/>
  <c r="D12" i="24"/>
  <c r="L45" i="29"/>
  <c r="D14" i="24"/>
  <c r="C166" i="27"/>
  <c r="K146" i="27"/>
  <c r="L143" i="27"/>
  <c r="L142" i="27"/>
  <c r="L140" i="27"/>
  <c r="L137" i="27"/>
  <c r="L105" i="27"/>
  <c r="L104" i="27"/>
  <c r="L103" i="27"/>
  <c r="K101" i="27"/>
  <c r="L99" i="27"/>
  <c r="L96" i="27"/>
  <c r="C88" i="27"/>
  <c r="L63" i="27"/>
  <c r="L62" i="27"/>
  <c r="L61" i="27"/>
  <c r="L59" i="27"/>
  <c r="K58" i="27"/>
  <c r="C41" i="27"/>
  <c r="L56" i="27"/>
  <c r="L53" i="27"/>
  <c r="P52" i="27"/>
  <c r="K74" i="27"/>
  <c r="L74" i="27"/>
  <c r="K72" i="27"/>
  <c r="P47" i="27"/>
  <c r="C26" i="27"/>
  <c r="C45" i="27"/>
  <c r="R44" i="27"/>
  <c r="D145" i="27"/>
  <c r="Q44" i="27"/>
  <c r="D108" i="27"/>
  <c r="P44" i="27"/>
  <c r="D65" i="27"/>
  <c r="O44" i="27"/>
  <c r="Q41" i="27"/>
  <c r="P41" i="27"/>
  <c r="D62" i="27"/>
  <c r="O41" i="27"/>
  <c r="D19" i="27"/>
  <c r="R40" i="27"/>
  <c r="D143" i="27"/>
  <c r="Q40" i="27"/>
  <c r="D104" i="27"/>
  <c r="P39" i="27"/>
  <c r="D61" i="27"/>
  <c r="O39" i="27"/>
  <c r="D18" i="27"/>
  <c r="R38" i="27"/>
  <c r="D142" i="27"/>
  <c r="Q38" i="27"/>
  <c r="D103" i="27"/>
  <c r="P36" i="27"/>
  <c r="D59" i="27"/>
  <c r="O36" i="27"/>
  <c r="O35" i="27"/>
  <c r="Q34" i="27"/>
  <c r="D101" i="27"/>
  <c r="P34" i="27"/>
  <c r="D58" i="27"/>
  <c r="O34" i="27"/>
  <c r="D14" i="27"/>
  <c r="O33" i="27"/>
  <c r="K32" i="27"/>
  <c r="D32" i="27"/>
  <c r="R31" i="27"/>
  <c r="D140" i="27"/>
  <c r="Q31" i="27"/>
  <c r="D99" i="27"/>
  <c r="P31" i="27"/>
  <c r="D56" i="27"/>
  <c r="O31" i="27"/>
  <c r="K31" i="27"/>
  <c r="R30" i="27"/>
  <c r="B137" i="27"/>
  <c r="E137" i="27"/>
  <c r="Q30" i="27"/>
  <c r="B96" i="27"/>
  <c r="E96" i="27"/>
  <c r="P30" i="27"/>
  <c r="B53" i="27"/>
  <c r="E53" i="27"/>
  <c r="O30" i="27"/>
  <c r="B8" i="27"/>
  <c r="E8" i="27"/>
  <c r="D30" i="27"/>
  <c r="J26" i="27"/>
  <c r="C105" i="27"/>
  <c r="E105" i="27"/>
  <c r="C143" i="27"/>
  <c r="E143" i="27"/>
  <c r="D22" i="27"/>
  <c r="C61" i="27"/>
  <c r="E61" i="27"/>
  <c r="C142" i="27"/>
  <c r="E142" i="27"/>
  <c r="L20" i="27"/>
  <c r="L19" i="27"/>
  <c r="C19" i="27"/>
  <c r="C59" i="27"/>
  <c r="E59" i="27"/>
  <c r="L18" i="27"/>
  <c r="C18" i="27"/>
  <c r="L16" i="27"/>
  <c r="D16" i="27"/>
  <c r="C16" i="27"/>
  <c r="L15" i="27"/>
  <c r="D15" i="27"/>
  <c r="C15" i="27"/>
  <c r="K14" i="27"/>
  <c r="K23" i="27"/>
  <c r="C56" i="27"/>
  <c r="L13" i="27"/>
  <c r="D13" i="27"/>
  <c r="L11" i="27"/>
  <c r="D11" i="27"/>
  <c r="P8" i="27"/>
  <c r="L8" i="27"/>
  <c r="P7" i="27"/>
  <c r="P6" i="27"/>
  <c r="P5" i="27"/>
  <c r="E19" i="27"/>
  <c r="L101" i="27"/>
  <c r="P9" i="27"/>
  <c r="P10" i="27"/>
  <c r="K106" i="27"/>
  <c r="K66" i="27"/>
  <c r="L58" i="27"/>
  <c r="L32" i="27"/>
  <c r="K75" i="27"/>
  <c r="L75" i="27"/>
  <c r="L31" i="27"/>
  <c r="L30" i="27"/>
  <c r="K29" i="27"/>
  <c r="C11" i="27"/>
  <c r="E18" i="27"/>
  <c r="E11" i="27"/>
  <c r="E56" i="27"/>
  <c r="E15" i="27"/>
  <c r="E16" i="27"/>
  <c r="D29" i="27"/>
  <c r="E29" i="27"/>
  <c r="E30" i="27"/>
  <c r="D31" i="27"/>
  <c r="E31" i="27"/>
  <c r="E32" i="27"/>
  <c r="L72" i="27"/>
  <c r="L14" i="27"/>
  <c r="P26" i="27"/>
  <c r="D146" i="27"/>
  <c r="P42" i="27"/>
  <c r="D63" i="27"/>
  <c r="D66" i="27"/>
  <c r="J112" i="27"/>
  <c r="C112" i="27"/>
  <c r="J149" i="27"/>
  <c r="C149" i="27"/>
  <c r="K116" i="27"/>
  <c r="D116" i="27"/>
  <c r="E116" i="27"/>
  <c r="K153" i="27"/>
  <c r="L153" i="27"/>
  <c r="D153" i="27"/>
  <c r="E153" i="27"/>
  <c r="P53" i="27"/>
  <c r="C162" i="27"/>
  <c r="C62" i="27"/>
  <c r="E62" i="27"/>
  <c r="C63" i="27"/>
  <c r="C69" i="27"/>
  <c r="J69" i="27"/>
  <c r="D72" i="27"/>
  <c r="D73" i="27"/>
  <c r="E73" i="27"/>
  <c r="K73" i="27"/>
  <c r="D74" i="27"/>
  <c r="E74" i="27"/>
  <c r="D75" i="27"/>
  <c r="E75" i="27"/>
  <c r="C84" i="27"/>
  <c r="C103" i="27"/>
  <c r="E103" i="27"/>
  <c r="K109" i="27"/>
  <c r="C140" i="27"/>
  <c r="E140" i="27"/>
  <c r="C99" i="27"/>
  <c r="E99" i="27"/>
  <c r="K115" i="27"/>
  <c r="D115" i="27"/>
  <c r="K152" i="27"/>
  <c r="D152" i="27"/>
  <c r="C104" i="27"/>
  <c r="E104" i="27"/>
  <c r="D34" i="26"/>
  <c r="R48" i="26"/>
  <c r="D26" i="26"/>
  <c r="R47" i="26"/>
  <c r="K25" i="26"/>
  <c r="R46" i="26"/>
  <c r="R43" i="26"/>
  <c r="R42" i="26"/>
  <c r="D20" i="26"/>
  <c r="R41" i="26"/>
  <c r="D19" i="26"/>
  <c r="R39" i="26"/>
  <c r="R38" i="26"/>
  <c r="D16" i="26"/>
  <c r="R37" i="26"/>
  <c r="R36" i="26"/>
  <c r="K14" i="26"/>
  <c r="R35" i="26"/>
  <c r="K34" i="26"/>
  <c r="R33" i="26"/>
  <c r="D11" i="26"/>
  <c r="R32" i="26"/>
  <c r="B8" i="26"/>
  <c r="E8" i="26"/>
  <c r="K26" i="26"/>
  <c r="K24" i="26"/>
  <c r="D24" i="26"/>
  <c r="K21" i="26"/>
  <c r="K20" i="26"/>
  <c r="K19" i="26"/>
  <c r="K17" i="26"/>
  <c r="D17" i="26"/>
  <c r="C16" i="26"/>
  <c r="K15" i="26"/>
  <c r="D15" i="26"/>
  <c r="C15" i="26"/>
  <c r="K13" i="26"/>
  <c r="D13" i="26"/>
  <c r="R9" i="26"/>
  <c r="R10" i="26"/>
  <c r="R8" i="26"/>
  <c r="L8" i="26"/>
  <c r="L34" i="26"/>
  <c r="R7" i="26"/>
  <c r="R6" i="26"/>
  <c r="R5" i="26"/>
  <c r="M93" i="25"/>
  <c r="M89" i="25"/>
  <c r="M88" i="25"/>
  <c r="O88" i="25"/>
  <c r="L88" i="25"/>
  <c r="N88" i="25"/>
  <c r="N87" i="25"/>
  <c r="M87" i="25"/>
  <c r="O87" i="25"/>
  <c r="O86" i="25"/>
  <c r="N86" i="25"/>
  <c r="N89" i="25"/>
  <c r="X58" i="25"/>
  <c r="C39" i="25"/>
  <c r="R35" i="25"/>
  <c r="S35" i="25"/>
  <c r="X52" i="25"/>
  <c r="C30" i="25"/>
  <c r="C47" i="25"/>
  <c r="AK43" i="25"/>
  <c r="AK44" i="25"/>
  <c r="C43" i="25"/>
  <c r="AK34" i="25"/>
  <c r="R34" i="25"/>
  <c r="S34" i="25"/>
  <c r="D34" i="25"/>
  <c r="E34" i="25"/>
  <c r="AK33" i="25"/>
  <c r="D33" i="25"/>
  <c r="D35" i="25"/>
  <c r="C25" i="25"/>
  <c r="E25" i="25"/>
  <c r="R27" i="25"/>
  <c r="K27" i="25"/>
  <c r="R26" i="25"/>
  <c r="Q26" i="25"/>
  <c r="S26" i="25"/>
  <c r="K26" i="25"/>
  <c r="J26" i="25"/>
  <c r="D26" i="25"/>
  <c r="D25" i="25"/>
  <c r="X25" i="25"/>
  <c r="R24" i="25"/>
  <c r="K24" i="25"/>
  <c r="Q23" i="25"/>
  <c r="S23" i="25"/>
  <c r="D23" i="25"/>
  <c r="R22" i="25"/>
  <c r="K22" i="25"/>
  <c r="D22" i="25"/>
  <c r="R21" i="25"/>
  <c r="Q21" i="25"/>
  <c r="S21" i="25"/>
  <c r="K21" i="25"/>
  <c r="J21" i="25"/>
  <c r="D21" i="25"/>
  <c r="C21" i="25"/>
  <c r="E21" i="25"/>
  <c r="S18" i="25"/>
  <c r="R20" i="25"/>
  <c r="Q20" i="25"/>
  <c r="S20" i="25"/>
  <c r="K20" i="25"/>
  <c r="J20" i="25"/>
  <c r="D20" i="25"/>
  <c r="C20" i="25"/>
  <c r="E20" i="25"/>
  <c r="R18" i="25"/>
  <c r="K18" i="25"/>
  <c r="D18" i="25"/>
  <c r="J15" i="25"/>
  <c r="R17" i="25"/>
  <c r="Q17" i="25"/>
  <c r="S17" i="25"/>
  <c r="K17" i="25"/>
  <c r="J17" i="25"/>
  <c r="D17" i="25"/>
  <c r="C17" i="25"/>
  <c r="E17" i="25"/>
  <c r="R16" i="25"/>
  <c r="Q16" i="25"/>
  <c r="S16" i="25"/>
  <c r="K16" i="25"/>
  <c r="J16" i="25"/>
  <c r="D16" i="25"/>
  <c r="C16" i="25"/>
  <c r="E16" i="25"/>
  <c r="Q13" i="25"/>
  <c r="S13" i="25"/>
  <c r="Q15" i="25"/>
  <c r="D15" i="25"/>
  <c r="R14" i="25"/>
  <c r="Q14" i="25"/>
  <c r="S14" i="25"/>
  <c r="K14" i="25"/>
  <c r="J14" i="25"/>
  <c r="D14" i="25"/>
  <c r="C14" i="25"/>
  <c r="E14" i="25"/>
  <c r="R13" i="25"/>
  <c r="K13" i="25"/>
  <c r="D13" i="25"/>
  <c r="R11" i="25"/>
  <c r="S11" i="25"/>
  <c r="K11" i="25"/>
  <c r="L11" i="25"/>
  <c r="D11" i="25"/>
  <c r="D27" i="25"/>
  <c r="C11" i="25"/>
  <c r="E11" i="25"/>
  <c r="X8" i="25"/>
  <c r="S8" i="25"/>
  <c r="P8" i="25"/>
  <c r="L8" i="25"/>
  <c r="I8" i="25"/>
  <c r="E8" i="25"/>
  <c r="B8" i="25"/>
  <c r="X7" i="25"/>
  <c r="X6" i="25"/>
  <c r="X5" i="25"/>
  <c r="X9" i="25"/>
  <c r="X10" i="25"/>
  <c r="G2" i="25"/>
  <c r="K16" i="26"/>
  <c r="L16" i="26"/>
  <c r="S22" i="33"/>
  <c r="I25" i="8"/>
  <c r="J21" i="7"/>
  <c r="L73" i="27"/>
  <c r="L116" i="27"/>
  <c r="Q42" i="27"/>
  <c r="D106" i="27"/>
  <c r="D109" i="27"/>
  <c r="L106" i="27"/>
  <c r="O42" i="27"/>
  <c r="D20" i="27"/>
  <c r="D23" i="27"/>
  <c r="J108" i="27"/>
  <c r="J145" i="27"/>
  <c r="L145" i="27"/>
  <c r="L146" i="27"/>
  <c r="L149" i="27"/>
  <c r="L150" i="27"/>
  <c r="J65" i="27"/>
  <c r="J22" i="27"/>
  <c r="K33" i="27"/>
  <c r="L29" i="27"/>
  <c r="L35" i="25"/>
  <c r="L26" i="25"/>
  <c r="L21" i="25"/>
  <c r="L20" i="25"/>
  <c r="L17" i="25"/>
  <c r="L16" i="25"/>
  <c r="L14" i="25"/>
  <c r="E33" i="25"/>
  <c r="C13" i="25"/>
  <c r="E13" i="25"/>
  <c r="J13" i="25"/>
  <c r="E63" i="27"/>
  <c r="L15" i="26"/>
  <c r="C106" i="27"/>
  <c r="C20" i="27"/>
  <c r="E20" i="27"/>
  <c r="C15" i="25"/>
  <c r="E15" i="25"/>
  <c r="C18" i="25"/>
  <c r="E18" i="25"/>
  <c r="L18" i="25"/>
  <c r="C22" i="25"/>
  <c r="E22" i="25"/>
  <c r="J22" i="25"/>
  <c r="Q22" i="25"/>
  <c r="S22" i="25"/>
  <c r="J23" i="25"/>
  <c r="K36" i="25"/>
  <c r="X56" i="25"/>
  <c r="E34" i="26"/>
  <c r="K11" i="26"/>
  <c r="D14" i="26"/>
  <c r="D25" i="26"/>
  <c r="D33" i="27"/>
  <c r="E152" i="27"/>
  <c r="D154" i="27"/>
  <c r="D117" i="27"/>
  <c r="E115" i="27"/>
  <c r="E72" i="27"/>
  <c r="D76" i="27"/>
  <c r="C145" i="27"/>
  <c r="E145" i="27"/>
  <c r="C22" i="27"/>
  <c r="E22" i="27"/>
  <c r="C108" i="27"/>
  <c r="E108" i="27"/>
  <c r="C65" i="27"/>
  <c r="E65" i="27"/>
  <c r="K154" i="27"/>
  <c r="L152" i="27"/>
  <c r="K117" i="27"/>
  <c r="L115" i="27"/>
  <c r="E146" i="27"/>
  <c r="E149" i="27"/>
  <c r="E150" i="27"/>
  <c r="K76" i="27"/>
  <c r="K22" i="26"/>
  <c r="R44" i="26"/>
  <c r="D22" i="26"/>
  <c r="E15" i="26"/>
  <c r="E16" i="26"/>
  <c r="D21" i="26"/>
  <c r="J24" i="25"/>
  <c r="C23" i="25"/>
  <c r="E23" i="25"/>
  <c r="Q24" i="25"/>
  <c r="S24" i="25"/>
  <c r="AK45" i="25"/>
  <c r="AK46" i="25"/>
  <c r="R15" i="25"/>
  <c r="O89" i="25"/>
  <c r="AA6" i="25"/>
  <c r="AK35" i="25"/>
  <c r="AK36" i="25"/>
  <c r="K15" i="25"/>
  <c r="R36" i="25"/>
  <c r="L34" i="25"/>
  <c r="M57" i="3"/>
  <c r="E106" i="27"/>
  <c r="L108" i="27"/>
  <c r="L109" i="27"/>
  <c r="L112" i="27"/>
  <c r="L113" i="27"/>
  <c r="L119" i="27"/>
  <c r="L65" i="27"/>
  <c r="L66" i="27"/>
  <c r="L69" i="27"/>
  <c r="L70" i="27"/>
  <c r="K70" i="27"/>
  <c r="L22" i="27"/>
  <c r="L23" i="27"/>
  <c r="L26" i="27"/>
  <c r="L27" i="27"/>
  <c r="K27" i="27"/>
  <c r="K150" i="27"/>
  <c r="L156" i="27"/>
  <c r="D27" i="26"/>
  <c r="L24" i="25"/>
  <c r="L23" i="25"/>
  <c r="L22" i="25"/>
  <c r="L13" i="25"/>
  <c r="K27" i="26"/>
  <c r="L11" i="26"/>
  <c r="E156" i="27"/>
  <c r="D150" i="27"/>
  <c r="K113" i="27"/>
  <c r="K28" i="25"/>
  <c r="L15" i="25"/>
  <c r="R28" i="25"/>
  <c r="S15" i="25"/>
  <c r="J27" i="25"/>
  <c r="Q27" i="25"/>
  <c r="S27" i="25"/>
  <c r="C26" i="25"/>
  <c r="E26" i="25"/>
  <c r="E27" i="25"/>
  <c r="E30" i="25"/>
  <c r="E31" i="25"/>
  <c r="R5" i="2"/>
  <c r="R9" i="2"/>
  <c r="R10" i="2"/>
  <c r="R6" i="2"/>
  <c r="R7" i="2"/>
  <c r="L8" i="2"/>
  <c r="R8" i="2"/>
  <c r="J16" i="2"/>
  <c r="R17" i="2"/>
  <c r="C15" i="2"/>
  <c r="R18" i="2"/>
  <c r="C16" i="2"/>
  <c r="R32" i="2"/>
  <c r="B8" i="2"/>
  <c r="E8" i="2"/>
  <c r="R33" i="2"/>
  <c r="D11" i="2"/>
  <c r="R35" i="2"/>
  <c r="D13" i="2"/>
  <c r="R36" i="2"/>
  <c r="K14" i="2"/>
  <c r="R37" i="2"/>
  <c r="K15" i="2"/>
  <c r="R38" i="2"/>
  <c r="D16" i="2"/>
  <c r="R39" i="2"/>
  <c r="K17" i="2"/>
  <c r="R41" i="2"/>
  <c r="K19" i="2"/>
  <c r="R42" i="2"/>
  <c r="D20" i="2"/>
  <c r="R43" i="2"/>
  <c r="D21" i="2"/>
  <c r="R46" i="2"/>
  <c r="K24" i="2"/>
  <c r="C47" i="2"/>
  <c r="J47" i="2"/>
  <c r="R47" i="2"/>
  <c r="D25" i="2"/>
  <c r="R48" i="2"/>
  <c r="D26" i="2"/>
  <c r="R54" i="2"/>
  <c r="D34" i="2"/>
  <c r="T5" i="3"/>
  <c r="T6" i="3"/>
  <c r="T7" i="3"/>
  <c r="L8" i="3"/>
  <c r="N8" i="3"/>
  <c r="T8" i="3"/>
  <c r="T9" i="3"/>
  <c r="T10" i="3"/>
  <c r="L11" i="3"/>
  <c r="N11" i="3"/>
  <c r="L13" i="3"/>
  <c r="N13" i="3"/>
  <c r="C55" i="3"/>
  <c r="D15" i="3"/>
  <c r="L15" i="3"/>
  <c r="N15" i="3"/>
  <c r="D16" i="3"/>
  <c r="L16" i="3"/>
  <c r="N16" i="3"/>
  <c r="L17" i="3"/>
  <c r="N17" i="3"/>
  <c r="C15" i="3"/>
  <c r="E15" i="3"/>
  <c r="C16" i="3"/>
  <c r="E16" i="3"/>
  <c r="C17" i="3"/>
  <c r="K21" i="3"/>
  <c r="S26" i="3"/>
  <c r="B52" i="3"/>
  <c r="E52" i="3"/>
  <c r="T26" i="3"/>
  <c r="B96" i="3"/>
  <c r="E96" i="3"/>
  <c r="U26" i="3"/>
  <c r="B8" i="3"/>
  <c r="E8" i="3"/>
  <c r="V26" i="3"/>
  <c r="S27" i="3"/>
  <c r="D55" i="3"/>
  <c r="E55" i="3"/>
  <c r="T27" i="3"/>
  <c r="U27" i="3"/>
  <c r="D11" i="3"/>
  <c r="V27" i="3"/>
  <c r="D143" i="3"/>
  <c r="S29" i="3"/>
  <c r="D57" i="3"/>
  <c r="T29" i="3"/>
  <c r="D101" i="3"/>
  <c r="U29" i="3"/>
  <c r="D13" i="3"/>
  <c r="V29" i="3"/>
  <c r="U33" i="3"/>
  <c r="D17" i="3"/>
  <c r="V33" i="3"/>
  <c r="S36" i="3"/>
  <c r="D63" i="3"/>
  <c r="T36" i="3"/>
  <c r="U36" i="3"/>
  <c r="D20" i="3"/>
  <c r="V36" i="3"/>
  <c r="D152" i="3"/>
  <c r="T39" i="3"/>
  <c r="C112" i="3"/>
  <c r="K116" i="3"/>
  <c r="D29" i="3"/>
  <c r="K118" i="3"/>
  <c r="T47" i="3"/>
  <c r="C78" i="3"/>
  <c r="L52" i="3"/>
  <c r="N52" i="3"/>
  <c r="L55" i="3"/>
  <c r="N55" i="3"/>
  <c r="L57" i="3"/>
  <c r="N57" i="3"/>
  <c r="C59" i="3"/>
  <c r="D59" i="3"/>
  <c r="L59" i="3"/>
  <c r="N59" i="3"/>
  <c r="C60" i="3"/>
  <c r="D60" i="3"/>
  <c r="L60" i="3"/>
  <c r="N60" i="3"/>
  <c r="Z67" i="3"/>
  <c r="Z68" i="3"/>
  <c r="D72" i="3"/>
  <c r="K72" i="3"/>
  <c r="L72" i="3"/>
  <c r="M72" i="3"/>
  <c r="N72" i="3"/>
  <c r="Z76" i="3"/>
  <c r="Z78" i="3"/>
  <c r="L96" i="3"/>
  <c r="N96" i="3"/>
  <c r="D99" i="3"/>
  <c r="L99" i="3"/>
  <c r="N99" i="3"/>
  <c r="L101" i="3"/>
  <c r="M101" i="3"/>
  <c r="N101" i="3"/>
  <c r="C103" i="3"/>
  <c r="D103" i="3"/>
  <c r="L103" i="3"/>
  <c r="N103" i="3"/>
  <c r="C104" i="3"/>
  <c r="D104" i="3"/>
  <c r="L104" i="3"/>
  <c r="N104" i="3"/>
  <c r="D105" i="3"/>
  <c r="L105" i="3"/>
  <c r="N105" i="3"/>
  <c r="K106" i="3"/>
  <c r="D108" i="3"/>
  <c r="D115" i="3"/>
  <c r="K115" i="3"/>
  <c r="M115" i="3"/>
  <c r="D117" i="3"/>
  <c r="K117" i="3"/>
  <c r="L117" i="3"/>
  <c r="M117" i="3"/>
  <c r="N117" i="3"/>
  <c r="B140" i="3"/>
  <c r="E140" i="3"/>
  <c r="L140" i="3"/>
  <c r="N140" i="3"/>
  <c r="C143" i="3"/>
  <c r="L143" i="3"/>
  <c r="N143" i="3"/>
  <c r="D145" i="3"/>
  <c r="L145" i="3"/>
  <c r="M145" i="3"/>
  <c r="N145" i="3"/>
  <c r="C147" i="3"/>
  <c r="D147" i="3"/>
  <c r="L147" i="3"/>
  <c r="N147" i="3"/>
  <c r="C148" i="3"/>
  <c r="D148" i="3"/>
  <c r="L148" i="3"/>
  <c r="N148" i="3"/>
  <c r="D149" i="3"/>
  <c r="L149" i="3"/>
  <c r="N149" i="3"/>
  <c r="K153" i="3"/>
  <c r="D159" i="3"/>
  <c r="K159" i="3"/>
  <c r="M159" i="3"/>
  <c r="D161" i="3"/>
  <c r="K161" i="3"/>
  <c r="L161" i="3"/>
  <c r="M161" i="3"/>
  <c r="M162" i="3"/>
  <c r="L159" i="3"/>
  <c r="E147" i="3"/>
  <c r="E103" i="3"/>
  <c r="N162" i="3"/>
  <c r="N159" i="3"/>
  <c r="Z79" i="3"/>
  <c r="E59" i="3"/>
  <c r="N161" i="3"/>
  <c r="L115" i="3"/>
  <c r="L118" i="3"/>
  <c r="L116" i="3"/>
  <c r="M18" i="3"/>
  <c r="M61" i="3"/>
  <c r="M150" i="3"/>
  <c r="M106" i="3"/>
  <c r="C123" i="3"/>
  <c r="L35" i="27"/>
  <c r="L78" i="27"/>
  <c r="J167" i="3"/>
  <c r="E104" i="3"/>
  <c r="L27" i="25"/>
  <c r="L28" i="25"/>
  <c r="D160" i="3"/>
  <c r="E160" i="3"/>
  <c r="E72" i="3"/>
  <c r="E29" i="3"/>
  <c r="T22" i="3"/>
  <c r="C152" i="3"/>
  <c r="E152" i="3"/>
  <c r="E34" i="2"/>
  <c r="E148" i="3"/>
  <c r="K29" i="3"/>
  <c r="L29" i="3"/>
  <c r="D30" i="3"/>
  <c r="E30" i="3"/>
  <c r="D118" i="3"/>
  <c r="E118" i="3"/>
  <c r="M118" i="3"/>
  <c r="N118" i="3"/>
  <c r="K162" i="3"/>
  <c r="L162" i="3"/>
  <c r="D28" i="3"/>
  <c r="E28" i="3"/>
  <c r="T45" i="3"/>
  <c r="D116" i="3"/>
  <c r="M116" i="3"/>
  <c r="N116" i="3"/>
  <c r="K160" i="3"/>
  <c r="L160" i="3"/>
  <c r="C24" i="3"/>
  <c r="Q31" i="25"/>
  <c r="R51" i="26"/>
  <c r="J31" i="25"/>
  <c r="C67" i="3"/>
  <c r="J112" i="3"/>
  <c r="J156" i="3"/>
  <c r="R51" i="2"/>
  <c r="C30" i="2"/>
  <c r="E143" i="3"/>
  <c r="D162" i="3"/>
  <c r="E162" i="3"/>
  <c r="M160" i="3"/>
  <c r="C156" i="3"/>
  <c r="E117" i="3"/>
  <c r="N115" i="3"/>
  <c r="E115" i="3"/>
  <c r="J67" i="3"/>
  <c r="P55" i="27"/>
  <c r="J39" i="26"/>
  <c r="Z58" i="25"/>
  <c r="J35" i="3"/>
  <c r="J78" i="3"/>
  <c r="J123" i="3"/>
  <c r="C167" i="3"/>
  <c r="J39" i="2"/>
  <c r="C35" i="3"/>
  <c r="C11" i="3"/>
  <c r="E11" i="3"/>
  <c r="E161" i="3"/>
  <c r="E159" i="3"/>
  <c r="C149" i="3"/>
  <c r="E149" i="3"/>
  <c r="C105" i="3"/>
  <c r="E105" i="3"/>
  <c r="C99" i="3"/>
  <c r="E99" i="3"/>
  <c r="E60" i="3"/>
  <c r="D27" i="3"/>
  <c r="M29" i="3"/>
  <c r="T20" i="3"/>
  <c r="R53" i="2"/>
  <c r="D33" i="2"/>
  <c r="D35" i="2"/>
  <c r="R44" i="2"/>
  <c r="D22" i="2"/>
  <c r="S28" i="25"/>
  <c r="D31" i="25"/>
  <c r="E37" i="25"/>
  <c r="E16" i="2"/>
  <c r="K26" i="2"/>
  <c r="K25" i="2"/>
  <c r="D24" i="2"/>
  <c r="K21" i="2"/>
  <c r="K20" i="2"/>
  <c r="D19" i="2"/>
  <c r="D17" i="2"/>
  <c r="K16" i="2"/>
  <c r="L16" i="2"/>
  <c r="J15" i="2"/>
  <c r="L15" i="2"/>
  <c r="D15" i="2"/>
  <c r="E15" i="2"/>
  <c r="D14" i="2"/>
  <c r="K13" i="2"/>
  <c r="K11" i="2"/>
  <c r="K34" i="2"/>
  <c r="L34" i="2"/>
  <c r="M153" i="3"/>
  <c r="K119" i="3"/>
  <c r="M109" i="3"/>
  <c r="K109" i="3"/>
  <c r="E17" i="3"/>
  <c r="E27" i="3"/>
  <c r="S34" i="3"/>
  <c r="D61" i="3"/>
  <c r="D64" i="3"/>
  <c r="U34" i="3"/>
  <c r="D18" i="3"/>
  <c r="T34" i="3"/>
  <c r="D106" i="3"/>
  <c r="V34" i="3"/>
  <c r="D150" i="3"/>
  <c r="K61" i="3"/>
  <c r="M73" i="3"/>
  <c r="N73" i="3"/>
  <c r="K73" i="3"/>
  <c r="L73" i="3"/>
  <c r="D73" i="3"/>
  <c r="E73" i="3"/>
  <c r="M71" i="3"/>
  <c r="N71" i="3"/>
  <c r="K71" i="3"/>
  <c r="L71" i="3"/>
  <c r="D71" i="3"/>
  <c r="E71" i="3"/>
  <c r="M70" i="3"/>
  <c r="K70" i="3"/>
  <c r="D70" i="3"/>
  <c r="J24" i="3"/>
  <c r="M30" i="3"/>
  <c r="N30" i="3"/>
  <c r="K30" i="3"/>
  <c r="L30" i="3"/>
  <c r="M28" i="3"/>
  <c r="K28" i="3"/>
  <c r="L28" i="3"/>
  <c r="M27" i="3"/>
  <c r="K27" i="3"/>
  <c r="J106" i="3"/>
  <c r="J61" i="3"/>
  <c r="J18" i="3"/>
  <c r="M21" i="3"/>
  <c r="E33" i="2"/>
  <c r="R55" i="2"/>
  <c r="C108" i="3"/>
  <c r="E108" i="3"/>
  <c r="J108" i="3"/>
  <c r="J63" i="3"/>
  <c r="N27" i="3"/>
  <c r="M31" i="3"/>
  <c r="C20" i="3"/>
  <c r="E20" i="3"/>
  <c r="J20" i="3"/>
  <c r="N29" i="3"/>
  <c r="N28" i="3"/>
  <c r="L31" i="25"/>
  <c r="L32" i="25"/>
  <c r="K32" i="25"/>
  <c r="S31" i="25"/>
  <c r="S32" i="25"/>
  <c r="R32" i="25"/>
  <c r="D31" i="3"/>
  <c r="C63" i="3"/>
  <c r="E63" i="3"/>
  <c r="D163" i="3"/>
  <c r="D21" i="3"/>
  <c r="J40" i="25"/>
  <c r="Q40" i="25"/>
  <c r="J80" i="27"/>
  <c r="L80" i="27"/>
  <c r="L82" i="27"/>
  <c r="C37" i="27"/>
  <c r="C121" i="27"/>
  <c r="C158" i="27"/>
  <c r="E158" i="27"/>
  <c r="E160" i="27"/>
  <c r="E162" i="27"/>
  <c r="J37" i="27"/>
  <c r="C80" i="27"/>
  <c r="J121" i="27"/>
  <c r="J158" i="27"/>
  <c r="L158" i="27"/>
  <c r="L160" i="27"/>
  <c r="E116" i="3"/>
  <c r="D119" i="3"/>
  <c r="K163" i="3"/>
  <c r="J30" i="2"/>
  <c r="K33" i="2"/>
  <c r="K35" i="2"/>
  <c r="C18" i="3"/>
  <c r="E18" i="3"/>
  <c r="C61" i="3"/>
  <c r="E61" i="3"/>
  <c r="C150" i="3"/>
  <c r="E150" i="3"/>
  <c r="C106" i="3"/>
  <c r="E106" i="3"/>
  <c r="R55" i="26"/>
  <c r="K33" i="26"/>
  <c r="D33" i="26"/>
  <c r="M119" i="3"/>
  <c r="N160" i="3"/>
  <c r="M163" i="3"/>
  <c r="C30" i="26"/>
  <c r="J30" i="26"/>
  <c r="E39" i="25"/>
  <c r="E41" i="25"/>
  <c r="K22" i="2"/>
  <c r="K27" i="2"/>
  <c r="D27" i="2"/>
  <c r="D74" i="3"/>
  <c r="E70" i="3"/>
  <c r="M74" i="3"/>
  <c r="N70" i="3"/>
  <c r="L61" i="3"/>
  <c r="K64" i="3"/>
  <c r="L27" i="3"/>
  <c r="K31" i="3"/>
  <c r="L70" i="3"/>
  <c r="K74" i="3"/>
  <c r="M64" i="3"/>
  <c r="N61" i="3"/>
  <c r="D109" i="3"/>
  <c r="D153" i="3"/>
  <c r="N18" i="3"/>
  <c r="L18" i="3"/>
  <c r="J150" i="3"/>
  <c r="N106" i="3"/>
  <c r="L106" i="3"/>
  <c r="L121" i="27"/>
  <c r="L123" i="27"/>
  <c r="L125" i="27"/>
  <c r="L37" i="27"/>
  <c r="L39" i="27"/>
  <c r="K44" i="27"/>
  <c r="L44" i="27"/>
  <c r="H5" i="41"/>
  <c r="I5" i="41"/>
  <c r="L10" i="41"/>
  <c r="D168" i="27"/>
  <c r="E168" i="27"/>
  <c r="D165" i="27"/>
  <c r="E165" i="27"/>
  <c r="F166" i="27"/>
  <c r="F167" i="27"/>
  <c r="D169" i="27"/>
  <c r="E169" i="27"/>
  <c r="J152" i="3"/>
  <c r="N108" i="3"/>
  <c r="L108" i="3"/>
  <c r="N63" i="3"/>
  <c r="N64" i="3"/>
  <c r="N67" i="3"/>
  <c r="N68" i="3"/>
  <c r="M68" i="3"/>
  <c r="L63" i="3"/>
  <c r="L64" i="3"/>
  <c r="L67" i="3"/>
  <c r="L68" i="3"/>
  <c r="L33" i="2"/>
  <c r="L20" i="3"/>
  <c r="L21" i="3"/>
  <c r="L24" i="3"/>
  <c r="L25" i="3"/>
  <c r="L33" i="3"/>
  <c r="N20" i="3"/>
  <c r="L38" i="25"/>
  <c r="L40" i="25"/>
  <c r="L42" i="25"/>
  <c r="S38" i="25"/>
  <c r="S40" i="25"/>
  <c r="S42" i="25"/>
  <c r="D167" i="27"/>
  <c r="E167" i="27"/>
  <c r="K35" i="26"/>
  <c r="L33" i="26"/>
  <c r="K87" i="27"/>
  <c r="L87" i="27"/>
  <c r="L88" i="27"/>
  <c r="L89" i="27"/>
  <c r="H26" i="24"/>
  <c r="L84" i="27"/>
  <c r="D35" i="26"/>
  <c r="E33" i="26"/>
  <c r="K165" i="27"/>
  <c r="L165" i="27"/>
  <c r="L166" i="27"/>
  <c r="L167" i="27"/>
  <c r="L162" i="27"/>
  <c r="D53" i="25"/>
  <c r="E53" i="25"/>
  <c r="D52" i="25"/>
  <c r="E52" i="25"/>
  <c r="D50" i="25"/>
  <c r="E50" i="25"/>
  <c r="D46" i="25"/>
  <c r="E46" i="25"/>
  <c r="F47" i="25"/>
  <c r="E43" i="25"/>
  <c r="D54" i="25"/>
  <c r="E54" i="25"/>
  <c r="D51" i="25"/>
  <c r="E51" i="25"/>
  <c r="D48" i="25"/>
  <c r="E48" i="25"/>
  <c r="BB64" i="23"/>
  <c r="BF40" i="23"/>
  <c r="BE40" i="23"/>
  <c r="BD40" i="23"/>
  <c r="BD39" i="23"/>
  <c r="BE39" i="23"/>
  <c r="BF39" i="23"/>
  <c r="BC39" i="23"/>
  <c r="BF37" i="23"/>
  <c r="BE37" i="23"/>
  <c r="BD37" i="23"/>
  <c r="BC37" i="23"/>
  <c r="AW38" i="23"/>
  <c r="BC36" i="23"/>
  <c r="BE36" i="23"/>
  <c r="BE35" i="23"/>
  <c r="N109" i="3"/>
  <c r="N112" i="3"/>
  <c r="N113" i="3"/>
  <c r="N121" i="3"/>
  <c r="N123" i="3"/>
  <c r="N125" i="3"/>
  <c r="N127" i="3"/>
  <c r="N150" i="3"/>
  <c r="L150" i="3"/>
  <c r="L109" i="3"/>
  <c r="L112" i="3"/>
  <c r="L113" i="3"/>
  <c r="L121" i="3"/>
  <c r="L123" i="3"/>
  <c r="L125" i="3"/>
  <c r="K128" i="27"/>
  <c r="L128" i="27"/>
  <c r="L129" i="27"/>
  <c r="L130" i="27"/>
  <c r="H5" i="24"/>
  <c r="N21" i="37"/>
  <c r="K25" i="3"/>
  <c r="L45" i="27"/>
  <c r="L46" i="27"/>
  <c r="N21" i="3"/>
  <c r="N24" i="3"/>
  <c r="N25" i="3"/>
  <c r="H7" i="41"/>
  <c r="I7" i="41"/>
  <c r="L41" i="27"/>
  <c r="N76" i="3"/>
  <c r="N78" i="3"/>
  <c r="N80" i="3"/>
  <c r="H9" i="41"/>
  <c r="L76" i="3"/>
  <c r="L78" i="3"/>
  <c r="L80" i="3"/>
  <c r="K68" i="3"/>
  <c r="K113" i="3"/>
  <c r="N152" i="3"/>
  <c r="N153" i="3"/>
  <c r="N156" i="3"/>
  <c r="N157" i="3"/>
  <c r="L152" i="3"/>
  <c r="H4" i="24"/>
  <c r="N14" i="37"/>
  <c r="G136" i="6"/>
  <c r="R47" i="25"/>
  <c r="S47" i="25"/>
  <c r="S48" i="25"/>
  <c r="S44" i="25"/>
  <c r="T42" i="25"/>
  <c r="T44" i="25"/>
  <c r="T47" i="25"/>
  <c r="T48" i="25"/>
  <c r="M42" i="25"/>
  <c r="M44" i="25"/>
  <c r="M47" i="25"/>
  <c r="M48" i="25"/>
  <c r="K47" i="25"/>
  <c r="L47" i="25"/>
  <c r="L48" i="25"/>
  <c r="L44" i="25"/>
  <c r="F53" i="25"/>
  <c r="F52" i="25"/>
  <c r="F50" i="25"/>
  <c r="F54" i="25"/>
  <c r="F51" i="25"/>
  <c r="F48" i="25"/>
  <c r="L35" i="3"/>
  <c r="L37" i="3"/>
  <c r="M92" i="1"/>
  <c r="O86" i="1"/>
  <c r="M86" i="1"/>
  <c r="N86" i="1"/>
  <c r="O88" i="1"/>
  <c r="O85" i="1"/>
  <c r="M88" i="1"/>
  <c r="N88" i="1"/>
  <c r="N87" i="1"/>
  <c r="O87" i="1"/>
  <c r="L87" i="1"/>
  <c r="N85" i="1"/>
  <c r="M87" i="1"/>
  <c r="M113" i="3"/>
  <c r="L153" i="3"/>
  <c r="L156" i="3"/>
  <c r="L157" i="3"/>
  <c r="L165" i="3"/>
  <c r="M130" i="3"/>
  <c r="N130" i="3"/>
  <c r="N131" i="3"/>
  <c r="N132" i="3"/>
  <c r="H12" i="24"/>
  <c r="N7" i="37"/>
  <c r="P7" i="37"/>
  <c r="Q7" i="37"/>
  <c r="O125" i="3"/>
  <c r="O127" i="3"/>
  <c r="O130" i="3"/>
  <c r="O131" i="3"/>
  <c r="I9" i="41"/>
  <c r="H10" i="41"/>
  <c r="H25" i="24"/>
  <c r="N32" i="37"/>
  <c r="H3" i="24"/>
  <c r="N18" i="37"/>
  <c r="G94" i="6"/>
  <c r="N33" i="3"/>
  <c r="N35" i="3"/>
  <c r="N37" i="3"/>
  <c r="N39" i="3"/>
  <c r="M25" i="3"/>
  <c r="H11" i="41"/>
  <c r="M157" i="3"/>
  <c r="N165" i="3"/>
  <c r="K130" i="3"/>
  <c r="L130" i="3"/>
  <c r="L131" i="3"/>
  <c r="L127" i="3"/>
  <c r="K157" i="3"/>
  <c r="H9" i="24"/>
  <c r="T49" i="25"/>
  <c r="H8" i="24"/>
  <c r="M49" i="25"/>
  <c r="L39" i="3"/>
  <c r="K42" i="3"/>
  <c r="L42" i="3"/>
  <c r="L43" i="3"/>
  <c r="L82" i="3"/>
  <c r="K85" i="3"/>
  <c r="L85" i="3"/>
  <c r="L86" i="3"/>
  <c r="N82" i="3"/>
  <c r="O80" i="3"/>
  <c r="O82" i="3"/>
  <c r="M85" i="3"/>
  <c r="N85" i="3"/>
  <c r="N86" i="3"/>
  <c r="N87" i="3"/>
  <c r="N88" i="3"/>
  <c r="J127" i="9"/>
  <c r="J84" i="9"/>
  <c r="K102" i="9"/>
  <c r="M102" i="9"/>
  <c r="K101" i="9"/>
  <c r="M101" i="9"/>
  <c r="H159" i="9"/>
  <c r="H158" i="9"/>
  <c r="L92" i="9"/>
  <c r="N92" i="9"/>
  <c r="O37" i="3"/>
  <c r="O39" i="3"/>
  <c r="O42" i="3"/>
  <c r="O43" i="3"/>
  <c r="M42" i="3"/>
  <c r="N42" i="3"/>
  <c r="N43" i="3"/>
  <c r="N44" i="3"/>
  <c r="N45" i="3"/>
  <c r="I11" i="41"/>
  <c r="I10" i="41"/>
  <c r="H6" i="41"/>
  <c r="L167" i="3"/>
  <c r="L169" i="3"/>
  <c r="N167" i="3"/>
  <c r="N169" i="3"/>
  <c r="H10" i="24"/>
  <c r="N6" i="37"/>
  <c r="P6" i="37"/>
  <c r="O85" i="3"/>
  <c r="O86" i="3"/>
  <c r="J41" i="9"/>
  <c r="C41" i="9"/>
  <c r="N6" i="9"/>
  <c r="L6" i="9"/>
  <c r="J13" i="9"/>
  <c r="L49" i="9"/>
  <c r="N49" i="9"/>
  <c r="D15" i="9"/>
  <c r="H12" i="41"/>
  <c r="I6" i="41"/>
  <c r="H14" i="24"/>
  <c r="N8" i="37"/>
  <c r="P8" i="37"/>
  <c r="Q8" i="37"/>
  <c r="K174" i="3"/>
  <c r="L174" i="3"/>
  <c r="L175" i="3"/>
  <c r="L171" i="3"/>
  <c r="O169" i="3"/>
  <c r="O171" i="3"/>
  <c r="O174" i="3"/>
  <c r="O175" i="3"/>
  <c r="N171" i="3"/>
  <c r="M174" i="3"/>
  <c r="N174" i="3"/>
  <c r="N175" i="3"/>
  <c r="N176" i="3"/>
  <c r="N177" i="3"/>
  <c r="Q6" i="37"/>
  <c r="L11" i="41"/>
  <c r="L9" i="41"/>
  <c r="I12" i="41"/>
  <c r="H16" i="24"/>
  <c r="N9" i="37"/>
  <c r="P9" i="37"/>
  <c r="L101" i="4"/>
  <c r="L59" i="4"/>
  <c r="K58" i="4"/>
  <c r="K66" i="4"/>
  <c r="K14" i="4"/>
  <c r="K23" i="4"/>
  <c r="K101" i="4"/>
  <c r="L105" i="4"/>
  <c r="K106" i="4"/>
  <c r="K109" i="4"/>
  <c r="Q9" i="37"/>
  <c r="G4" i="36"/>
  <c r="I4" i="36"/>
  <c r="L14" i="4"/>
  <c r="L58" i="4"/>
  <c r="L66" i="4"/>
  <c r="L109" i="4"/>
  <c r="L106" i="4"/>
  <c r="G14" i="36"/>
  <c r="K4" i="36"/>
  <c r="Q113" i="4"/>
  <c r="R113" i="4"/>
  <c r="R112" i="4"/>
  <c r="R110" i="4"/>
  <c r="Q112" i="4"/>
  <c r="Q111" i="4"/>
  <c r="R111" i="4"/>
  <c r="Q110" i="4"/>
  <c r="R109" i="4"/>
  <c r="Q109" i="4"/>
  <c r="L145" i="4"/>
  <c r="L143" i="4"/>
  <c r="L142" i="4"/>
  <c r="L140" i="4"/>
  <c r="L146" i="4"/>
  <c r="L65" i="4"/>
  <c r="L63" i="4"/>
  <c r="L62" i="4"/>
  <c r="L61" i="4"/>
  <c r="L56" i="4"/>
  <c r="L108" i="4"/>
  <c r="L104" i="4"/>
  <c r="L103" i="4"/>
  <c r="L99" i="4"/>
  <c r="H148" i="9"/>
  <c r="H149" i="9"/>
  <c r="K15" i="9"/>
  <c r="M15" i="9"/>
  <c r="L22" i="4"/>
  <c r="L20" i="4"/>
  <c r="L19" i="4"/>
  <c r="L18" i="4"/>
  <c r="L16" i="4"/>
  <c r="L15" i="4"/>
  <c r="L13" i="4"/>
  <c r="L11" i="4"/>
  <c r="L137" i="4"/>
  <c r="L53" i="4"/>
  <c r="L8" i="4"/>
  <c r="J166" i="4"/>
  <c r="C166" i="4"/>
  <c r="J45" i="4"/>
  <c r="C45" i="4"/>
  <c r="C88" i="4"/>
  <c r="J88" i="4"/>
  <c r="J129" i="4"/>
  <c r="C129" i="4"/>
  <c r="L96" i="4"/>
  <c r="K146" i="4"/>
  <c r="L23" i="4"/>
  <c r="G2" i="1"/>
  <c r="Q48" i="1"/>
  <c r="R27" i="1"/>
  <c r="R26" i="1"/>
  <c r="R24" i="1"/>
  <c r="R22" i="1"/>
  <c r="R21" i="1"/>
  <c r="R20" i="1"/>
  <c r="R18" i="1"/>
  <c r="R17" i="1"/>
  <c r="Q17" i="1"/>
  <c r="R16" i="1"/>
  <c r="R14" i="1"/>
  <c r="Q14" i="1"/>
  <c r="R13" i="1"/>
  <c r="R11" i="1"/>
  <c r="P8" i="1"/>
  <c r="S8" i="1"/>
  <c r="AK43" i="1"/>
  <c r="AK44" i="1"/>
  <c r="AK33" i="1"/>
  <c r="AK34" i="1"/>
  <c r="J48" i="1"/>
  <c r="K27" i="1"/>
  <c r="K26" i="1"/>
  <c r="K24" i="1"/>
  <c r="K22" i="1"/>
  <c r="K21" i="1"/>
  <c r="K20" i="1"/>
  <c r="K18" i="1"/>
  <c r="K17" i="1"/>
  <c r="J17" i="1"/>
  <c r="K16" i="1"/>
  <c r="K14" i="1"/>
  <c r="J14" i="1"/>
  <c r="K13" i="1"/>
  <c r="K11" i="1"/>
  <c r="I8" i="1"/>
  <c r="L8" i="1"/>
  <c r="C47" i="1"/>
  <c r="B8" i="1"/>
  <c r="D26" i="1"/>
  <c r="D25" i="1"/>
  <c r="D23" i="1"/>
  <c r="D22" i="1"/>
  <c r="D21" i="1"/>
  <c r="D20" i="1"/>
  <c r="D18" i="1"/>
  <c r="D17" i="1"/>
  <c r="D16" i="1"/>
  <c r="D15" i="1"/>
  <c r="D14" i="1"/>
  <c r="D13" i="1"/>
  <c r="D11" i="1"/>
  <c r="C17" i="1"/>
  <c r="C14" i="1"/>
  <c r="L14" i="1"/>
  <c r="S17" i="1"/>
  <c r="D27" i="1"/>
  <c r="L17" i="1"/>
  <c r="S14" i="1"/>
  <c r="H137" i="9"/>
  <c r="G137" i="9"/>
  <c r="F137" i="9"/>
  <c r="E137" i="9"/>
  <c r="D137" i="9"/>
  <c r="C137" i="9"/>
  <c r="H136" i="9"/>
  <c r="G136" i="9"/>
  <c r="F136" i="9"/>
  <c r="E136" i="9"/>
  <c r="D136" i="9"/>
  <c r="C136" i="9"/>
  <c r="B137" i="9"/>
  <c r="B136" i="9"/>
  <c r="BC24" i="23"/>
  <c r="H139" i="9"/>
  <c r="H140" i="9"/>
  <c r="K58" i="9"/>
  <c r="M58" i="9"/>
  <c r="C32" i="14"/>
  <c r="C38" i="12"/>
  <c r="C43" i="11"/>
  <c r="C40" i="10"/>
  <c r="C48" i="17"/>
  <c r="C132" i="6"/>
  <c r="C90" i="6"/>
  <c r="C46" i="6"/>
  <c r="C159" i="5"/>
  <c r="C124" i="5"/>
  <c r="C82" i="5"/>
  <c r="BA22" i="23"/>
  <c r="AZ22" i="23"/>
  <c r="AY22" i="23"/>
  <c r="AX22" i="23"/>
  <c r="AW22" i="23"/>
  <c r="AV22" i="23"/>
  <c r="AU22" i="23"/>
  <c r="AT22" i="23"/>
  <c r="BC22" i="23"/>
  <c r="BC18" i="23"/>
  <c r="AT18" i="23"/>
  <c r="D32" i="8"/>
  <c r="E15" i="19"/>
  <c r="E8" i="19"/>
  <c r="J38" i="17"/>
  <c r="D14" i="17"/>
  <c r="D25" i="17"/>
  <c r="D24" i="17"/>
  <c r="J39" i="17"/>
  <c r="D15" i="17"/>
  <c r="J18" i="17"/>
  <c r="C15" i="17"/>
  <c r="P39" i="4"/>
  <c r="J20" i="17"/>
  <c r="C17" i="17"/>
  <c r="J25" i="17"/>
  <c r="C20" i="17"/>
  <c r="J24" i="17"/>
  <c r="J23" i="17"/>
  <c r="C19" i="17"/>
  <c r="J22" i="17"/>
  <c r="J14" i="17"/>
  <c r="C11" i="17"/>
  <c r="B8" i="17"/>
  <c r="E8" i="17"/>
  <c r="J40" i="17"/>
  <c r="D16" i="17"/>
  <c r="J64" i="17"/>
  <c r="C44" i="17"/>
  <c r="J59" i="17"/>
  <c r="D35" i="17"/>
  <c r="E35" i="17"/>
  <c r="J58" i="17"/>
  <c r="J57" i="17"/>
  <c r="D33" i="17"/>
  <c r="E33" i="17"/>
  <c r="J56" i="17"/>
  <c r="D32" i="17"/>
  <c r="E32" i="17"/>
  <c r="J54" i="17"/>
  <c r="C29" i="17"/>
  <c r="J9" i="17"/>
  <c r="J8" i="17"/>
  <c r="J7" i="17"/>
  <c r="J6" i="17"/>
  <c r="J16" i="12"/>
  <c r="C14" i="12"/>
  <c r="Q18" i="4"/>
  <c r="X59" i="1"/>
  <c r="X57" i="1"/>
  <c r="X54" i="1"/>
  <c r="D34" i="1"/>
  <c r="E34" i="1"/>
  <c r="X53" i="1"/>
  <c r="X51" i="1"/>
  <c r="X27" i="1"/>
  <c r="X24" i="1"/>
  <c r="X23" i="1"/>
  <c r="X22" i="1"/>
  <c r="X20" i="1"/>
  <c r="X17" i="1"/>
  <c r="C14" i="32"/>
  <c r="E14" i="32"/>
  <c r="X15" i="1"/>
  <c r="K16" i="31"/>
  <c r="X13" i="1"/>
  <c r="S16" i="9"/>
  <c r="D16" i="10"/>
  <c r="Q13" i="4"/>
  <c r="K14" i="31"/>
  <c r="J25" i="15"/>
  <c r="J23" i="15"/>
  <c r="D12" i="15"/>
  <c r="J30" i="14"/>
  <c r="C28" i="14"/>
  <c r="J21" i="14"/>
  <c r="J20" i="14"/>
  <c r="D12" i="14"/>
  <c r="J18" i="14"/>
  <c r="B8" i="14"/>
  <c r="E8" i="14"/>
  <c r="J40" i="12"/>
  <c r="C34" i="12"/>
  <c r="J38" i="12"/>
  <c r="J35" i="12"/>
  <c r="D25" i="12"/>
  <c r="J34" i="12"/>
  <c r="D24" i="12"/>
  <c r="J32" i="12"/>
  <c r="C21" i="12"/>
  <c r="J28" i="12"/>
  <c r="J26" i="12"/>
  <c r="D14" i="12"/>
  <c r="J25" i="12"/>
  <c r="D13" i="12"/>
  <c r="J23" i="12"/>
  <c r="D11" i="12"/>
  <c r="J22" i="12"/>
  <c r="J19" i="12"/>
  <c r="C17" i="12"/>
  <c r="J18" i="12"/>
  <c r="C16" i="12"/>
  <c r="J13" i="12"/>
  <c r="C11" i="12"/>
  <c r="J45" i="11"/>
  <c r="C39" i="11"/>
  <c r="J36" i="11"/>
  <c r="C26" i="11"/>
  <c r="J30" i="11"/>
  <c r="D17" i="11"/>
  <c r="J29" i="11"/>
  <c r="D16" i="11"/>
  <c r="J27" i="11"/>
  <c r="D14" i="11"/>
  <c r="J26" i="11"/>
  <c r="D13" i="11"/>
  <c r="J24" i="11"/>
  <c r="J23" i="11"/>
  <c r="B8" i="11"/>
  <c r="E8" i="11"/>
  <c r="J16" i="11"/>
  <c r="C14" i="11"/>
  <c r="J42" i="10"/>
  <c r="C36" i="10"/>
  <c r="J27" i="10"/>
  <c r="J26" i="10"/>
  <c r="D13" i="10"/>
  <c r="J23" i="10"/>
  <c r="B8" i="10"/>
  <c r="E8" i="10"/>
  <c r="S47" i="9"/>
  <c r="S40" i="9"/>
  <c r="S35" i="9"/>
  <c r="S31" i="9"/>
  <c r="S29" i="9"/>
  <c r="K98" i="9"/>
  <c r="S28" i="9"/>
  <c r="S26" i="9"/>
  <c r="K95" i="9"/>
  <c r="S25" i="9"/>
  <c r="B6" i="9"/>
  <c r="E6" i="9"/>
  <c r="J42" i="8"/>
  <c r="D69" i="8"/>
  <c r="I42" i="8"/>
  <c r="J39" i="8"/>
  <c r="D66" i="8"/>
  <c r="I39" i="8"/>
  <c r="D18" i="8"/>
  <c r="J38" i="8"/>
  <c r="D65" i="8"/>
  <c r="J37" i="8"/>
  <c r="I37" i="8"/>
  <c r="D17" i="8"/>
  <c r="J35" i="8"/>
  <c r="D62" i="8"/>
  <c r="I35" i="8"/>
  <c r="D15" i="8"/>
  <c r="J34" i="8"/>
  <c r="J33" i="8"/>
  <c r="D60" i="8"/>
  <c r="I33" i="8"/>
  <c r="J32" i="8"/>
  <c r="D59" i="8"/>
  <c r="I32" i="8"/>
  <c r="D13" i="8"/>
  <c r="J30" i="8"/>
  <c r="I30" i="8"/>
  <c r="D11" i="8"/>
  <c r="J29" i="8"/>
  <c r="B54" i="8"/>
  <c r="E54" i="8"/>
  <c r="I29" i="8"/>
  <c r="B8" i="8"/>
  <c r="J31" i="7"/>
  <c r="K30" i="7"/>
  <c r="D50" i="7"/>
  <c r="J28" i="7"/>
  <c r="D13" i="7"/>
  <c r="K26" i="7"/>
  <c r="D48" i="7"/>
  <c r="J26" i="7"/>
  <c r="D11" i="7"/>
  <c r="K25" i="7"/>
  <c r="B45" i="7"/>
  <c r="E45" i="7"/>
  <c r="J25" i="7"/>
  <c r="B8" i="7"/>
  <c r="J58" i="6"/>
  <c r="C128" i="6"/>
  <c r="I52" i="6"/>
  <c r="D33" i="6"/>
  <c r="I51" i="6"/>
  <c r="D32" i="6"/>
  <c r="I50" i="6"/>
  <c r="L43" i="6"/>
  <c r="D110" i="6"/>
  <c r="K43" i="6"/>
  <c r="I43" i="6"/>
  <c r="D22" i="6"/>
  <c r="L40" i="6"/>
  <c r="D107" i="6"/>
  <c r="K40" i="6"/>
  <c r="I40" i="6"/>
  <c r="L39" i="6"/>
  <c r="K39" i="6"/>
  <c r="D64" i="6"/>
  <c r="I39" i="6"/>
  <c r="D18" i="6"/>
  <c r="I38" i="6"/>
  <c r="L36" i="6"/>
  <c r="D104" i="6"/>
  <c r="K36" i="6"/>
  <c r="D62" i="6"/>
  <c r="I36" i="6"/>
  <c r="K35" i="6"/>
  <c r="I35" i="6"/>
  <c r="D14" i="6"/>
  <c r="L34" i="6"/>
  <c r="D103" i="6"/>
  <c r="K34" i="6"/>
  <c r="D60" i="6"/>
  <c r="K33" i="6"/>
  <c r="I33" i="6"/>
  <c r="D13" i="6"/>
  <c r="L31" i="6"/>
  <c r="K31" i="6"/>
  <c r="I31" i="6"/>
  <c r="I30" i="6"/>
  <c r="B8" i="6"/>
  <c r="E8" i="6"/>
  <c r="E32" i="6"/>
  <c r="I23" i="6"/>
  <c r="I26" i="6"/>
  <c r="C22" i="6"/>
  <c r="L51" i="5"/>
  <c r="C78" i="5"/>
  <c r="D28" i="5"/>
  <c r="D145" i="5"/>
  <c r="M40" i="5"/>
  <c r="D103" i="5"/>
  <c r="L40" i="5"/>
  <c r="K40" i="5"/>
  <c r="M37" i="5"/>
  <c r="L37" i="5"/>
  <c r="D58" i="5"/>
  <c r="K37" i="5"/>
  <c r="D17" i="5"/>
  <c r="N36" i="5"/>
  <c r="D138" i="5"/>
  <c r="M36" i="5"/>
  <c r="D99" i="5"/>
  <c r="L36" i="5"/>
  <c r="K35" i="5"/>
  <c r="D16" i="5"/>
  <c r="M34" i="5"/>
  <c r="D98" i="5"/>
  <c r="C98" i="5"/>
  <c r="L34" i="5"/>
  <c r="D56" i="5"/>
  <c r="K34" i="5"/>
  <c r="D15" i="5"/>
  <c r="M32" i="5"/>
  <c r="D96" i="5"/>
  <c r="L32" i="5"/>
  <c r="K31" i="5"/>
  <c r="D13" i="5"/>
  <c r="N29" i="5"/>
  <c r="D136" i="5"/>
  <c r="M29" i="5"/>
  <c r="D94" i="5"/>
  <c r="L29" i="5"/>
  <c r="D52" i="5"/>
  <c r="K29" i="5"/>
  <c r="D11" i="5"/>
  <c r="N28" i="5"/>
  <c r="M28" i="5"/>
  <c r="B91" i="5"/>
  <c r="E91" i="5"/>
  <c r="L28" i="5"/>
  <c r="B49" i="5"/>
  <c r="E49" i="5"/>
  <c r="K28" i="5"/>
  <c r="B8" i="5"/>
  <c r="E8" i="5"/>
  <c r="Q57" i="4"/>
  <c r="C125" i="4"/>
  <c r="Q51" i="4"/>
  <c r="D31" i="4"/>
  <c r="Q50" i="4"/>
  <c r="Q49" i="4"/>
  <c r="Q47" i="4"/>
  <c r="S44" i="4"/>
  <c r="R44" i="4"/>
  <c r="D108" i="4"/>
  <c r="Q44" i="4"/>
  <c r="P44" i="4"/>
  <c r="R41" i="4"/>
  <c r="Q41" i="4"/>
  <c r="D62" i="4"/>
  <c r="P41" i="4"/>
  <c r="J46" i="32"/>
  <c r="S40" i="4"/>
  <c r="D143" i="4"/>
  <c r="R40" i="4"/>
  <c r="D104" i="4"/>
  <c r="Q39" i="4"/>
  <c r="D61" i="4"/>
  <c r="S38" i="4"/>
  <c r="D142" i="4"/>
  <c r="R38" i="4"/>
  <c r="D103" i="4"/>
  <c r="Q36" i="4"/>
  <c r="D59" i="4"/>
  <c r="C59" i="4"/>
  <c r="P36" i="4"/>
  <c r="J41" i="32"/>
  <c r="D17" i="32"/>
  <c r="P35" i="4"/>
  <c r="D15" i="4"/>
  <c r="R34" i="4"/>
  <c r="D101" i="4"/>
  <c r="Q34" i="4"/>
  <c r="D58" i="4"/>
  <c r="P34" i="4"/>
  <c r="D14" i="4"/>
  <c r="P33" i="4"/>
  <c r="S31" i="4"/>
  <c r="R31" i="4"/>
  <c r="D99" i="4"/>
  <c r="Q31" i="4"/>
  <c r="D56" i="4"/>
  <c r="P31" i="4"/>
  <c r="S30" i="4"/>
  <c r="R30" i="4"/>
  <c r="B96" i="4"/>
  <c r="E96" i="4"/>
  <c r="Q30" i="4"/>
  <c r="B53" i="4"/>
  <c r="E53" i="4"/>
  <c r="P30" i="4"/>
  <c r="B8" i="4"/>
  <c r="E8" i="4"/>
  <c r="Q23" i="4"/>
  <c r="K23" i="31"/>
  <c r="Q22" i="4"/>
  <c r="Q21" i="4"/>
  <c r="E16" i="30"/>
  <c r="Q80" i="6"/>
  <c r="D14" i="15"/>
  <c r="J17" i="15"/>
  <c r="J8" i="15"/>
  <c r="B8" i="15"/>
  <c r="E8" i="15"/>
  <c r="J7" i="15"/>
  <c r="J6" i="15"/>
  <c r="J5" i="15"/>
  <c r="J5" i="14"/>
  <c r="J6" i="14"/>
  <c r="J7" i="14"/>
  <c r="J8" i="14"/>
  <c r="J9" i="14"/>
  <c r="J10" i="14"/>
  <c r="D13" i="14"/>
  <c r="J45" i="14"/>
  <c r="J46" i="14"/>
  <c r="J26" i="14"/>
  <c r="D20" i="14"/>
  <c r="J5" i="12"/>
  <c r="J6" i="12"/>
  <c r="J7" i="12"/>
  <c r="J8" i="12"/>
  <c r="B8" i="12"/>
  <c r="E8" i="12"/>
  <c r="E25" i="12"/>
  <c r="D16" i="12"/>
  <c r="C30" i="12"/>
  <c r="J5" i="11"/>
  <c r="J6" i="11"/>
  <c r="J7" i="11"/>
  <c r="J8" i="11"/>
  <c r="D11" i="11"/>
  <c r="E26" i="11"/>
  <c r="J5" i="10"/>
  <c r="J6" i="10"/>
  <c r="J7" i="10"/>
  <c r="J8" i="10"/>
  <c r="J9" i="10"/>
  <c r="J10" i="10"/>
  <c r="J31" i="10"/>
  <c r="D18" i="10"/>
  <c r="D14" i="10"/>
  <c r="D17" i="10"/>
  <c r="S5" i="9"/>
  <c r="S6" i="9"/>
  <c r="S7" i="9"/>
  <c r="S8" i="9"/>
  <c r="I5" i="8"/>
  <c r="I6" i="8"/>
  <c r="I7" i="8"/>
  <c r="I8" i="8"/>
  <c r="C28" i="8"/>
  <c r="D57" i="8"/>
  <c r="D14" i="8"/>
  <c r="D21" i="8"/>
  <c r="D61" i="8"/>
  <c r="D64" i="8"/>
  <c r="C76" i="8"/>
  <c r="J5" i="7"/>
  <c r="J6" i="7"/>
  <c r="J7" i="7"/>
  <c r="J8" i="7"/>
  <c r="C25" i="7"/>
  <c r="C59" i="7"/>
  <c r="D62" i="7"/>
  <c r="J5" i="6"/>
  <c r="J6" i="6"/>
  <c r="J7" i="6"/>
  <c r="J8" i="6"/>
  <c r="I21" i="6"/>
  <c r="C19" i="6"/>
  <c r="C29" i="6"/>
  <c r="D11" i="6"/>
  <c r="D15" i="6"/>
  <c r="I54" i="6"/>
  <c r="B54" i="6"/>
  <c r="E54" i="6"/>
  <c r="D59" i="6"/>
  <c r="I82" i="6"/>
  <c r="B98" i="6"/>
  <c r="E98" i="6"/>
  <c r="D101" i="6"/>
  <c r="D106" i="6"/>
  <c r="L5" i="5"/>
  <c r="L6" i="5"/>
  <c r="L7" i="5"/>
  <c r="L8" i="5"/>
  <c r="C56" i="5"/>
  <c r="D54" i="5"/>
  <c r="D57" i="5"/>
  <c r="D61" i="5"/>
  <c r="D69" i="5"/>
  <c r="D100" i="5"/>
  <c r="B133" i="5"/>
  <c r="E133" i="5"/>
  <c r="Q5" i="4"/>
  <c r="Q6" i="4"/>
  <c r="Q7" i="4"/>
  <c r="Q8" i="4"/>
  <c r="Q20" i="4"/>
  <c r="D18" i="4"/>
  <c r="Q52" i="4"/>
  <c r="D65" i="4"/>
  <c r="C149" i="4"/>
  <c r="X5" i="1"/>
  <c r="X6" i="1"/>
  <c r="X7" i="1"/>
  <c r="X8" i="1"/>
  <c r="E14" i="1"/>
  <c r="X18" i="1"/>
  <c r="J19" i="17"/>
  <c r="C16" i="17"/>
  <c r="K18" i="6"/>
  <c r="C61" i="6"/>
  <c r="E8" i="1"/>
  <c r="C69" i="4"/>
  <c r="L16" i="5"/>
  <c r="C96" i="5"/>
  <c r="K14" i="6"/>
  <c r="C57" i="6"/>
  <c r="C13" i="7"/>
  <c r="C48" i="7"/>
  <c r="J34" i="11"/>
  <c r="C22" i="11"/>
  <c r="C16" i="4"/>
  <c r="C11" i="4"/>
  <c r="K19" i="6"/>
  <c r="C62" i="6"/>
  <c r="J34" i="10"/>
  <c r="C22" i="10"/>
  <c r="C17" i="6"/>
  <c r="C15" i="5"/>
  <c r="D11" i="4"/>
  <c r="D68" i="6"/>
  <c r="D17" i="6"/>
  <c r="D61" i="6"/>
  <c r="D57" i="6"/>
  <c r="J29" i="15"/>
  <c r="C19" i="15"/>
  <c r="J13" i="11"/>
  <c r="C11" i="11"/>
  <c r="D20" i="5"/>
  <c r="D15" i="7"/>
  <c r="J43" i="7"/>
  <c r="C15" i="7"/>
  <c r="D33" i="8"/>
  <c r="E33" i="8"/>
  <c r="D19" i="6"/>
  <c r="E17" i="1"/>
  <c r="Q17" i="4"/>
  <c r="C15" i="4"/>
  <c r="I18" i="6"/>
  <c r="C14" i="6"/>
  <c r="C30" i="1"/>
  <c r="D31" i="6"/>
  <c r="C143" i="4"/>
  <c r="E143" i="4"/>
  <c r="J16" i="10"/>
  <c r="C14" i="10"/>
  <c r="E14" i="10"/>
  <c r="C54" i="5"/>
  <c r="E54" i="5"/>
  <c r="I19" i="6"/>
  <c r="C15" i="6"/>
  <c r="C15" i="8"/>
  <c r="E15" i="8"/>
  <c r="J15" i="14"/>
  <c r="C13" i="14"/>
  <c r="E13" i="14"/>
  <c r="B137" i="4"/>
  <c r="E137" i="4"/>
  <c r="D72" i="4"/>
  <c r="E72" i="4"/>
  <c r="D152" i="4"/>
  <c r="D74" i="4"/>
  <c r="E74" i="4"/>
  <c r="D68" i="5"/>
  <c r="D32" i="4"/>
  <c r="K22" i="6"/>
  <c r="C64" i="6"/>
  <c r="Q26" i="4"/>
  <c r="K26" i="31"/>
  <c r="C66" i="8"/>
  <c r="J19" i="11"/>
  <c r="J20" i="11"/>
  <c r="C18" i="11"/>
  <c r="D29" i="4"/>
  <c r="E29" i="4"/>
  <c r="C39" i="1"/>
  <c r="C61" i="8"/>
  <c r="I41" i="6"/>
  <c r="D20" i="6"/>
  <c r="J10" i="17"/>
  <c r="J11" i="17"/>
  <c r="J28" i="17"/>
  <c r="C23" i="17"/>
  <c r="C18" i="7"/>
  <c r="C103" i="4"/>
  <c r="C17" i="8"/>
  <c r="E17" i="8"/>
  <c r="C64" i="8"/>
  <c r="C142" i="4"/>
  <c r="D75" i="4"/>
  <c r="C99" i="5"/>
  <c r="C104" i="4"/>
  <c r="C120" i="5"/>
  <c r="C155" i="5"/>
  <c r="E29" i="6"/>
  <c r="Q55" i="4"/>
  <c r="J41" i="17"/>
  <c r="D17" i="17"/>
  <c r="E17" i="17"/>
  <c r="J46" i="17"/>
  <c r="D20" i="17"/>
  <c r="E20" i="17"/>
  <c r="C112" i="4"/>
  <c r="L43" i="5"/>
  <c r="C65" i="5"/>
  <c r="I45" i="8"/>
  <c r="C25" i="8"/>
  <c r="K51" i="6"/>
  <c r="J37" i="10"/>
  <c r="D27" i="10"/>
  <c r="D116" i="4"/>
  <c r="C162" i="4"/>
  <c r="D146" i="5"/>
  <c r="E146" i="5"/>
  <c r="L47" i="5"/>
  <c r="Q15" i="4"/>
  <c r="C13" i="4"/>
  <c r="J29" i="17"/>
  <c r="C24" i="17"/>
  <c r="E24" i="17"/>
  <c r="D22" i="4"/>
  <c r="D19" i="19"/>
  <c r="E19" i="19"/>
  <c r="D24" i="19"/>
  <c r="E21" i="18"/>
  <c r="J9" i="11"/>
  <c r="J10" i="11"/>
  <c r="J31" i="11"/>
  <c r="D18" i="11"/>
  <c r="J9" i="12"/>
  <c r="J10" i="12"/>
  <c r="D14" i="14"/>
  <c r="J9" i="15"/>
  <c r="J10" i="15"/>
  <c r="K10" i="15"/>
  <c r="E32" i="8"/>
  <c r="C17" i="11"/>
  <c r="E17" i="32"/>
  <c r="E8" i="7"/>
  <c r="E25" i="7"/>
  <c r="E8" i="8"/>
  <c r="E12" i="15"/>
  <c r="E23" i="15"/>
  <c r="E76" i="8"/>
  <c r="E48" i="7"/>
  <c r="X55" i="1"/>
  <c r="J34" i="7"/>
  <c r="D18" i="7"/>
  <c r="J43" i="35"/>
  <c r="C35" i="35"/>
  <c r="S45" i="33"/>
  <c r="J127" i="33" s="1"/>
  <c r="J62" i="32"/>
  <c r="C40" i="32"/>
  <c r="J56" i="31"/>
  <c r="I40" i="34"/>
  <c r="C32" i="34"/>
  <c r="M49" i="30"/>
  <c r="C33" i="30" s="1"/>
  <c r="C22" i="4"/>
  <c r="E64" i="6"/>
  <c r="I24" i="34"/>
  <c r="D11" i="34"/>
  <c r="D20" i="32"/>
  <c r="J47" i="32"/>
  <c r="D21" i="32"/>
  <c r="C11" i="34"/>
  <c r="C11" i="35"/>
  <c r="E11" i="35"/>
  <c r="C11" i="31"/>
  <c r="E11" i="31"/>
  <c r="C13" i="31"/>
  <c r="E13" i="31"/>
  <c r="E59" i="31"/>
  <c r="C13" i="32"/>
  <c r="J44" i="17"/>
  <c r="D19" i="17"/>
  <c r="J44" i="32"/>
  <c r="D19" i="32"/>
  <c r="C11" i="7"/>
  <c r="E11" i="7"/>
  <c r="J16" i="17"/>
  <c r="C13" i="17"/>
  <c r="I16" i="6"/>
  <c r="C59" i="8"/>
  <c r="E59" i="8"/>
  <c r="D111" i="5"/>
  <c r="E111" i="5"/>
  <c r="D19" i="4"/>
  <c r="D16" i="4"/>
  <c r="E16" i="4"/>
  <c r="J24" i="10"/>
  <c r="D11" i="10"/>
  <c r="C106" i="6"/>
  <c r="E106" i="6"/>
  <c r="E61" i="8"/>
  <c r="J36" i="10"/>
  <c r="D26" i="10"/>
  <c r="E26" i="10"/>
  <c r="K50" i="6"/>
  <c r="D117" i="6"/>
  <c r="E117" i="6"/>
  <c r="Q24" i="4"/>
  <c r="K24" i="31"/>
  <c r="S19" i="9"/>
  <c r="I22" i="6"/>
  <c r="C18" i="6"/>
  <c r="E18" i="6"/>
  <c r="C61" i="4"/>
  <c r="D70" i="5"/>
  <c r="D115" i="4"/>
  <c r="J38" i="11"/>
  <c r="D28" i="11"/>
  <c r="E28" i="11"/>
  <c r="J36" i="12"/>
  <c r="D78" i="8"/>
  <c r="C19" i="4"/>
  <c r="I24" i="6"/>
  <c r="C20" i="6"/>
  <c r="D28" i="7"/>
  <c r="J13" i="10"/>
  <c r="C11" i="10"/>
  <c r="E11" i="10"/>
  <c r="S13" i="9"/>
  <c r="C140" i="4"/>
  <c r="K53" i="6"/>
  <c r="D77" i="6"/>
  <c r="E77" i="6"/>
  <c r="J40" i="35"/>
  <c r="S42" i="33"/>
  <c r="K53" i="31"/>
  <c r="C65" i="8"/>
  <c r="E65" i="8"/>
  <c r="J35" i="17"/>
  <c r="D11" i="17"/>
  <c r="E11" i="17"/>
  <c r="J35" i="32"/>
  <c r="D11" i="32"/>
  <c r="J37" i="17"/>
  <c r="D13" i="17"/>
  <c r="J37" i="32"/>
  <c r="D13" i="32"/>
  <c r="J49" i="17"/>
  <c r="D23" i="17"/>
  <c r="J49" i="32"/>
  <c r="D23" i="32"/>
  <c r="J46" i="6"/>
  <c r="C114" i="6"/>
  <c r="I34" i="34"/>
  <c r="C22" i="34"/>
  <c r="J46" i="31"/>
  <c r="S38" i="33"/>
  <c r="J34" i="35"/>
  <c r="C22" i="35"/>
  <c r="M43" i="30"/>
  <c r="C143" i="30" s="1"/>
  <c r="S41" i="9"/>
  <c r="M113" i="9"/>
  <c r="N113" i="9"/>
  <c r="D27" i="34"/>
  <c r="E27" i="34"/>
  <c r="D29" i="35"/>
  <c r="E29" i="35"/>
  <c r="E11" i="4"/>
  <c r="E57" i="6"/>
  <c r="D139" i="5"/>
  <c r="E145" i="5"/>
  <c r="E16" i="12"/>
  <c r="E14" i="15"/>
  <c r="D119" i="6"/>
  <c r="E119" i="6"/>
  <c r="C26" i="6"/>
  <c r="D26" i="12"/>
  <c r="E24" i="12"/>
  <c r="E17" i="11"/>
  <c r="E99" i="5"/>
  <c r="J15" i="9"/>
  <c r="J101" i="9"/>
  <c r="K55" i="9"/>
  <c r="K97" i="9"/>
  <c r="M97" i="9"/>
  <c r="K54" i="9"/>
  <c r="K14" i="9"/>
  <c r="M14" i="9"/>
  <c r="K57" i="9"/>
  <c r="K100" i="9"/>
  <c r="M100" i="9"/>
  <c r="C11" i="26"/>
  <c r="E11" i="26"/>
  <c r="R13" i="2"/>
  <c r="R16" i="2"/>
  <c r="R21" i="2"/>
  <c r="R23" i="2"/>
  <c r="R59" i="2"/>
  <c r="J29" i="12"/>
  <c r="D17" i="12"/>
  <c r="E17" i="12"/>
  <c r="J47" i="17"/>
  <c r="D21" i="17"/>
  <c r="C41" i="4"/>
  <c r="C84" i="4"/>
  <c r="D153" i="4"/>
  <c r="E153" i="4"/>
  <c r="D30" i="4"/>
  <c r="J39" i="11"/>
  <c r="D29" i="11"/>
  <c r="E29" i="11"/>
  <c r="S38" i="9"/>
  <c r="J37" i="7"/>
  <c r="C56" i="7"/>
  <c r="C26" i="4"/>
  <c r="C50" i="7"/>
  <c r="E50" i="7"/>
  <c r="E142" i="4"/>
  <c r="E64" i="8"/>
  <c r="E103" i="4"/>
  <c r="C52" i="5"/>
  <c r="E52" i="5"/>
  <c r="D75" i="6"/>
  <c r="E75" i="6"/>
  <c r="C101" i="6"/>
  <c r="E101" i="6"/>
  <c r="Q53" i="4"/>
  <c r="E66" i="8"/>
  <c r="Q16" i="4"/>
  <c r="D27" i="5"/>
  <c r="K34" i="7"/>
  <c r="D52" i="7"/>
  <c r="D53" i="7"/>
  <c r="J24" i="14"/>
  <c r="C17" i="14"/>
  <c r="E15" i="6"/>
  <c r="D31" i="8"/>
  <c r="C43" i="1"/>
  <c r="E14" i="6"/>
  <c r="I52" i="8"/>
  <c r="D73" i="4"/>
  <c r="E73" i="4"/>
  <c r="E11" i="11"/>
  <c r="J9" i="9"/>
  <c r="J95" i="9"/>
  <c r="D110" i="5"/>
  <c r="E59" i="7"/>
  <c r="J26" i="15"/>
  <c r="D15" i="15"/>
  <c r="E22" i="6"/>
  <c r="M95" i="9"/>
  <c r="K18" i="9"/>
  <c r="M18" i="9"/>
  <c r="K104" i="9"/>
  <c r="M104" i="9"/>
  <c r="J12" i="9"/>
  <c r="N12" i="9"/>
  <c r="J98" i="9"/>
  <c r="C13" i="27"/>
  <c r="E13" i="27"/>
  <c r="R15" i="2"/>
  <c r="R19" i="2"/>
  <c r="R22" i="2"/>
  <c r="R26" i="2"/>
  <c r="R57" i="26"/>
  <c r="C39" i="26"/>
  <c r="R57" i="2"/>
  <c r="C39" i="2"/>
  <c r="D147" i="5"/>
  <c r="C138" i="5"/>
  <c r="E138" i="5"/>
  <c r="C57" i="5"/>
  <c r="E57" i="5"/>
  <c r="C101" i="4"/>
  <c r="E101" i="4"/>
  <c r="C13" i="5"/>
  <c r="J22" i="9"/>
  <c r="J108" i="9"/>
  <c r="J37" i="9"/>
  <c r="J123" i="9"/>
  <c r="K113" i="9"/>
  <c r="L113" i="9"/>
  <c r="M112" i="9"/>
  <c r="K112" i="9"/>
  <c r="D9" i="9"/>
  <c r="K9" i="9"/>
  <c r="D12" i="9"/>
  <c r="K12" i="9"/>
  <c r="L12" i="9"/>
  <c r="L15" i="9"/>
  <c r="N15" i="9"/>
  <c r="E31" i="6"/>
  <c r="K27" i="9"/>
  <c r="L27" i="9"/>
  <c r="D11" i="9"/>
  <c r="K11" i="9"/>
  <c r="M11" i="9"/>
  <c r="K26" i="9"/>
  <c r="M26" i="9"/>
  <c r="J65" i="9"/>
  <c r="C22" i="9"/>
  <c r="D18" i="9"/>
  <c r="K61" i="9"/>
  <c r="M61" i="9"/>
  <c r="C37" i="9"/>
  <c r="J80" i="9"/>
  <c r="C12" i="9"/>
  <c r="E12" i="9"/>
  <c r="J55" i="9"/>
  <c r="C15" i="9"/>
  <c r="E15" i="9"/>
  <c r="J58" i="9"/>
  <c r="K70" i="9"/>
  <c r="L70" i="9"/>
  <c r="D27" i="9"/>
  <c r="E27" i="9"/>
  <c r="C9" i="9"/>
  <c r="J52" i="9"/>
  <c r="L52" i="9"/>
  <c r="D14" i="9"/>
  <c r="D26" i="9"/>
  <c r="K69" i="9"/>
  <c r="M69" i="9"/>
  <c r="E21" i="19"/>
  <c r="E115" i="4"/>
  <c r="E15" i="17"/>
  <c r="D117" i="4"/>
  <c r="E116" i="4"/>
  <c r="K54" i="6"/>
  <c r="J31" i="1"/>
  <c r="Q31" i="1"/>
  <c r="J158" i="4"/>
  <c r="J37" i="4"/>
  <c r="J121" i="4"/>
  <c r="J80" i="4"/>
  <c r="K152" i="4"/>
  <c r="K115" i="4"/>
  <c r="L115" i="4"/>
  <c r="K29" i="4"/>
  <c r="L29" i="4"/>
  <c r="K72" i="4"/>
  <c r="L72" i="4"/>
  <c r="K31" i="4"/>
  <c r="L31" i="4"/>
  <c r="K74" i="4"/>
  <c r="L74" i="4"/>
  <c r="K32" i="4"/>
  <c r="L32" i="4"/>
  <c r="K75" i="4"/>
  <c r="L75" i="4"/>
  <c r="Q9" i="4"/>
  <c r="Q10" i="4"/>
  <c r="J149" i="4"/>
  <c r="L149" i="4"/>
  <c r="L150" i="4"/>
  <c r="J26" i="4"/>
  <c r="L26" i="4"/>
  <c r="L27" i="4"/>
  <c r="J112" i="4"/>
  <c r="L112" i="4"/>
  <c r="L113" i="4"/>
  <c r="J69" i="4"/>
  <c r="L69" i="4"/>
  <c r="L70" i="4"/>
  <c r="K153" i="4"/>
  <c r="L153" i="4"/>
  <c r="K116" i="4"/>
  <c r="L116" i="4"/>
  <c r="K30" i="4"/>
  <c r="L30" i="4"/>
  <c r="K73" i="4"/>
  <c r="L73" i="4"/>
  <c r="J125" i="4"/>
  <c r="J84" i="4"/>
  <c r="J41" i="4"/>
  <c r="J162" i="4"/>
  <c r="E79" i="8"/>
  <c r="E75" i="4"/>
  <c r="E22" i="4"/>
  <c r="C107" i="5"/>
  <c r="D33" i="4"/>
  <c r="C108" i="4"/>
  <c r="E108" i="4"/>
  <c r="C18" i="8"/>
  <c r="E18" i="8"/>
  <c r="K26" i="6"/>
  <c r="C110" i="6"/>
  <c r="E110" i="6"/>
  <c r="E15" i="4"/>
  <c r="AA6" i="1"/>
  <c r="Z57" i="1"/>
  <c r="J40" i="1"/>
  <c r="C11" i="1"/>
  <c r="E11" i="1"/>
  <c r="Q11" i="1"/>
  <c r="S11" i="1"/>
  <c r="J11" i="1"/>
  <c r="L11" i="1"/>
  <c r="J17" i="17"/>
  <c r="C14" i="17"/>
  <c r="E14" i="17"/>
  <c r="Q15" i="1"/>
  <c r="J15" i="1"/>
  <c r="C15" i="1"/>
  <c r="E15" i="1"/>
  <c r="Q20" i="1"/>
  <c r="S20" i="1"/>
  <c r="J20" i="1"/>
  <c r="L20" i="1"/>
  <c r="C20" i="1"/>
  <c r="E20" i="1"/>
  <c r="Q22" i="1"/>
  <c r="S22" i="1"/>
  <c r="J23" i="1"/>
  <c r="L23" i="1"/>
  <c r="Q23" i="1"/>
  <c r="S23" i="1"/>
  <c r="J22" i="1"/>
  <c r="L22" i="1"/>
  <c r="C22" i="1"/>
  <c r="E22" i="1"/>
  <c r="R35" i="1"/>
  <c r="S35" i="1"/>
  <c r="K35" i="1"/>
  <c r="L35" i="1"/>
  <c r="J44" i="1"/>
  <c r="Q44" i="1"/>
  <c r="C16" i="1"/>
  <c r="E16" i="1"/>
  <c r="Q16" i="1"/>
  <c r="S16" i="1"/>
  <c r="J16" i="1"/>
  <c r="L16" i="1"/>
  <c r="X9" i="1"/>
  <c r="X10" i="1"/>
  <c r="K16" i="6"/>
  <c r="C59" i="6"/>
  <c r="E59" i="6"/>
  <c r="Q13" i="1"/>
  <c r="S13" i="1"/>
  <c r="J13" i="1"/>
  <c r="L13" i="1"/>
  <c r="C13" i="1"/>
  <c r="E13" i="1"/>
  <c r="J18" i="1"/>
  <c r="L18" i="1"/>
  <c r="C18" i="1"/>
  <c r="E18" i="1"/>
  <c r="Q18" i="1"/>
  <c r="S18" i="1"/>
  <c r="J21" i="1"/>
  <c r="L21" i="1"/>
  <c r="C21" i="1"/>
  <c r="E21" i="1"/>
  <c r="Q21" i="1"/>
  <c r="S21" i="1"/>
  <c r="Q26" i="1"/>
  <c r="S26" i="1"/>
  <c r="J26" i="1"/>
  <c r="L26" i="1"/>
  <c r="C25" i="1"/>
  <c r="E25" i="1"/>
  <c r="R34" i="1"/>
  <c r="K34" i="1"/>
  <c r="D33" i="1"/>
  <c r="E33" i="1"/>
  <c r="C58" i="4"/>
  <c r="E58" i="4"/>
  <c r="S22" i="9"/>
  <c r="J28" i="14"/>
  <c r="C24" i="14"/>
  <c r="S9" i="9"/>
  <c r="S10" i="9"/>
  <c r="E56" i="5"/>
  <c r="E15" i="5"/>
  <c r="E104" i="4"/>
  <c r="E15" i="7"/>
  <c r="E62" i="7"/>
  <c r="E28" i="8"/>
  <c r="R42" i="4"/>
  <c r="D106" i="4"/>
  <c r="C52" i="7"/>
  <c r="E52" i="7"/>
  <c r="E16" i="17"/>
  <c r="E14" i="11"/>
  <c r="E27" i="10"/>
  <c r="D28" i="10"/>
  <c r="C21" i="17"/>
  <c r="E21" i="17"/>
  <c r="J26" i="17"/>
  <c r="C73" i="8"/>
  <c r="C62" i="8"/>
  <c r="E62" i="8"/>
  <c r="I23" i="8"/>
  <c r="E28" i="7"/>
  <c r="E13" i="7"/>
  <c r="J9" i="7"/>
  <c r="J10" i="7"/>
  <c r="K10" i="7"/>
  <c r="J32" i="7"/>
  <c r="D16" i="7"/>
  <c r="D23" i="6"/>
  <c r="J15" i="12"/>
  <c r="C13" i="12"/>
  <c r="E13" i="12"/>
  <c r="E19" i="6"/>
  <c r="D76" i="6"/>
  <c r="D118" i="6"/>
  <c r="E30" i="8"/>
  <c r="E62" i="6"/>
  <c r="E17" i="6"/>
  <c r="E24" i="19"/>
  <c r="B43" i="24"/>
  <c r="E96" i="5"/>
  <c r="E28" i="5"/>
  <c r="E68" i="5"/>
  <c r="E69" i="5"/>
  <c r="E110" i="5"/>
  <c r="E98" i="5"/>
  <c r="D140" i="4"/>
  <c r="E140" i="4"/>
  <c r="D145" i="4"/>
  <c r="E61" i="4"/>
  <c r="P42" i="4"/>
  <c r="D20" i="4"/>
  <c r="Q42" i="4"/>
  <c r="D63" i="4"/>
  <c r="D66" i="4"/>
  <c r="C13" i="8"/>
  <c r="E13" i="8"/>
  <c r="C104" i="6"/>
  <c r="E104" i="6"/>
  <c r="E59" i="4"/>
  <c r="E18" i="7"/>
  <c r="E32" i="4"/>
  <c r="E30" i="4"/>
  <c r="E31" i="4"/>
  <c r="D19" i="10"/>
  <c r="C142" i="5"/>
  <c r="C65" i="4"/>
  <c r="E65" i="4"/>
  <c r="C145" i="4"/>
  <c r="C14" i="4"/>
  <c r="E14" i="4"/>
  <c r="J15" i="10"/>
  <c r="C13" i="10"/>
  <c r="E13" i="10"/>
  <c r="K17" i="6"/>
  <c r="E152" i="4"/>
  <c r="D13" i="4"/>
  <c r="E13" i="4"/>
  <c r="E19" i="17"/>
  <c r="E23" i="17"/>
  <c r="J56" i="6"/>
  <c r="C82" i="6"/>
  <c r="C121" i="4"/>
  <c r="D19" i="11"/>
  <c r="E18" i="11"/>
  <c r="I54" i="8"/>
  <c r="C80" i="4"/>
  <c r="J36" i="15"/>
  <c r="C28" i="15"/>
  <c r="C158" i="4"/>
  <c r="C13" i="6"/>
  <c r="E13" i="6"/>
  <c r="C37" i="4"/>
  <c r="J43" i="11"/>
  <c r="C35" i="11"/>
  <c r="S45" i="9"/>
  <c r="L49" i="5"/>
  <c r="J45" i="7"/>
  <c r="J40" i="10"/>
  <c r="C32" i="10"/>
  <c r="J62" i="17"/>
  <c r="C40" i="17"/>
  <c r="C24" i="5"/>
  <c r="E33" i="6"/>
  <c r="C20" i="4"/>
  <c r="E20" i="4"/>
  <c r="S20" i="9"/>
  <c r="D34" i="6"/>
  <c r="E61" i="6"/>
  <c r="J40" i="11"/>
  <c r="S42" i="9"/>
  <c r="L9" i="5"/>
  <c r="L10" i="5"/>
  <c r="J9" i="6"/>
  <c r="J10" i="6"/>
  <c r="E20" i="14"/>
  <c r="J14" i="14"/>
  <c r="C12" i="14"/>
  <c r="E12" i="14"/>
  <c r="E14" i="14"/>
  <c r="C18" i="4"/>
  <c r="E18" i="4"/>
  <c r="J18" i="10"/>
  <c r="C16" i="10"/>
  <c r="E16" i="10"/>
  <c r="C16" i="5"/>
  <c r="J18" i="11"/>
  <c r="C16" i="11"/>
  <c r="E16" i="11"/>
  <c r="S18" i="9"/>
  <c r="K23" i="6"/>
  <c r="C62" i="4"/>
  <c r="E62" i="4"/>
  <c r="C105" i="4"/>
  <c r="J19" i="10"/>
  <c r="C42" i="6"/>
  <c r="C86" i="6"/>
  <c r="E11" i="12"/>
  <c r="J34" i="15"/>
  <c r="C56" i="4"/>
  <c r="E56" i="4"/>
  <c r="I14" i="6"/>
  <c r="C11" i="6"/>
  <c r="E11" i="6"/>
  <c r="C99" i="4"/>
  <c r="E20" i="6"/>
  <c r="C26" i="7"/>
  <c r="E26" i="7"/>
  <c r="C60" i="7"/>
  <c r="E60" i="7"/>
  <c r="I9" i="8"/>
  <c r="I10" i="8"/>
  <c r="X28" i="1"/>
  <c r="X25" i="1"/>
  <c r="E14" i="12"/>
  <c r="D34" i="17"/>
  <c r="J60" i="17"/>
  <c r="E31" i="8"/>
  <c r="E78" i="8"/>
  <c r="D35" i="1"/>
  <c r="C68" i="6"/>
  <c r="E68" i="6"/>
  <c r="E15" i="15"/>
  <c r="E16" i="15"/>
  <c r="E19" i="15"/>
  <c r="E20" i="15"/>
  <c r="D20" i="15"/>
  <c r="K24" i="6"/>
  <c r="C108" i="6"/>
  <c r="E23" i="32"/>
  <c r="E11" i="32"/>
  <c r="E11" i="34"/>
  <c r="E20" i="32"/>
  <c r="D30" i="35"/>
  <c r="E30" i="35"/>
  <c r="E19" i="32"/>
  <c r="D19" i="34"/>
  <c r="D80" i="8"/>
  <c r="D112" i="5"/>
  <c r="D29" i="5"/>
  <c r="E16" i="5"/>
  <c r="E13" i="5"/>
  <c r="E19" i="4"/>
  <c r="C116" i="31"/>
  <c r="C26" i="31"/>
  <c r="C72" i="31"/>
  <c r="M122" i="33"/>
  <c r="N122" i="33" s="1"/>
  <c r="K79" i="33"/>
  <c r="L79" i="33"/>
  <c r="M28" i="33"/>
  <c r="N28" i="33"/>
  <c r="D28" i="33"/>
  <c r="M79" i="33"/>
  <c r="N79" i="33" s="1"/>
  <c r="K28" i="33"/>
  <c r="L28" i="33" s="1"/>
  <c r="K122" i="33"/>
  <c r="L122" i="33" s="1"/>
  <c r="C94" i="5"/>
  <c r="E94" i="5"/>
  <c r="C136" i="5"/>
  <c r="E136" i="5"/>
  <c r="E139" i="5"/>
  <c r="E142" i="5"/>
  <c r="E143" i="5"/>
  <c r="C11" i="5"/>
  <c r="C16" i="7"/>
  <c r="E16" i="7"/>
  <c r="E19" i="7"/>
  <c r="C106" i="4"/>
  <c r="E106" i="4"/>
  <c r="C11" i="30"/>
  <c r="C95" i="30"/>
  <c r="C137" i="30"/>
  <c r="C52" i="30"/>
  <c r="J60" i="33"/>
  <c r="N60" i="33" s="1"/>
  <c r="C9" i="33"/>
  <c r="J9" i="33"/>
  <c r="J103" i="33"/>
  <c r="K54" i="31"/>
  <c r="J41" i="35"/>
  <c r="D28" i="35"/>
  <c r="C17" i="30"/>
  <c r="E17" i="30"/>
  <c r="C58" i="30"/>
  <c r="C101" i="30"/>
  <c r="J109" i="33"/>
  <c r="J15" i="33"/>
  <c r="C15" i="33"/>
  <c r="E15" i="33" s="1"/>
  <c r="S20" i="33"/>
  <c r="J16" i="33" s="1"/>
  <c r="J66" i="33"/>
  <c r="J20" i="35"/>
  <c r="C18" i="35"/>
  <c r="E18" i="35"/>
  <c r="C17" i="35"/>
  <c r="E17" i="35"/>
  <c r="C112" i="31"/>
  <c r="C68" i="31"/>
  <c r="E68" i="31"/>
  <c r="J112" i="33"/>
  <c r="N112" i="33" s="1"/>
  <c r="J18" i="33"/>
  <c r="N18" i="33" s="1"/>
  <c r="C18" i="33"/>
  <c r="J69" i="33"/>
  <c r="C152" i="30"/>
  <c r="C117" i="30"/>
  <c r="C126" i="31"/>
  <c r="C38" i="31"/>
  <c r="C82" i="31"/>
  <c r="J84" i="33"/>
  <c r="J33" i="33"/>
  <c r="D16" i="15"/>
  <c r="E17" i="14"/>
  <c r="E18" i="14"/>
  <c r="E22" i="14"/>
  <c r="C63" i="4"/>
  <c r="E63" i="4"/>
  <c r="C66" i="6"/>
  <c r="D18" i="12"/>
  <c r="D26" i="17"/>
  <c r="D19" i="7"/>
  <c r="C22" i="7"/>
  <c r="J38" i="10"/>
  <c r="M70" i="9"/>
  <c r="N70" i="9"/>
  <c r="M27" i="9"/>
  <c r="N27" i="9"/>
  <c r="C13" i="34"/>
  <c r="E13" i="34"/>
  <c r="C13" i="35"/>
  <c r="E13" i="35"/>
  <c r="C13" i="30"/>
  <c r="J52" i="8"/>
  <c r="C72" i="6"/>
  <c r="M121" i="33"/>
  <c r="K78" i="33"/>
  <c r="K27" i="33"/>
  <c r="M78" i="33"/>
  <c r="M27" i="33"/>
  <c r="S43" i="33"/>
  <c r="D27" i="33"/>
  <c r="K121" i="33"/>
  <c r="D120" i="31"/>
  <c r="E120" i="31"/>
  <c r="E76" i="31"/>
  <c r="C24" i="30"/>
  <c r="C108" i="30"/>
  <c r="J73" i="33"/>
  <c r="C22" i="33"/>
  <c r="J22" i="33"/>
  <c r="J116" i="33"/>
  <c r="C139" i="30"/>
  <c r="C57" i="30"/>
  <c r="C100" i="30"/>
  <c r="D121" i="31"/>
  <c r="D77" i="31"/>
  <c r="E77" i="31"/>
  <c r="E13" i="17"/>
  <c r="E13" i="32"/>
  <c r="E23" i="31"/>
  <c r="C103" i="31"/>
  <c r="E103" i="31"/>
  <c r="E57" i="31"/>
  <c r="I38" i="34"/>
  <c r="D26" i="34"/>
  <c r="D26" i="32"/>
  <c r="E21" i="32"/>
  <c r="C65" i="31"/>
  <c r="E65" i="31"/>
  <c r="C109" i="31"/>
  <c r="E109" i="31"/>
  <c r="I20" i="34"/>
  <c r="C18" i="34"/>
  <c r="E18" i="34"/>
  <c r="C17" i="34"/>
  <c r="E17" i="34"/>
  <c r="C20" i="30"/>
  <c r="C61" i="30"/>
  <c r="C104" i="30"/>
  <c r="M105" i="9"/>
  <c r="L9" i="9"/>
  <c r="E53" i="7"/>
  <c r="E56" i="7"/>
  <c r="E57" i="7"/>
  <c r="D57" i="7"/>
  <c r="R24" i="2"/>
  <c r="J16" i="9"/>
  <c r="L16" i="9"/>
  <c r="J102" i="9"/>
  <c r="J24" i="2"/>
  <c r="L24" i="2"/>
  <c r="C24" i="2"/>
  <c r="E24" i="2"/>
  <c r="J20" i="2"/>
  <c r="L20" i="2"/>
  <c r="C20" i="2"/>
  <c r="E20" i="2"/>
  <c r="C17" i="2"/>
  <c r="E17" i="2"/>
  <c r="J17" i="2"/>
  <c r="L17" i="2"/>
  <c r="J13" i="2"/>
  <c r="L13" i="2"/>
  <c r="C13" i="2"/>
  <c r="E13" i="2"/>
  <c r="C21" i="26"/>
  <c r="E21" i="26"/>
  <c r="C19" i="26"/>
  <c r="E19" i="26"/>
  <c r="J14" i="2"/>
  <c r="L14" i="2"/>
  <c r="C14" i="2"/>
  <c r="E14" i="2"/>
  <c r="C101" i="27"/>
  <c r="E101" i="27"/>
  <c r="E109" i="27"/>
  <c r="E112" i="27"/>
  <c r="E113" i="27"/>
  <c r="C14" i="27"/>
  <c r="E14" i="27"/>
  <c r="E23" i="27"/>
  <c r="E26" i="27"/>
  <c r="E27" i="27"/>
  <c r="C58" i="27"/>
  <c r="E58" i="27"/>
  <c r="E66" i="27"/>
  <c r="E69" i="27"/>
  <c r="E70" i="27"/>
  <c r="K62" i="9"/>
  <c r="M54" i="9"/>
  <c r="L101" i="9"/>
  <c r="N101" i="9"/>
  <c r="D76" i="4"/>
  <c r="R28" i="2"/>
  <c r="R27" i="2"/>
  <c r="J14" i="9"/>
  <c r="N14" i="9"/>
  <c r="J100" i="9"/>
  <c r="D154" i="4"/>
  <c r="E27" i="5"/>
  <c r="J18" i="9"/>
  <c r="N18" i="9"/>
  <c r="J104" i="9"/>
  <c r="L104" i="9"/>
  <c r="D34" i="8"/>
  <c r="L55" i="9"/>
  <c r="N55" i="9"/>
  <c r="C24" i="26"/>
  <c r="E24" i="26"/>
  <c r="C20" i="26"/>
  <c r="E20" i="26"/>
  <c r="L17" i="26"/>
  <c r="C17" i="26"/>
  <c r="E17" i="26"/>
  <c r="C13" i="26"/>
  <c r="E13" i="26"/>
  <c r="L98" i="9"/>
  <c r="N98" i="9"/>
  <c r="K105" i="9"/>
  <c r="L95" i="9"/>
  <c r="N95" i="9"/>
  <c r="J15" i="11"/>
  <c r="C13" i="11"/>
  <c r="E13" i="11"/>
  <c r="E19" i="11"/>
  <c r="E22" i="11"/>
  <c r="E23" i="11"/>
  <c r="D23" i="11"/>
  <c r="S15" i="9"/>
  <c r="J43" i="2"/>
  <c r="C43" i="2"/>
  <c r="C21" i="2"/>
  <c r="E21" i="2"/>
  <c r="J21" i="2"/>
  <c r="L21" i="2"/>
  <c r="J19" i="2"/>
  <c r="L19" i="2"/>
  <c r="C19" i="2"/>
  <c r="E19" i="2"/>
  <c r="C13" i="3"/>
  <c r="E13" i="3"/>
  <c r="E21" i="3"/>
  <c r="E24" i="3"/>
  <c r="E25" i="3"/>
  <c r="C57" i="3"/>
  <c r="E57" i="3"/>
  <c r="E64" i="3"/>
  <c r="E67" i="3"/>
  <c r="E68" i="3"/>
  <c r="C101" i="3"/>
  <c r="E101" i="3"/>
  <c r="E109" i="3"/>
  <c r="E112" i="3"/>
  <c r="E113" i="3"/>
  <c r="C145" i="3"/>
  <c r="E145" i="3"/>
  <c r="E153" i="3"/>
  <c r="E156" i="3"/>
  <c r="E157" i="3"/>
  <c r="C14" i="26"/>
  <c r="E14" i="26"/>
  <c r="C11" i="2"/>
  <c r="E11" i="2"/>
  <c r="J11" i="2"/>
  <c r="L11" i="2"/>
  <c r="M114" i="9"/>
  <c r="N114" i="9"/>
  <c r="K114" i="9"/>
  <c r="L114" i="9"/>
  <c r="J33" i="9"/>
  <c r="J119" i="9"/>
  <c r="K59" i="9"/>
  <c r="K16" i="9"/>
  <c r="M16" i="9"/>
  <c r="L112" i="9"/>
  <c r="K115" i="9"/>
  <c r="N112" i="9"/>
  <c r="E9" i="9"/>
  <c r="L14" i="9"/>
  <c r="K28" i="9"/>
  <c r="L28" i="9"/>
  <c r="M28" i="9"/>
  <c r="N28" i="9"/>
  <c r="N16" i="9"/>
  <c r="D146" i="4"/>
  <c r="K70" i="4"/>
  <c r="L78" i="4"/>
  <c r="L80" i="4"/>
  <c r="L82" i="4"/>
  <c r="L26" i="9"/>
  <c r="K29" i="9"/>
  <c r="K113" i="4"/>
  <c r="L119" i="4"/>
  <c r="L121" i="4"/>
  <c r="L123" i="4"/>
  <c r="K150" i="4"/>
  <c r="N26" i="9"/>
  <c r="K19" i="9"/>
  <c r="M9" i="9"/>
  <c r="C18" i="9"/>
  <c r="J61" i="9"/>
  <c r="N69" i="9"/>
  <c r="E26" i="9"/>
  <c r="N58" i="9"/>
  <c r="L58" i="9"/>
  <c r="C14" i="9"/>
  <c r="E14" i="9"/>
  <c r="J57" i="9"/>
  <c r="D28" i="9"/>
  <c r="E28" i="9"/>
  <c r="K71" i="9"/>
  <c r="L71" i="9"/>
  <c r="M71" i="9"/>
  <c r="N71" i="9"/>
  <c r="C16" i="9"/>
  <c r="J59" i="9"/>
  <c r="C33" i="9"/>
  <c r="J76" i="9"/>
  <c r="M59" i="9"/>
  <c r="L69" i="9"/>
  <c r="K72" i="9"/>
  <c r="M57" i="9"/>
  <c r="N52" i="9"/>
  <c r="E18" i="9"/>
  <c r="L35" i="4"/>
  <c r="K27" i="4"/>
  <c r="S33" i="9"/>
  <c r="D16" i="9"/>
  <c r="H150" i="9"/>
  <c r="K76" i="4"/>
  <c r="K117" i="4"/>
  <c r="K33" i="4"/>
  <c r="K154" i="4"/>
  <c r="L152" i="4"/>
  <c r="L156" i="4"/>
  <c r="L158" i="4"/>
  <c r="L160" i="4"/>
  <c r="Q40" i="1"/>
  <c r="L34" i="1"/>
  <c r="K36" i="1"/>
  <c r="AK45" i="1"/>
  <c r="AK46" i="1"/>
  <c r="R15" i="1"/>
  <c r="R28" i="1"/>
  <c r="AK35" i="1"/>
  <c r="AK36" i="1"/>
  <c r="K15" i="1"/>
  <c r="K28" i="1"/>
  <c r="S15" i="1"/>
  <c r="C23" i="1"/>
  <c r="Q24" i="1"/>
  <c r="S24" i="1"/>
  <c r="J24" i="1"/>
  <c r="L24" i="1"/>
  <c r="C26" i="1"/>
  <c r="E26" i="1"/>
  <c r="Q27" i="1"/>
  <c r="S27" i="1"/>
  <c r="J27" i="1"/>
  <c r="L27" i="1"/>
  <c r="S34" i="1"/>
  <c r="R36" i="1"/>
  <c r="E99" i="4"/>
  <c r="E145" i="4"/>
  <c r="E146" i="4"/>
  <c r="E149" i="4"/>
  <c r="E150" i="4"/>
  <c r="D150" i="4"/>
  <c r="E105" i="4"/>
  <c r="F21" i="18"/>
  <c r="F25" i="19"/>
  <c r="C67" i="8"/>
  <c r="C19" i="8"/>
  <c r="E76" i="6"/>
  <c r="D78" i="6"/>
  <c r="E118" i="6"/>
  <c r="D120" i="6"/>
  <c r="D109" i="4"/>
  <c r="E66" i="4"/>
  <c r="E69" i="4"/>
  <c r="E70" i="4"/>
  <c r="D70" i="4"/>
  <c r="E23" i="4"/>
  <c r="E26" i="4"/>
  <c r="E27" i="4"/>
  <c r="D27" i="4"/>
  <c r="D23" i="4"/>
  <c r="C20" i="5"/>
  <c r="C61" i="5"/>
  <c r="E61" i="5"/>
  <c r="C103" i="5"/>
  <c r="E103" i="5"/>
  <c r="C60" i="6"/>
  <c r="E60" i="6"/>
  <c r="C103" i="6"/>
  <c r="E103" i="6"/>
  <c r="C69" i="8"/>
  <c r="E69" i="8"/>
  <c r="C21" i="8"/>
  <c r="E21" i="8"/>
  <c r="C38" i="6"/>
  <c r="C124" i="6"/>
  <c r="E23" i="1"/>
  <c r="J40" i="8"/>
  <c r="D67" i="8"/>
  <c r="I40" i="8"/>
  <c r="D19" i="8"/>
  <c r="C57" i="8"/>
  <c r="E57" i="8"/>
  <c r="C11" i="8"/>
  <c r="E11" i="8"/>
  <c r="D24" i="15"/>
  <c r="E22" i="15"/>
  <c r="C17" i="10"/>
  <c r="E17" i="10"/>
  <c r="J20" i="10"/>
  <c r="C18" i="10"/>
  <c r="E18" i="10"/>
  <c r="C65" i="6"/>
  <c r="E65" i="6"/>
  <c r="C107" i="6"/>
  <c r="E107" i="6"/>
  <c r="D18" i="14"/>
  <c r="L38" i="5"/>
  <c r="D59" i="5"/>
  <c r="D62" i="5"/>
  <c r="K38" i="5"/>
  <c r="D18" i="5"/>
  <c r="D21" i="5"/>
  <c r="M38" i="5"/>
  <c r="D101" i="5"/>
  <c r="D104" i="5"/>
  <c r="J41" i="11"/>
  <c r="D30" i="11"/>
  <c r="C66" i="7"/>
  <c r="C32" i="7"/>
  <c r="C84" i="8"/>
  <c r="C38" i="8"/>
  <c r="E34" i="17"/>
  <c r="D36" i="17"/>
  <c r="E23" i="6"/>
  <c r="E26" i="6"/>
  <c r="E27" i="6"/>
  <c r="E18" i="12"/>
  <c r="E21" i="12"/>
  <c r="E22" i="12"/>
  <c r="C17" i="5"/>
  <c r="C100" i="5"/>
  <c r="E100" i="5"/>
  <c r="C58" i="5"/>
  <c r="E58" i="5"/>
  <c r="L22" i="5"/>
  <c r="K41" i="6"/>
  <c r="L41" i="6"/>
  <c r="D108" i="6"/>
  <c r="S43" i="9"/>
  <c r="C116" i="5"/>
  <c r="C74" i="5"/>
  <c r="C33" i="5"/>
  <c r="C151" i="5"/>
  <c r="N104" i="9"/>
  <c r="E121" i="31"/>
  <c r="E112" i="31"/>
  <c r="H14" i="41"/>
  <c r="I14" i="41" s="1"/>
  <c r="E26" i="15"/>
  <c r="E28" i="15"/>
  <c r="E64" i="7"/>
  <c r="E66" i="7"/>
  <c r="E68" i="7"/>
  <c r="D73" i="7"/>
  <c r="E73" i="7"/>
  <c r="E13" i="30"/>
  <c r="E11" i="30"/>
  <c r="E20" i="5"/>
  <c r="E17" i="5"/>
  <c r="E11" i="5"/>
  <c r="M29" i="9"/>
  <c r="L18" i="9"/>
  <c r="E19" i="35"/>
  <c r="E22" i="35"/>
  <c r="E23" i="35"/>
  <c r="D23" i="35"/>
  <c r="L24" i="26"/>
  <c r="L21" i="26"/>
  <c r="L20" i="26"/>
  <c r="L19" i="26"/>
  <c r="L14" i="26"/>
  <c r="L13" i="26"/>
  <c r="E22" i="7"/>
  <c r="E23" i="7"/>
  <c r="D23" i="7"/>
  <c r="D66" i="6"/>
  <c r="D69" i="6"/>
  <c r="D29" i="33"/>
  <c r="M29" i="33"/>
  <c r="N27" i="33"/>
  <c r="K29" i="33"/>
  <c r="L27" i="33"/>
  <c r="N121" i="33"/>
  <c r="L112" i="33"/>
  <c r="J110" i="33"/>
  <c r="L110" i="33" s="1"/>
  <c r="L113" i="33" s="1"/>
  <c r="L116" i="33" s="1"/>
  <c r="L117" i="33" s="1"/>
  <c r="J67" i="33"/>
  <c r="D31" i="35"/>
  <c r="E28" i="35"/>
  <c r="E75" i="31"/>
  <c r="D78" i="31"/>
  <c r="L9" i="33"/>
  <c r="L60" i="33"/>
  <c r="E19" i="34"/>
  <c r="E22" i="34"/>
  <c r="E23" i="34"/>
  <c r="D28" i="34"/>
  <c r="E26" i="34"/>
  <c r="E26" i="31"/>
  <c r="E27" i="31"/>
  <c r="L121" i="33"/>
  <c r="N78" i="33"/>
  <c r="L78" i="33"/>
  <c r="K80" i="33"/>
  <c r="J105" i="33"/>
  <c r="C11" i="33"/>
  <c r="E11" i="33" s="1"/>
  <c r="J11" i="33"/>
  <c r="N11" i="33" s="1"/>
  <c r="J62" i="33"/>
  <c r="C105" i="31"/>
  <c r="E105" i="31"/>
  <c r="E60" i="31"/>
  <c r="L18" i="33"/>
  <c r="N109" i="33"/>
  <c r="L109" i="33"/>
  <c r="C18" i="30"/>
  <c r="C59" i="30"/>
  <c r="C102" i="30"/>
  <c r="D122" i="31"/>
  <c r="E119" i="31"/>
  <c r="L103" i="33"/>
  <c r="N103" i="33"/>
  <c r="C110" i="31"/>
  <c r="E110" i="31"/>
  <c r="C66" i="31"/>
  <c r="E66" i="31"/>
  <c r="E35" i="27"/>
  <c r="D27" i="27"/>
  <c r="L84" i="4"/>
  <c r="K87" i="4"/>
  <c r="L87" i="4"/>
  <c r="L88" i="4"/>
  <c r="L89" i="4"/>
  <c r="D26" i="24"/>
  <c r="N34" i="37"/>
  <c r="D68" i="3"/>
  <c r="E76" i="3"/>
  <c r="E78" i="3"/>
  <c r="E80" i="3"/>
  <c r="C14" i="8"/>
  <c r="E14" i="8"/>
  <c r="C60" i="8"/>
  <c r="E60" i="8"/>
  <c r="C26" i="2"/>
  <c r="E26" i="2"/>
  <c r="J26" i="2"/>
  <c r="L26" i="2"/>
  <c r="C25" i="26"/>
  <c r="E25" i="26"/>
  <c r="M62" i="9"/>
  <c r="L102" i="9"/>
  <c r="N102" i="9"/>
  <c r="C22" i="26"/>
  <c r="E22" i="26"/>
  <c r="E121" i="3"/>
  <c r="D113" i="3"/>
  <c r="D25" i="3"/>
  <c r="E33" i="3"/>
  <c r="E35" i="3"/>
  <c r="E37" i="3"/>
  <c r="J97" i="9"/>
  <c r="J54" i="9"/>
  <c r="J11" i="9"/>
  <c r="C11" i="9"/>
  <c r="E11" i="9"/>
  <c r="L100" i="9"/>
  <c r="N100" i="9"/>
  <c r="J25" i="2"/>
  <c r="L25" i="2"/>
  <c r="C25" i="2"/>
  <c r="C26" i="26"/>
  <c r="E26" i="26"/>
  <c r="D70" i="27"/>
  <c r="E78" i="27"/>
  <c r="D113" i="27"/>
  <c r="E119" i="27"/>
  <c r="C22" i="2"/>
  <c r="E22" i="2"/>
  <c r="J22" i="2"/>
  <c r="L22" i="2"/>
  <c r="L27" i="2"/>
  <c r="L30" i="2"/>
  <c r="L31" i="2"/>
  <c r="E165" i="3"/>
  <c r="D157" i="3"/>
  <c r="C43" i="24"/>
  <c r="D43" i="24"/>
  <c r="H43" i="24"/>
  <c r="E35" i="4"/>
  <c r="E37" i="4"/>
  <c r="E16" i="9"/>
  <c r="L59" i="9"/>
  <c r="M115" i="9"/>
  <c r="K165" i="4"/>
  <c r="L165" i="4"/>
  <c r="L166" i="4"/>
  <c r="L169" i="4"/>
  <c r="L162" i="4"/>
  <c r="L125" i="4"/>
  <c r="K128" i="4"/>
  <c r="L128" i="4"/>
  <c r="L129" i="4"/>
  <c r="L130" i="4"/>
  <c r="D5" i="24"/>
  <c r="M19" i="9"/>
  <c r="N9" i="9"/>
  <c r="D19" i="9"/>
  <c r="N59" i="9"/>
  <c r="D29" i="9"/>
  <c r="M72" i="9"/>
  <c r="L61" i="9"/>
  <c r="N61" i="9"/>
  <c r="L57" i="9"/>
  <c r="N57" i="9"/>
  <c r="L37" i="4"/>
  <c r="L39" i="4"/>
  <c r="E30" i="7"/>
  <c r="E32" i="7"/>
  <c r="E34" i="7"/>
  <c r="E39" i="7"/>
  <c r="L15" i="1"/>
  <c r="L28" i="1"/>
  <c r="L31" i="1"/>
  <c r="L32" i="1"/>
  <c r="L38" i="1"/>
  <c r="L40" i="1"/>
  <c r="L42" i="1"/>
  <c r="E78" i="4"/>
  <c r="E80" i="4"/>
  <c r="E156" i="4"/>
  <c r="E158" i="4"/>
  <c r="E160" i="4"/>
  <c r="D169" i="4"/>
  <c r="E169" i="4"/>
  <c r="S28" i="1"/>
  <c r="S31" i="1"/>
  <c r="S32" i="1"/>
  <c r="S38" i="1"/>
  <c r="E109" i="4"/>
  <c r="E112" i="4"/>
  <c r="E113" i="4"/>
  <c r="D113" i="4"/>
  <c r="E19" i="10"/>
  <c r="E22" i="10"/>
  <c r="E23" i="10"/>
  <c r="D23" i="10"/>
  <c r="D143" i="5"/>
  <c r="E149" i="5"/>
  <c r="E151" i="5"/>
  <c r="E153" i="5"/>
  <c r="G153" i="5"/>
  <c r="G155" i="5"/>
  <c r="G158" i="5"/>
  <c r="F28" i="18"/>
  <c r="G28" i="18"/>
  <c r="E36" i="6"/>
  <c r="D27" i="6"/>
  <c r="J30" i="17"/>
  <c r="C25" i="17"/>
  <c r="E25" i="17"/>
  <c r="E26" i="17"/>
  <c r="E29" i="17"/>
  <c r="E30" i="17"/>
  <c r="E30" i="11"/>
  <c r="E33" i="11"/>
  <c r="D31" i="11"/>
  <c r="E30" i="15"/>
  <c r="D22" i="8"/>
  <c r="E19" i="8"/>
  <c r="E27" i="1"/>
  <c r="E30" i="1"/>
  <c r="E31" i="1"/>
  <c r="D31" i="1"/>
  <c r="D111" i="6"/>
  <c r="E108" i="6"/>
  <c r="E111" i="6"/>
  <c r="E114" i="6"/>
  <c r="E115" i="6"/>
  <c r="C59" i="5"/>
  <c r="E59" i="5"/>
  <c r="E62" i="5"/>
  <c r="E65" i="5"/>
  <c r="E66" i="5"/>
  <c r="C18" i="5"/>
  <c r="C101" i="5"/>
  <c r="E101" i="5"/>
  <c r="E104" i="5"/>
  <c r="E107" i="5"/>
  <c r="E108" i="5"/>
  <c r="E28" i="12"/>
  <c r="D22" i="12"/>
  <c r="E24" i="14"/>
  <c r="E26" i="14"/>
  <c r="D70" i="8"/>
  <c r="E67" i="8"/>
  <c r="L167" i="4"/>
  <c r="H20" i="41"/>
  <c r="H15" i="41"/>
  <c r="I15" i="41" s="1"/>
  <c r="H26" i="41"/>
  <c r="I26" i="41"/>
  <c r="E70" i="8"/>
  <c r="E73" i="8"/>
  <c r="E74" i="8"/>
  <c r="D74" i="8"/>
  <c r="B28" i="24"/>
  <c r="M23" i="37"/>
  <c r="E74" i="7"/>
  <c r="H18" i="41"/>
  <c r="I18" i="41"/>
  <c r="E18" i="5"/>
  <c r="E21" i="5"/>
  <c r="E24" i="5"/>
  <c r="E25" i="5"/>
  <c r="D25" i="5"/>
  <c r="E33" i="35"/>
  <c r="L26" i="26"/>
  <c r="L25" i="26"/>
  <c r="L22" i="26"/>
  <c r="E113" i="31"/>
  <c r="E116" i="31"/>
  <c r="E117" i="31"/>
  <c r="E124" i="31"/>
  <c r="E25" i="2"/>
  <c r="C25" i="32"/>
  <c r="E25" i="32"/>
  <c r="E26" i="32"/>
  <c r="E29" i="32"/>
  <c r="E30" i="32"/>
  <c r="N105" i="33"/>
  <c r="H33" i="41"/>
  <c r="I33" i="41" s="1"/>
  <c r="L105" i="33"/>
  <c r="H32" i="41"/>
  <c r="I32" i="41" s="1"/>
  <c r="N110" i="33"/>
  <c r="E66" i="6"/>
  <c r="E69" i="6"/>
  <c r="E72" i="6"/>
  <c r="E73" i="6"/>
  <c r="E80" i="6"/>
  <c r="E39" i="4"/>
  <c r="D46" i="4"/>
  <c r="E46" i="4"/>
  <c r="E22" i="8"/>
  <c r="E25" i="8"/>
  <c r="E26" i="8"/>
  <c r="D26" i="8"/>
  <c r="E19" i="9"/>
  <c r="E22" i="9"/>
  <c r="E23" i="9"/>
  <c r="E31" i="9"/>
  <c r="E33" i="9"/>
  <c r="E35" i="9"/>
  <c r="E37" i="9"/>
  <c r="E69" i="31"/>
  <c r="E72" i="31"/>
  <c r="E73" i="31"/>
  <c r="L62" i="33"/>
  <c r="E36" i="31"/>
  <c r="D27" i="31"/>
  <c r="D23" i="34"/>
  <c r="E30" i="34"/>
  <c r="E32" i="34"/>
  <c r="E34" i="34"/>
  <c r="E27" i="2"/>
  <c r="E30" i="2"/>
  <c r="E31" i="2"/>
  <c r="D31" i="2"/>
  <c r="K31" i="2"/>
  <c r="L37" i="2"/>
  <c r="L39" i="2"/>
  <c r="L41" i="2"/>
  <c r="E167" i="3"/>
  <c r="E169" i="3"/>
  <c r="N11" i="9"/>
  <c r="L11" i="9"/>
  <c r="L19" i="9"/>
  <c r="L22" i="9"/>
  <c r="L23" i="9"/>
  <c r="N97" i="9"/>
  <c r="N105" i="9"/>
  <c r="N108" i="9"/>
  <c r="N109" i="9"/>
  <c r="L97" i="9"/>
  <c r="L105" i="9"/>
  <c r="L108" i="9"/>
  <c r="L109" i="9"/>
  <c r="E123" i="3"/>
  <c r="E125" i="3"/>
  <c r="E27" i="26"/>
  <c r="E30" i="26"/>
  <c r="E31" i="26"/>
  <c r="N19" i="9"/>
  <c r="N22" i="9"/>
  <c r="N23" i="9"/>
  <c r="M23" i="9"/>
  <c r="E121" i="27"/>
  <c r="E123" i="27"/>
  <c r="E80" i="27"/>
  <c r="E82" i="27"/>
  <c r="N54" i="9"/>
  <c r="N62" i="9"/>
  <c r="N65" i="9"/>
  <c r="N66" i="9"/>
  <c r="L54" i="9"/>
  <c r="L62" i="9"/>
  <c r="L65" i="9"/>
  <c r="L66" i="9"/>
  <c r="D44" i="3"/>
  <c r="E44" i="3"/>
  <c r="D45" i="3"/>
  <c r="E45" i="3"/>
  <c r="E39" i="3"/>
  <c r="D42" i="3"/>
  <c r="E42" i="3"/>
  <c r="F43" i="3"/>
  <c r="F45" i="3"/>
  <c r="D46" i="3"/>
  <c r="E46" i="3"/>
  <c r="E82" i="3"/>
  <c r="D87" i="3"/>
  <c r="E87" i="3"/>
  <c r="D90" i="3"/>
  <c r="E90" i="3"/>
  <c r="D88" i="3"/>
  <c r="E88" i="3"/>
  <c r="D85" i="3"/>
  <c r="E85" i="3"/>
  <c r="F86" i="3"/>
  <c r="F89" i="3"/>
  <c r="D89" i="3"/>
  <c r="E89" i="3"/>
  <c r="E37" i="27"/>
  <c r="E39" i="27"/>
  <c r="L168" i="4"/>
  <c r="G159" i="5"/>
  <c r="D4" i="24"/>
  <c r="E82" i="4"/>
  <c r="D91" i="4"/>
  <c r="E91" i="4"/>
  <c r="E70" i="7"/>
  <c r="D165" i="4"/>
  <c r="E165" i="4"/>
  <c r="F166" i="4"/>
  <c r="F167" i="4"/>
  <c r="D23" i="9"/>
  <c r="N31" i="9"/>
  <c r="D42" i="9"/>
  <c r="E42" i="9"/>
  <c r="B35" i="24"/>
  <c r="R32" i="1"/>
  <c r="K44" i="4"/>
  <c r="L44" i="4"/>
  <c r="L45" i="4"/>
  <c r="L46" i="4"/>
  <c r="D25" i="24"/>
  <c r="L41" i="4"/>
  <c r="D167" i="4"/>
  <c r="E167" i="4"/>
  <c r="E162" i="4"/>
  <c r="D168" i="4"/>
  <c r="E168" i="4"/>
  <c r="K32" i="1"/>
  <c r="K47" i="1"/>
  <c r="L47" i="1"/>
  <c r="L48" i="1"/>
  <c r="L49" i="1"/>
  <c r="M42" i="1"/>
  <c r="M44" i="1"/>
  <c r="M47" i="1"/>
  <c r="M48" i="1"/>
  <c r="D8" i="24"/>
  <c r="L44" i="1"/>
  <c r="S40" i="1"/>
  <c r="S42" i="1"/>
  <c r="E82" i="6"/>
  <c r="E84" i="6"/>
  <c r="E30" i="10"/>
  <c r="E28" i="18"/>
  <c r="E119" i="4"/>
  <c r="E121" i="4"/>
  <c r="E123" i="4"/>
  <c r="D128" i="4"/>
  <c r="E128" i="4"/>
  <c r="F129" i="4"/>
  <c r="E15" i="18"/>
  <c r="D158" i="5"/>
  <c r="E158" i="5"/>
  <c r="D160" i="5"/>
  <c r="E160" i="5"/>
  <c r="D161" i="5"/>
  <c r="E161" i="5"/>
  <c r="D162" i="5"/>
  <c r="E162" i="5"/>
  <c r="E155" i="5"/>
  <c r="D115" i="6"/>
  <c r="E122" i="6"/>
  <c r="D73" i="6"/>
  <c r="E114" i="5"/>
  <c r="D108" i="5"/>
  <c r="D66" i="5"/>
  <c r="E72" i="5"/>
  <c r="E36" i="8"/>
  <c r="F27" i="18"/>
  <c r="E36" i="7"/>
  <c r="D44" i="4"/>
  <c r="E44" i="4"/>
  <c r="F45" i="4"/>
  <c r="D48" i="4"/>
  <c r="E48" i="4"/>
  <c r="E41" i="4"/>
  <c r="E35" i="11"/>
  <c r="E37" i="11"/>
  <c r="E38" i="6"/>
  <c r="E40" i="6"/>
  <c r="E28" i="14"/>
  <c r="D31" i="14"/>
  <c r="E31" i="14"/>
  <c r="D33" i="14"/>
  <c r="E33" i="14"/>
  <c r="E84" i="4"/>
  <c r="D90" i="4"/>
  <c r="E90" i="4"/>
  <c r="E30" i="12"/>
  <c r="E32" i="12"/>
  <c r="E37" i="1"/>
  <c r="E32" i="15"/>
  <c r="E35" i="15"/>
  <c r="E36" i="15"/>
  <c r="D37" i="15"/>
  <c r="D30" i="17"/>
  <c r="E38" i="17"/>
  <c r="F15" i="18"/>
  <c r="G15" i="18"/>
  <c r="E32" i="10"/>
  <c r="E34" i="10"/>
  <c r="D43" i="10"/>
  <c r="E43" i="10"/>
  <c r="I20" i="41"/>
  <c r="H27" i="41"/>
  <c r="I27" i="41"/>
  <c r="H24" i="41"/>
  <c r="I24" i="41"/>
  <c r="H25" i="41"/>
  <c r="I25" i="41"/>
  <c r="H30" i="41"/>
  <c r="I30" i="41" s="1"/>
  <c r="H22" i="41"/>
  <c r="I22" i="41"/>
  <c r="H23" i="41"/>
  <c r="I23" i="41"/>
  <c r="E37" i="15"/>
  <c r="E35" i="35"/>
  <c r="E37" i="35"/>
  <c r="E82" i="8"/>
  <c r="E84" i="8"/>
  <c r="E86" i="8"/>
  <c r="B27" i="24"/>
  <c r="M13" i="37"/>
  <c r="E40" i="7"/>
  <c r="D117" i="31"/>
  <c r="D40" i="9"/>
  <c r="E40" i="9"/>
  <c r="E31" i="5"/>
  <c r="E33" i="5"/>
  <c r="E35" i="5"/>
  <c r="L27" i="26"/>
  <c r="L30" i="26"/>
  <c r="L31" i="26"/>
  <c r="L37" i="26"/>
  <c r="B6" i="24"/>
  <c r="M15" i="37"/>
  <c r="M81" i="31"/>
  <c r="M82" i="31"/>
  <c r="E36" i="34"/>
  <c r="D39" i="34"/>
  <c r="E39" i="34"/>
  <c r="E40" i="34"/>
  <c r="D73" i="31"/>
  <c r="E80" i="31"/>
  <c r="D30" i="32"/>
  <c r="E38" i="32"/>
  <c r="E126" i="31"/>
  <c r="E128" i="31"/>
  <c r="D47" i="4"/>
  <c r="E47" i="4"/>
  <c r="D43" i="9"/>
  <c r="E43" i="9"/>
  <c r="E37" i="2"/>
  <c r="E38" i="31"/>
  <c r="E40" i="31"/>
  <c r="E84" i="27"/>
  <c r="D90" i="27"/>
  <c r="E90" i="27"/>
  <c r="D87" i="27"/>
  <c r="E87" i="27"/>
  <c r="F88" i="27"/>
  <c r="F89" i="27"/>
  <c r="D91" i="27"/>
  <c r="E91" i="27"/>
  <c r="D89" i="27"/>
  <c r="E89" i="27"/>
  <c r="E127" i="3"/>
  <c r="D132" i="3"/>
  <c r="E132" i="3"/>
  <c r="D134" i="3"/>
  <c r="E134" i="3"/>
  <c r="D130" i="3"/>
  <c r="E130" i="3"/>
  <c r="F131" i="3"/>
  <c r="F134" i="3"/>
  <c r="D133" i="3"/>
  <c r="E133" i="3"/>
  <c r="D132" i="27"/>
  <c r="E132" i="27"/>
  <c r="D130" i="27"/>
  <c r="E130" i="27"/>
  <c r="E125" i="27"/>
  <c r="D131" i="27"/>
  <c r="E131" i="27"/>
  <c r="D128" i="27"/>
  <c r="E128" i="27"/>
  <c r="F129" i="27"/>
  <c r="F130" i="27"/>
  <c r="D174" i="3"/>
  <c r="E174" i="3"/>
  <c r="F175" i="3"/>
  <c r="F177" i="3"/>
  <c r="D176" i="3"/>
  <c r="E176" i="3"/>
  <c r="E171" i="3"/>
  <c r="D178" i="3"/>
  <c r="E178" i="3"/>
  <c r="D177" i="3"/>
  <c r="E177" i="3"/>
  <c r="E41" i="27"/>
  <c r="D46" i="27"/>
  <c r="E46" i="27"/>
  <c r="D48" i="27"/>
  <c r="E48" i="27"/>
  <c r="D47" i="27"/>
  <c r="E47" i="27"/>
  <c r="D44" i="27"/>
  <c r="E44" i="27"/>
  <c r="F45" i="27"/>
  <c r="F46" i="27"/>
  <c r="L74" i="9"/>
  <c r="L76" i="9"/>
  <c r="L78" i="9"/>
  <c r="K66" i="9"/>
  <c r="K109" i="9"/>
  <c r="L117" i="9"/>
  <c r="L119" i="9"/>
  <c r="L121" i="9"/>
  <c r="K126" i="9"/>
  <c r="L126" i="9"/>
  <c r="L127" i="9"/>
  <c r="L128" i="9"/>
  <c r="D39" i="24"/>
  <c r="K23" i="9"/>
  <c r="L31" i="9"/>
  <c r="L33" i="9"/>
  <c r="L35" i="9"/>
  <c r="K40" i="9"/>
  <c r="L40" i="9"/>
  <c r="L41" i="9"/>
  <c r="L42" i="9"/>
  <c r="D35" i="24"/>
  <c r="L43" i="2"/>
  <c r="M43" i="2"/>
  <c r="M46" i="2"/>
  <c r="M47" i="2"/>
  <c r="D2" i="24"/>
  <c r="M41" i="2"/>
  <c r="K46" i="2"/>
  <c r="L46" i="2"/>
  <c r="L47" i="2"/>
  <c r="L48" i="2"/>
  <c r="E39" i="2"/>
  <c r="E41" i="2"/>
  <c r="D23" i="24"/>
  <c r="H159" i="5"/>
  <c r="H23" i="24"/>
  <c r="N74" i="9"/>
  <c r="N76" i="9"/>
  <c r="N78" i="9"/>
  <c r="N80" i="9"/>
  <c r="N83" i="9"/>
  <c r="N84" i="9"/>
  <c r="N85" i="9"/>
  <c r="D38" i="24"/>
  <c r="M66" i="9"/>
  <c r="D31" i="26"/>
  <c r="E37" i="26"/>
  <c r="N117" i="9"/>
  <c r="N119" i="9"/>
  <c r="N121" i="9"/>
  <c r="N123" i="9"/>
  <c r="N126" i="9"/>
  <c r="N127" i="9"/>
  <c r="N128" i="9"/>
  <c r="D40" i="24"/>
  <c r="M109" i="9"/>
  <c r="L39" i="26"/>
  <c r="L41" i="26"/>
  <c r="M81" i="6"/>
  <c r="M82" i="6"/>
  <c r="D89" i="4"/>
  <c r="E89" i="4"/>
  <c r="D87" i="4"/>
  <c r="E87" i="4"/>
  <c r="F88" i="4"/>
  <c r="F89" i="4"/>
  <c r="E136" i="6"/>
  <c r="B26" i="24"/>
  <c r="M34" i="37"/>
  <c r="P34" i="37"/>
  <c r="F20" i="18"/>
  <c r="G20" i="18"/>
  <c r="B23" i="24"/>
  <c r="D3" i="24"/>
  <c r="F39" i="18"/>
  <c r="G39" i="18"/>
  <c r="F38" i="18"/>
  <c r="G38" i="18"/>
  <c r="B42" i="24"/>
  <c r="F12" i="18"/>
  <c r="G12" i="18"/>
  <c r="E94" i="6"/>
  <c r="B25" i="24"/>
  <c r="M32" i="37"/>
  <c r="P32" i="37"/>
  <c r="B3" i="24"/>
  <c r="M18" i="37"/>
  <c r="P18" i="37"/>
  <c r="Q18" i="37"/>
  <c r="C28" i="24"/>
  <c r="D28" i="24"/>
  <c r="H28" i="24"/>
  <c r="N23" i="37"/>
  <c r="P23" i="37"/>
  <c r="Q23" i="37"/>
  <c r="C6" i="24"/>
  <c r="D6" i="24"/>
  <c r="H6" i="24"/>
  <c r="N15" i="37"/>
  <c r="L80" i="9"/>
  <c r="K83" i="9"/>
  <c r="L83" i="9"/>
  <c r="L84" i="9"/>
  <c r="L85" i="9"/>
  <c r="D37" i="24"/>
  <c r="N33" i="9"/>
  <c r="N35" i="9"/>
  <c r="N37" i="9"/>
  <c r="N40" i="9"/>
  <c r="N41" i="9"/>
  <c r="N42" i="9"/>
  <c r="D36" i="24"/>
  <c r="F41" i="9"/>
  <c r="F42" i="9"/>
  <c r="C35" i="24"/>
  <c r="D130" i="4"/>
  <c r="E130" i="4"/>
  <c r="L81" i="31"/>
  <c r="L82" i="31"/>
  <c r="B10" i="24"/>
  <c r="C10" i="24"/>
  <c r="F130" i="4"/>
  <c r="C5" i="24"/>
  <c r="F46" i="4"/>
  <c r="S44" i="1"/>
  <c r="T42" i="1"/>
  <c r="T44" i="1"/>
  <c r="T47" i="1"/>
  <c r="T48" i="1"/>
  <c r="D9" i="24"/>
  <c r="R47" i="1"/>
  <c r="S47" i="1"/>
  <c r="S48" i="1"/>
  <c r="S49" i="1"/>
  <c r="E86" i="6"/>
  <c r="D91" i="6"/>
  <c r="E91" i="6"/>
  <c r="D93" i="6"/>
  <c r="E93" i="6"/>
  <c r="D89" i="6"/>
  <c r="E89" i="6"/>
  <c r="D92" i="6"/>
  <c r="E92" i="6"/>
  <c r="D131" i="4"/>
  <c r="E131" i="4"/>
  <c r="E125" i="4"/>
  <c r="D132" i="4"/>
  <c r="E132" i="4"/>
  <c r="E38" i="18"/>
  <c r="F32" i="14"/>
  <c r="E39" i="18"/>
  <c r="E20" i="18"/>
  <c r="F159" i="5"/>
  <c r="E27" i="18"/>
  <c r="G27" i="18"/>
  <c r="F13" i="18"/>
  <c r="G13" i="18"/>
  <c r="E13" i="18"/>
  <c r="E12" i="18"/>
  <c r="E14" i="18"/>
  <c r="D39" i="10"/>
  <c r="E39" i="10"/>
  <c r="B32" i="24"/>
  <c r="M16" i="37"/>
  <c r="D42" i="10"/>
  <c r="E42" i="10"/>
  <c r="D41" i="10"/>
  <c r="E41" i="10"/>
  <c r="F35" i="18"/>
  <c r="G35" i="18"/>
  <c r="E36" i="10"/>
  <c r="E40" i="17"/>
  <c r="E42" i="17"/>
  <c r="E39" i="1"/>
  <c r="E41" i="1"/>
  <c r="D37" i="12"/>
  <c r="E37" i="12"/>
  <c r="B41" i="24"/>
  <c r="M22" i="37"/>
  <c r="F37" i="18"/>
  <c r="G37" i="18"/>
  <c r="E34" i="12"/>
  <c r="F14" i="18"/>
  <c r="G14" i="18"/>
  <c r="D48" i="6"/>
  <c r="E48" i="6"/>
  <c r="D49" i="6"/>
  <c r="E49" i="6"/>
  <c r="D47" i="6"/>
  <c r="E47" i="6"/>
  <c r="B24" i="24"/>
  <c r="M36" i="37"/>
  <c r="D45" i="6"/>
  <c r="E45" i="6"/>
  <c r="E42" i="6"/>
  <c r="D44" i="11"/>
  <c r="E44" i="11"/>
  <c r="D46" i="11"/>
  <c r="E46" i="11"/>
  <c r="D45" i="11"/>
  <c r="E45" i="11"/>
  <c r="D42" i="11"/>
  <c r="E42" i="11"/>
  <c r="E39" i="11"/>
  <c r="E38" i="8"/>
  <c r="E40" i="8"/>
  <c r="E45" i="8"/>
  <c r="E116" i="5"/>
  <c r="E118" i="5"/>
  <c r="G118" i="5"/>
  <c r="G120" i="5"/>
  <c r="G123" i="5"/>
  <c r="E124" i="6"/>
  <c r="E74" i="5"/>
  <c r="E76" i="5"/>
  <c r="L123" i="9"/>
  <c r="E93" i="8"/>
  <c r="E91" i="8"/>
  <c r="H31" i="41"/>
  <c r="I31" i="41" s="1"/>
  <c r="B31" i="24"/>
  <c r="E43" i="35"/>
  <c r="E44" i="35"/>
  <c r="E45" i="35"/>
  <c r="E42" i="35"/>
  <c r="D44" i="35"/>
  <c r="E39" i="35"/>
  <c r="H33" i="24"/>
  <c r="N17" i="37"/>
  <c r="H32" i="24"/>
  <c r="N16" i="37"/>
  <c r="P16" i="37"/>
  <c r="Q16" i="37"/>
  <c r="L37" i="9"/>
  <c r="K31" i="26"/>
  <c r="D45" i="31"/>
  <c r="E45" i="31"/>
  <c r="F46" i="31"/>
  <c r="F47" i="31"/>
  <c r="H24" i="24"/>
  <c r="N36" i="37"/>
  <c r="P36" i="37"/>
  <c r="Q36" i="37"/>
  <c r="D47" i="31"/>
  <c r="E47" i="31"/>
  <c r="O81" i="31"/>
  <c r="O82" i="31"/>
  <c r="E42" i="31"/>
  <c r="Q32" i="37"/>
  <c r="P33" i="37"/>
  <c r="Q33" i="37"/>
  <c r="K81" i="31"/>
  <c r="K82" i="31"/>
  <c r="D133" i="31"/>
  <c r="E130" i="31"/>
  <c r="E133" i="31"/>
  <c r="F135" i="31"/>
  <c r="P15" i="37"/>
  <c r="Q15" i="37"/>
  <c r="P35" i="37"/>
  <c r="Q35" i="37"/>
  <c r="Q34" i="37"/>
  <c r="B4" i="24"/>
  <c r="M14" i="37"/>
  <c r="P14" i="37"/>
  <c r="Q14" i="37"/>
  <c r="E40" i="32"/>
  <c r="E42" i="32"/>
  <c r="E47" i="32"/>
  <c r="E49" i="32"/>
  <c r="E82" i="31"/>
  <c r="E84" i="31"/>
  <c r="D50" i="2"/>
  <c r="E50" i="2"/>
  <c r="D46" i="2"/>
  <c r="E46" i="2"/>
  <c r="F47" i="2"/>
  <c r="F48" i="2"/>
  <c r="D49" i="2"/>
  <c r="E49" i="2"/>
  <c r="E43" i="2"/>
  <c r="D48" i="2"/>
  <c r="E48" i="2"/>
  <c r="K46" i="26"/>
  <c r="L46" i="26"/>
  <c r="L47" i="26"/>
  <c r="M41" i="26"/>
  <c r="L43" i="26"/>
  <c r="M43" i="26"/>
  <c r="M46" i="26"/>
  <c r="E39" i="26"/>
  <c r="E41" i="26"/>
  <c r="D51" i="1"/>
  <c r="E51" i="1"/>
  <c r="D53" i="1"/>
  <c r="E53" i="1"/>
  <c r="D52" i="1"/>
  <c r="E52" i="1"/>
  <c r="D50" i="1"/>
  <c r="E50" i="1"/>
  <c r="G124" i="5"/>
  <c r="F94" i="6"/>
  <c r="C25" i="24"/>
  <c r="C3" i="24"/>
  <c r="F136" i="6"/>
  <c r="C26" i="24"/>
  <c r="C4" i="24"/>
  <c r="F36" i="18"/>
  <c r="G36" i="18"/>
  <c r="B33" i="24"/>
  <c r="M17" i="37"/>
  <c r="C27" i="24"/>
  <c r="D27" i="24"/>
  <c r="H27" i="24"/>
  <c r="N13" i="37"/>
  <c r="P13" i="37"/>
  <c r="L81" i="6"/>
  <c r="L82" i="6"/>
  <c r="B5" i="24"/>
  <c r="M21" i="37"/>
  <c r="P21" i="37"/>
  <c r="Q21" i="37"/>
  <c r="C12" i="24"/>
  <c r="B12" i="24"/>
  <c r="D44" i="9"/>
  <c r="E44" i="9"/>
  <c r="F34" i="18"/>
  <c r="G34" i="18"/>
  <c r="E78" i="5"/>
  <c r="G76" i="5"/>
  <c r="G78" i="5"/>
  <c r="G81" i="5"/>
  <c r="E35" i="18"/>
  <c r="F40" i="10"/>
  <c r="E23" i="18"/>
  <c r="F46" i="6"/>
  <c r="F160" i="5"/>
  <c r="C23" i="24"/>
  <c r="F33" i="14"/>
  <c r="E36" i="18"/>
  <c r="F43" i="11"/>
  <c r="E37" i="18"/>
  <c r="F38" i="12"/>
  <c r="E88" i="8"/>
  <c r="D81" i="5"/>
  <c r="E81" i="5"/>
  <c r="D84" i="5"/>
  <c r="E84" i="5"/>
  <c r="D83" i="5"/>
  <c r="E83" i="5"/>
  <c r="D85" i="5"/>
  <c r="E85" i="5"/>
  <c r="D49" i="17"/>
  <c r="E49" i="17"/>
  <c r="D51" i="17"/>
  <c r="E51" i="17"/>
  <c r="D47" i="17"/>
  <c r="E47" i="17"/>
  <c r="D50" i="17"/>
  <c r="E50" i="17"/>
  <c r="E44" i="17"/>
  <c r="D42" i="5"/>
  <c r="E42" i="5"/>
  <c r="D40" i="5"/>
  <c r="E40" i="5"/>
  <c r="E37" i="5"/>
  <c r="D44" i="5"/>
  <c r="E44" i="5"/>
  <c r="D43" i="5"/>
  <c r="E43" i="5"/>
  <c r="D49" i="1"/>
  <c r="E49" i="1"/>
  <c r="E43" i="1"/>
  <c r="D46" i="1"/>
  <c r="E46" i="1"/>
  <c r="D48" i="1"/>
  <c r="E48" i="1"/>
  <c r="D126" i="5"/>
  <c r="E126" i="5"/>
  <c r="D127" i="5"/>
  <c r="E127" i="5"/>
  <c r="D123" i="5"/>
  <c r="E123" i="5"/>
  <c r="E120" i="5"/>
  <c r="D125" i="5"/>
  <c r="E125" i="5"/>
  <c r="E42" i="8"/>
  <c r="D47" i="8"/>
  <c r="E47" i="8"/>
  <c r="E126" i="6"/>
  <c r="O81" i="6"/>
  <c r="O82" i="6"/>
  <c r="F23" i="18"/>
  <c r="G23" i="18"/>
  <c r="F134" i="31"/>
  <c r="H28" i="41"/>
  <c r="I28" i="41" s="1"/>
  <c r="H19" i="41"/>
  <c r="I19" i="41"/>
  <c r="H13" i="41"/>
  <c r="I13" i="41" s="1"/>
  <c r="P17" i="37"/>
  <c r="Q17" i="37"/>
  <c r="E89" i="31"/>
  <c r="E91" i="31"/>
  <c r="M47" i="26"/>
  <c r="H2" i="24"/>
  <c r="E86" i="31"/>
  <c r="F90" i="31"/>
  <c r="F91" i="31"/>
  <c r="H34" i="24"/>
  <c r="N19" i="37"/>
  <c r="E44" i="32"/>
  <c r="G2" i="36"/>
  <c r="I2" i="36"/>
  <c r="Q13" i="37"/>
  <c r="D49" i="26"/>
  <c r="E49" i="26"/>
  <c r="D46" i="26"/>
  <c r="E46" i="26"/>
  <c r="F47" i="26"/>
  <c r="F48" i="26"/>
  <c r="D50" i="26"/>
  <c r="E50" i="26"/>
  <c r="D48" i="26"/>
  <c r="E48" i="26"/>
  <c r="E43" i="26"/>
  <c r="F3" i="18"/>
  <c r="G3" i="18"/>
  <c r="B7" i="24"/>
  <c r="D22" i="24"/>
  <c r="H124" i="5"/>
  <c r="H22" i="24"/>
  <c r="N28" i="37"/>
  <c r="G82" i="5"/>
  <c r="C41" i="24"/>
  <c r="D41" i="24"/>
  <c r="H41" i="24"/>
  <c r="N22" i="37"/>
  <c r="P22" i="37"/>
  <c r="Q22" i="37"/>
  <c r="F30" i="18"/>
  <c r="G30" i="18"/>
  <c r="B29" i="24"/>
  <c r="F19" i="18"/>
  <c r="G19" i="18"/>
  <c r="B22" i="24"/>
  <c r="M28" i="37"/>
  <c r="F33" i="18"/>
  <c r="B34" i="24"/>
  <c r="M19" i="37"/>
  <c r="F18" i="18"/>
  <c r="G18" i="18"/>
  <c r="B21" i="24"/>
  <c r="M29" i="37"/>
  <c r="D42" i="24"/>
  <c r="H42" i="24"/>
  <c r="C42" i="24"/>
  <c r="F5" i="18"/>
  <c r="G5" i="18"/>
  <c r="B2" i="24"/>
  <c r="F17" i="18"/>
  <c r="G17" i="18"/>
  <c r="B20" i="24"/>
  <c r="M27" i="37"/>
  <c r="F31" i="18"/>
  <c r="G31" i="18"/>
  <c r="B30" i="24"/>
  <c r="D31" i="24"/>
  <c r="H31" i="24"/>
  <c r="C31" i="24"/>
  <c r="D32" i="24"/>
  <c r="C32" i="24"/>
  <c r="E34" i="18"/>
  <c r="E18" i="18"/>
  <c r="F82" i="5"/>
  <c r="E30" i="18"/>
  <c r="E19" i="18"/>
  <c r="F124" i="5"/>
  <c r="E17" i="18"/>
  <c r="F41" i="5"/>
  <c r="E33" i="18"/>
  <c r="F48" i="17"/>
  <c r="F49" i="17"/>
  <c r="E31" i="18"/>
  <c r="F44" i="11"/>
  <c r="F47" i="6"/>
  <c r="F7" i="18"/>
  <c r="G7" i="18"/>
  <c r="F8" i="18"/>
  <c r="G8" i="18"/>
  <c r="E5" i="18"/>
  <c r="F47" i="1"/>
  <c r="D135" i="6"/>
  <c r="E135" i="6"/>
  <c r="D131" i="6"/>
  <c r="E131" i="6"/>
  <c r="D133" i="6"/>
  <c r="E133" i="6"/>
  <c r="D134" i="6"/>
  <c r="E134" i="6"/>
  <c r="E128" i="6"/>
  <c r="J81" i="31"/>
  <c r="J82" i="31"/>
  <c r="Q82" i="31"/>
  <c r="Q85" i="31"/>
  <c r="P19" i="37"/>
  <c r="Q19" i="37"/>
  <c r="Q47" i="37"/>
  <c r="K2" i="36"/>
  <c r="G16" i="36"/>
  <c r="F49" i="1"/>
  <c r="F51" i="1"/>
  <c r="F53" i="1"/>
  <c r="F50" i="1"/>
  <c r="F52" i="1"/>
  <c r="F48" i="1"/>
  <c r="C7" i="24"/>
  <c r="D21" i="24"/>
  <c r="H82" i="5"/>
  <c r="H21" i="24"/>
  <c r="N29" i="37"/>
  <c r="F9" i="18"/>
  <c r="G9" i="18"/>
  <c r="B14" i="24"/>
  <c r="C24" i="24"/>
  <c r="D24" i="24"/>
  <c r="D34" i="24"/>
  <c r="C34" i="24"/>
  <c r="F10" i="18"/>
  <c r="G10" i="18"/>
  <c r="B16" i="24"/>
  <c r="D33" i="24"/>
  <c r="C33" i="24"/>
  <c r="C2" i="24"/>
  <c r="E25" i="18"/>
  <c r="F132" i="6"/>
  <c r="E24" i="18"/>
  <c r="F90" i="6"/>
  <c r="F42" i="5"/>
  <c r="F125" i="5"/>
  <c r="C22" i="24"/>
  <c r="F83" i="5"/>
  <c r="C21" i="24"/>
  <c r="E8" i="18"/>
  <c r="E9" i="18"/>
  <c r="E7" i="18"/>
  <c r="E10" i="18"/>
  <c r="E3" i="18"/>
  <c r="K81" i="6"/>
  <c r="K82" i="6"/>
  <c r="F25" i="18"/>
  <c r="G25" i="18"/>
  <c r="F24" i="18"/>
  <c r="G24" i="18"/>
  <c r="J81" i="6"/>
  <c r="J82" i="6"/>
  <c r="H29" i="41"/>
  <c r="I29" i="41" s="1"/>
  <c r="Q84" i="31"/>
  <c r="Q86" i="31"/>
  <c r="G3" i="36"/>
  <c r="I3" i="36"/>
  <c r="I7" i="36"/>
  <c r="D30" i="24"/>
  <c r="H30" i="24"/>
  <c r="C30" i="24"/>
  <c r="D29" i="24"/>
  <c r="H29" i="24"/>
  <c r="C29" i="24"/>
  <c r="C20" i="24"/>
  <c r="D20" i="24"/>
  <c r="F91" i="6"/>
  <c r="F133" i="6"/>
  <c r="C16" i="24"/>
  <c r="C14" i="24"/>
  <c r="Q82" i="6"/>
  <c r="G15" i="36"/>
  <c r="G20" i="36"/>
  <c r="K3" i="36"/>
  <c r="K7" i="36"/>
  <c r="Q84" i="6"/>
  <c r="Q86" i="6"/>
  <c r="Q85" i="6"/>
  <c r="D113" i="30" l="1"/>
  <c r="C65" i="30"/>
  <c r="C74" i="30"/>
  <c r="M80" i="33"/>
  <c r="K123" i="33"/>
  <c r="C16" i="33"/>
  <c r="E16" i="33" s="1"/>
  <c r="M123" i="33"/>
  <c r="C33" i="33"/>
  <c r="N62" i="33"/>
  <c r="N9" i="33"/>
  <c r="L11" i="33"/>
  <c r="E14" i="33"/>
  <c r="N113" i="33"/>
  <c r="N116" i="33" s="1"/>
  <c r="N117" i="33" s="1"/>
  <c r="M117" i="33" s="1"/>
  <c r="N14" i="33"/>
  <c r="K63" i="33"/>
  <c r="L63" i="33" s="1"/>
  <c r="K14" i="33"/>
  <c r="L14" i="33" s="1"/>
  <c r="E9" i="33"/>
  <c r="D18" i="33"/>
  <c r="E18" i="33" s="1"/>
  <c r="M69" i="33"/>
  <c r="N69" i="33" s="1"/>
  <c r="L69" i="33"/>
  <c r="K117" i="33"/>
  <c r="L125" i="33"/>
  <c r="N125" i="33"/>
  <c r="E28" i="33"/>
  <c r="E27" i="33"/>
  <c r="H148" i="33"/>
  <c r="K66" i="33" s="1"/>
  <c r="M38" i="30"/>
  <c r="D59" i="30" s="1"/>
  <c r="E59" i="30" s="1"/>
  <c r="L38" i="30"/>
  <c r="D18" i="30" s="1"/>
  <c r="E18" i="30" s="1"/>
  <c r="N38" i="30"/>
  <c r="D102" i="30" s="1"/>
  <c r="E102" i="30" s="1"/>
  <c r="E54" i="30"/>
  <c r="E15" i="30"/>
  <c r="E99" i="30"/>
  <c r="E57" i="30"/>
  <c r="E139" i="30"/>
  <c r="E58" i="30"/>
  <c r="E20" i="30"/>
  <c r="E104" i="30"/>
  <c r="E95" i="30"/>
  <c r="E97" i="30"/>
  <c r="E56" i="30"/>
  <c r="E101" i="30"/>
  <c r="E61" i="30"/>
  <c r="D62" i="30"/>
  <c r="E52" i="30"/>
  <c r="E112" i="30"/>
  <c r="E111" i="30"/>
  <c r="E147" i="30"/>
  <c r="E146" i="30"/>
  <c r="D140" i="30"/>
  <c r="E137" i="30"/>
  <c r="E100" i="30"/>
  <c r="E28" i="30"/>
  <c r="E27" i="30"/>
  <c r="E68" i="30"/>
  <c r="E69" i="30"/>
  <c r="E62" i="30" l="1"/>
  <c r="E65" i="30" s="1"/>
  <c r="E66" i="30" s="1"/>
  <c r="D66" i="30" s="1"/>
  <c r="E140" i="30"/>
  <c r="E143" i="30" s="1"/>
  <c r="E144" i="30" s="1"/>
  <c r="E150" i="30" s="1"/>
  <c r="D21" i="30"/>
  <c r="E105" i="30"/>
  <c r="E108" i="30" s="1"/>
  <c r="E109" i="30" s="1"/>
  <c r="D109" i="30" s="1"/>
  <c r="E21" i="30"/>
  <c r="E24" i="30" s="1"/>
  <c r="E25" i="30" s="1"/>
  <c r="D25" i="30" s="1"/>
  <c r="E19" i="33"/>
  <c r="E22" i="33" s="1"/>
  <c r="E23" i="33" s="1"/>
  <c r="D23" i="33" s="1"/>
  <c r="D19" i="33"/>
  <c r="M66" i="33"/>
  <c r="K67" i="33"/>
  <c r="L66" i="33"/>
  <c r="L127" i="33"/>
  <c r="L129" i="33" s="1"/>
  <c r="N127" i="33"/>
  <c r="N129" i="33" s="1"/>
  <c r="N131" i="33" s="1"/>
  <c r="N134" i="33" s="1"/>
  <c r="N135" i="33" s="1"/>
  <c r="N136" i="33" s="1"/>
  <c r="H156" i="33"/>
  <c r="H157" i="33" s="1"/>
  <c r="D105" i="30"/>
  <c r="E72" i="30"/>
  <c r="E74" i="30" s="1"/>
  <c r="E76" i="30" s="1"/>
  <c r="D144" i="30" l="1"/>
  <c r="E115" i="30"/>
  <c r="E117" i="30" s="1"/>
  <c r="E119" i="30" s="1"/>
  <c r="E31" i="30"/>
  <c r="E33" i="30" s="1"/>
  <c r="E35" i="30" s="1"/>
  <c r="D40" i="30" s="1"/>
  <c r="E40" i="30" s="1"/>
  <c r="F41" i="30" s="1"/>
  <c r="E31" i="33"/>
  <c r="E33" i="33" s="1"/>
  <c r="E35" i="33" s="1"/>
  <c r="D42" i="33" s="1"/>
  <c r="E42" i="33" s="1"/>
  <c r="L134" i="33"/>
  <c r="L135" i="33" s="1"/>
  <c r="L136" i="33" s="1"/>
  <c r="L131" i="33"/>
  <c r="N137" i="33"/>
  <c r="H40" i="24"/>
  <c r="H158" i="33"/>
  <c r="H166" i="33" s="1"/>
  <c r="H167" i="33" s="1"/>
  <c r="K15" i="33"/>
  <c r="M67" i="33"/>
  <c r="N67" i="33" s="1"/>
  <c r="L67" i="33"/>
  <c r="K70" i="33"/>
  <c r="L70" i="33"/>
  <c r="L73" i="33" s="1"/>
  <c r="L74" i="33" s="1"/>
  <c r="N66" i="33"/>
  <c r="E78" i="30"/>
  <c r="G76" i="30"/>
  <c r="G78" i="30" s="1"/>
  <c r="G81" i="30" s="1"/>
  <c r="G82" i="30" s="1"/>
  <c r="H82" i="30" s="1"/>
  <c r="H83" i="30" s="1"/>
  <c r="D81" i="30"/>
  <c r="E81" i="30" s="1"/>
  <c r="F82" i="30" s="1"/>
  <c r="E152" i="30"/>
  <c r="E154" i="30" s="1"/>
  <c r="D42" i="30" l="1"/>
  <c r="E42" i="30" s="1"/>
  <c r="E37" i="30"/>
  <c r="D40" i="33"/>
  <c r="E40" i="33" s="1"/>
  <c r="F41" i="33" s="1"/>
  <c r="F42" i="33" s="1"/>
  <c r="D44" i="33"/>
  <c r="E44" i="33" s="1"/>
  <c r="N70" i="33"/>
  <c r="N73" i="33" s="1"/>
  <c r="N74" i="33" s="1"/>
  <c r="M74" i="33" s="1"/>
  <c r="E37" i="33"/>
  <c r="D43" i="33"/>
  <c r="E43" i="33" s="1"/>
  <c r="L137" i="33"/>
  <c r="H39" i="24"/>
  <c r="M70" i="33"/>
  <c r="L82" i="33"/>
  <c r="K74" i="33"/>
  <c r="M15" i="33"/>
  <c r="K16" i="33"/>
  <c r="L15" i="33"/>
  <c r="G154" i="30"/>
  <c r="G156" i="30" s="1"/>
  <c r="G159" i="30" s="1"/>
  <c r="G160" i="30" s="1"/>
  <c r="H160" i="30" s="1"/>
  <c r="H161" i="30" s="1"/>
  <c r="D159" i="30"/>
  <c r="E159" i="30" s="1"/>
  <c r="F160" i="30" s="1"/>
  <c r="E156" i="30"/>
  <c r="E121" i="30"/>
  <c r="G119" i="30"/>
  <c r="G121" i="30" s="1"/>
  <c r="G124" i="30" s="1"/>
  <c r="G125" i="30" s="1"/>
  <c r="H125" i="30" s="1"/>
  <c r="H126" i="30" s="1"/>
  <c r="D124" i="30"/>
  <c r="E124" i="30" s="1"/>
  <c r="F125" i="30" s="1"/>
  <c r="F42" i="30"/>
  <c r="H20" i="24" s="1"/>
  <c r="N27" i="37" s="1"/>
  <c r="H42" i="30"/>
  <c r="H43" i="30" s="1"/>
  <c r="N82" i="33" l="1"/>
  <c r="N84" i="33" s="1"/>
  <c r="N86" i="33" s="1"/>
  <c r="N88" i="33" s="1"/>
  <c r="M16" i="33"/>
  <c r="N16" i="33" s="1"/>
  <c r="L16" i="33"/>
  <c r="L19" i="33" s="1"/>
  <c r="L22" i="33" s="1"/>
  <c r="L23" i="33" s="1"/>
  <c r="K19" i="33"/>
  <c r="M19" i="33"/>
  <c r="N15" i="33"/>
  <c r="N19" i="33" s="1"/>
  <c r="N22" i="33" s="1"/>
  <c r="N23" i="33" s="1"/>
  <c r="L84" i="33"/>
  <c r="L86" i="33" s="1"/>
  <c r="K23" i="33" l="1"/>
  <c r="L31" i="33"/>
  <c r="N92" i="33"/>
  <c r="N93" i="33" s="1"/>
  <c r="N91" i="33"/>
  <c r="L92" i="33"/>
  <c r="L93" i="33" s="1"/>
  <c r="L88" i="33"/>
  <c r="L91" i="33"/>
  <c r="M23" i="33"/>
  <c r="N31" i="33"/>
  <c r="N33" i="33" l="1"/>
  <c r="N35" i="33" s="1"/>
  <c r="N37" i="33" s="1"/>
  <c r="N40" i="33" s="1"/>
  <c r="N41" i="33" s="1"/>
  <c r="N42" i="33" s="1"/>
  <c r="H37" i="24"/>
  <c r="L94" i="33"/>
  <c r="N94" i="33"/>
  <c r="H38" i="24"/>
  <c r="L33" i="33"/>
  <c r="L35" i="33" s="1"/>
  <c r="N43" i="33" l="1"/>
  <c r="H36" i="24"/>
  <c r="L37" i="33"/>
  <c r="K40" i="33"/>
  <c r="L40" i="33" s="1"/>
  <c r="L41" i="33" s="1"/>
  <c r="L42" i="33" s="1"/>
  <c r="L43" i="33" l="1"/>
  <c r="H35" i="24"/>
</calcChain>
</file>

<file path=xl/comments1.xml><?xml version="1.0" encoding="utf-8"?>
<comments xmlns="http://schemas.openxmlformats.org/spreadsheetml/2006/main">
  <authors>
    <author>hlee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6/5/12 - UPDATED</t>
        </r>
        <r>
          <rPr>
            <sz val="8"/>
            <color indexed="81"/>
            <rFont val="Tahoma"/>
            <family val="2"/>
          </rPr>
          <t xml:space="preserve">
80% Utilization- 6 and 9 beds
85% Utilization - 12 and 15beds</t>
        </r>
      </text>
    </comment>
  </commentList>
</comments>
</file>

<file path=xl/comments10.xml><?xml version="1.0" encoding="utf-8"?>
<comments xmlns="http://schemas.openxmlformats.org/spreadsheetml/2006/main">
  <authors>
    <author>CKE</author>
    <author>hlee</author>
    <author>celias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R18" authorId="1">
      <text>
        <r>
          <rPr>
            <b/>
            <sz val="8"/>
            <color indexed="81"/>
            <rFont val="Tahoma"/>
            <family val="2"/>
          </rPr>
          <t>hlee:3/1/2012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$49,136 to $50,000 (consistent rate update with YSTS)</t>
        </r>
      </text>
    </comment>
    <comment ref="P67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1.xml><?xml version="1.0" encoding="utf-8"?>
<comments xmlns="http://schemas.openxmlformats.org/spreadsheetml/2006/main">
  <authors>
    <author>CKE</author>
    <author>hlee</author>
    <author>celias</author>
  </authors>
  <commentList>
    <comment ref="P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P8" authorId="1">
      <text>
        <r>
          <rPr>
            <b/>
            <sz val="8"/>
            <color indexed="81"/>
            <rFont val="Tahoma"/>
            <family val="2"/>
          </rPr>
          <t>hlee: 3/2/2012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Q15" authorId="1">
      <text>
        <r>
          <rPr>
            <b/>
            <sz val="8"/>
            <color indexed="81"/>
            <rFont val="Tahoma"/>
            <family val="2"/>
          </rPr>
          <t xml:space="preserve">hlee: 3/1/2012
</t>
        </r>
        <r>
          <rPr>
            <sz val="8"/>
            <color indexed="81"/>
            <rFont val="Tahoma"/>
            <family val="2"/>
          </rPr>
          <t xml:space="preserve">After Post P.H Debriefing meeting with DCF/DMH on Feb.27th,  we decided to use the same rate as IRTP.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8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$46,648 to $50,000. (consistent rate update with YSTS)</t>
        </r>
      </text>
    </comment>
    <comment ref="O67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2.xml><?xml version="1.0" encoding="utf-8"?>
<comments xmlns="http://schemas.openxmlformats.org/spreadsheetml/2006/main">
  <authors>
    <author>CKE</author>
    <author>hlee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K8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L16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$46,648 to $50,000. (consistent rate update with YSTS)</t>
        </r>
      </text>
    </comment>
  </commentList>
</comments>
</file>

<file path=xl/comments13.xml><?xml version="1.0" encoding="utf-8"?>
<comments xmlns="http://schemas.openxmlformats.org/spreadsheetml/2006/main">
  <authors>
    <author>CKE</author>
    <author>hlee</author>
    <author>celias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>hlee: 3/2/2012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Relief factor remains the same as before at 7.5% for Community Wrap. 2 training days were added only for Skinny models.  Therefore, 7.5% was hard-entered. 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Uupdated from 1.98 to 2.09 after Post Public Hearing</t>
        </r>
      </text>
    </comment>
    <comment ref="H68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4.xml><?xml version="1.0" encoding="utf-8"?>
<comments xmlns="http://schemas.openxmlformats.org/spreadsheetml/2006/main">
  <authors>
    <author>CKE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</commentList>
</comments>
</file>

<file path=xl/comments15.xml><?xml version="1.0" encoding="utf-8"?>
<comments xmlns="http://schemas.openxmlformats.org/spreadsheetml/2006/main">
  <authors>
    <author>CKE</author>
    <author>hlee</author>
    <author>celias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I15" authorId="1">
      <text>
        <r>
          <rPr>
            <b/>
            <sz val="8"/>
            <color indexed="81"/>
            <rFont val="Tahoma"/>
            <family val="2"/>
          </rPr>
          <t>hlee:3/1/2012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use the same rate as IRTP.  </t>
        </r>
      </text>
    </comment>
    <comment ref="I18" authorId="1">
      <text>
        <r>
          <rPr>
            <b/>
            <sz val="8"/>
            <color indexed="81"/>
            <rFont val="Tahoma"/>
            <family val="2"/>
          </rPr>
          <t xml:space="preserve">hlee: 3/1/2012
</t>
        </r>
        <r>
          <rPr>
            <sz val="8"/>
            <color indexed="81"/>
            <rFont val="Tahoma"/>
            <family val="2"/>
          </rPr>
          <t xml:space="preserve">After Post P.H Debriefing meeting with DCF/DMH on Feb.27th,  we decided to update from $46,648 to $50,000. (consistent rate update with YSTS)
</t>
        </r>
      </text>
    </comment>
    <comment ref="G66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6.xml><?xml version="1.0" encoding="utf-8"?>
<comments xmlns="http://schemas.openxmlformats.org/spreadsheetml/2006/main">
  <authors>
    <author>CKE</author>
    <author>hlee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 xml:space="preserve">hlee: 3/5/2012
</t>
        </r>
        <r>
          <rPr>
            <sz val="8"/>
            <color indexed="81"/>
            <rFont val="Tahoma"/>
            <family val="2"/>
          </rPr>
          <t>After Debriefing meeting, addition 2 days were added. 5-&gt;7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CKE</author>
    <author>hlee</author>
    <author>celias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>hlee: 3/2/2012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Relief factor remains the same as before at 7.5% for Community Wrap. 2 training days were added only for Skinny models.  Therefore, 7.5% was hard-entered. </t>
        </r>
      </text>
    </comment>
    <comment ref="I16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use the same rate as IRTP.  </t>
        </r>
      </text>
    </comment>
    <comment ref="I19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$46,648 to $50,000. (consistent rate update with YSTS)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Uupdated from 1.98 to 2.09 after Post Public Hearing</t>
        </r>
      </text>
    </comment>
    <comment ref="H68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8.xml><?xml version="1.0" encoding="utf-8"?>
<comments xmlns="http://schemas.openxmlformats.org/spreadsheetml/2006/main">
  <authors>
    <author>CKE</author>
    <author>hlee</author>
    <author>celias</author>
  </authors>
  <commentList>
    <comment ref="I4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hlee: 3/6/2012</t>
        </r>
        <r>
          <rPr>
            <sz val="8"/>
            <color indexed="81"/>
            <rFont val="Tahoma"/>
            <family val="2"/>
          </rPr>
          <t xml:space="preserve">
Confirmed after phone conversation with DCF.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 xml:space="preserve">hlee: 3/1/2012
</t>
        </r>
        <r>
          <rPr>
            <sz val="8"/>
            <color indexed="81"/>
            <rFont val="Tahoma"/>
            <family val="2"/>
          </rPr>
          <t xml:space="preserve">After Post P.H Debriefing meeting with DCF/DMH on Feb.27th,  we decided to use the same rate as IRTP.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Nursing (LPN) was added after consolidating Intensive 1:3 G.H and SPECIALTY ADD-ON Model Budget - Medical Supplement Add-on. </t>
        </r>
      </text>
    </comment>
    <comment ref="J20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$46,648 to $50,000. (consistent rate update with YSTS)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hlee: 3/5/2012 - ◊</t>
        </r>
        <r>
          <rPr>
            <sz val="8"/>
            <color indexed="81"/>
            <rFont val="Tahoma"/>
            <family val="2"/>
          </rPr>
          <t xml:space="preserve">
Housekeeping and Maintenance were added after P.H. Based on discussion with DCF, the benchmark for  Maintainence, Groundskeeping, $30,381, in the IRTP and CIRT were applied.
</t>
        </r>
        <r>
          <rPr>
            <b/>
            <sz val="8"/>
            <color indexed="81"/>
            <rFont val="Tahoma"/>
            <family val="2"/>
          </rPr>
          <t>3/7/2012</t>
        </r>
        <r>
          <rPr>
            <sz val="8"/>
            <color indexed="81"/>
            <rFont val="Tahoma"/>
            <family val="2"/>
          </rPr>
          <t xml:space="preserve">: After discussion with Perry (DCF), Maintenance benchmark remains the same as before, but Housekeeping was changed from $38,381 to $28,500 (the same benchmark as DC staff.) </t>
        </r>
      </text>
    </comment>
    <comment ref="J38" authorId="1">
      <text>
        <r>
          <rPr>
            <b/>
            <sz val="8"/>
            <color indexed="81"/>
            <rFont val="Tahoma"/>
            <family val="2"/>
          </rPr>
          <t xml:space="preserve">hlee: 3/5/2012 
</t>
        </r>
        <r>
          <rPr>
            <sz val="8"/>
            <color indexed="81"/>
            <rFont val="Tahoma"/>
            <family val="2"/>
          </rPr>
          <t>1FTE for Nursing was carried over from the SPECIALTY ADD-ON Model Budget - Medical Supplement Add-on.</t>
        </r>
      </text>
    </comment>
    <comment ref="J39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Nursing (LPN) was added after consolidating Intensive 1:3 G.H and SPECIALTY ADD-ON Model Budget - Medical Supplement Add-on. </t>
        </r>
      </text>
    </comment>
    <comment ref="J50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Housekeeping and Maintenance were added after discussion with DCF on March 5th. 'Intensive G.H 1:3 model budget' and  'Specialty Add-On Model Budget- Medical Supplement Add-on' are consolidated to this model budget, Intensive GH with Expanded Nursing. </t>
        </r>
      </text>
    </comment>
    <comment ref="H74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19.xml><?xml version="1.0" encoding="utf-8"?>
<comments xmlns="http://schemas.openxmlformats.org/spreadsheetml/2006/main">
  <authors>
    <author>CKE</author>
    <author>hlee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</commentList>
</comments>
</file>

<file path=xl/comments2.xml><?xml version="1.0" encoding="utf-8"?>
<comments xmlns="http://schemas.openxmlformats.org/spreadsheetml/2006/main">
  <authors>
    <author>kara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kara:</t>
        </r>
        <r>
          <rPr>
            <sz val="9"/>
            <color indexed="81"/>
            <rFont val="Tahoma"/>
            <family val="2"/>
          </rPr>
          <t xml:space="preserve">
Prior to Rate Review</t>
        </r>
      </text>
    </comment>
  </commentList>
</comments>
</file>

<file path=xl/comments20.xml><?xml version="1.0" encoding="utf-8"?>
<comments xmlns="http://schemas.openxmlformats.org/spreadsheetml/2006/main">
  <authors>
    <author>celias</author>
  </authors>
  <commentList>
    <comment ref="H74" authorId="0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21.xml><?xml version="1.0" encoding="utf-8"?>
<comments xmlns="http://schemas.openxmlformats.org/spreadsheetml/2006/main">
  <authors>
    <author>CKE</author>
    <author>hlee</author>
  </authors>
  <commentList>
    <comment ref="R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R8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S33" authorId="1">
      <text>
        <r>
          <rPr>
            <b/>
            <sz val="8"/>
            <color indexed="81"/>
            <rFont val="Tahoma"/>
            <family val="2"/>
          </rPr>
          <t>hlee: 3/7/2012</t>
        </r>
        <r>
          <rPr>
            <sz val="8"/>
            <color indexed="81"/>
            <rFont val="Tahoma"/>
            <family val="2"/>
          </rPr>
          <t xml:space="preserve">
 Changed but need confirmation!</t>
        </r>
      </text>
    </comment>
  </commentList>
</comments>
</file>

<file path=xl/comments22.xml><?xml version="1.0" encoding="utf-8"?>
<comments xmlns="http://schemas.openxmlformats.org/spreadsheetml/2006/main">
  <authors>
    <author>CKE</author>
    <author>hlee</author>
  </authors>
  <commentList>
    <comment ref="R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R8" authorId="1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  <comment ref="S33" authorId="1">
      <text>
        <r>
          <rPr>
            <b/>
            <sz val="8"/>
            <color indexed="81"/>
            <rFont val="Tahoma"/>
            <family val="2"/>
          </rPr>
          <t>hlee: 3/7/2012</t>
        </r>
        <r>
          <rPr>
            <sz val="8"/>
            <color indexed="81"/>
            <rFont val="Tahoma"/>
            <family val="2"/>
          </rPr>
          <t xml:space="preserve">
 Changed but need confirmation!</t>
        </r>
      </text>
    </comment>
  </commentList>
</comments>
</file>

<file path=xl/comments23.xml><?xml version="1.0" encoding="utf-8"?>
<comments xmlns="http://schemas.openxmlformats.org/spreadsheetml/2006/main">
  <authors>
    <author>CKE</author>
    <author>hlee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 xml:space="preserve">hlee: 3/5/2012
</t>
        </r>
        <r>
          <rPr>
            <sz val="8"/>
            <color indexed="81"/>
            <rFont val="Tahoma"/>
            <family val="2"/>
          </rPr>
          <t>After Debriefing meeting, addition 2 days were added. 5-&gt;7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CKE</author>
    <author>hlee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I8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Debriefing meeting, addition 2 days were added. 5-&gt;7</t>
        </r>
      </text>
    </comment>
  </commentList>
</comments>
</file>

<file path=xl/comments25.xml><?xml version="1.0" encoding="utf-8"?>
<comments xmlns="http://schemas.openxmlformats.org/spreadsheetml/2006/main">
  <authors>
    <author>CKE</author>
    <author>hlee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J15" authorId="1">
      <text>
        <r>
          <rPr>
            <b/>
            <sz val="8"/>
            <color indexed="81"/>
            <rFont val="Tahoma"/>
            <family val="2"/>
          </rPr>
          <t xml:space="preserve">hlee: 3/1/2012
</t>
        </r>
        <r>
          <rPr>
            <sz val="8"/>
            <color indexed="81"/>
            <rFont val="Tahoma"/>
            <family val="2"/>
          </rPr>
          <t xml:space="preserve">After Post P.H Debriefing meeting with DCF/DMH on Feb.27th,  we decided to use the same rate as IRTP.  </t>
        </r>
      </text>
    </comment>
    <comment ref="J16" authorId="1">
      <text>
        <r>
          <rPr>
            <b/>
            <sz val="8"/>
            <color indexed="81"/>
            <rFont val="Tahoma"/>
            <family val="2"/>
          </rPr>
          <t>hlee:3/1/2012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from $45,934 to $50,000. (consistent rate update with YSTS)</t>
        </r>
      </text>
    </comment>
  </commentList>
</comments>
</file>

<file path=xl/comments26.xml><?xml version="1.0" encoding="utf-8"?>
<comments xmlns="http://schemas.openxmlformats.org/spreadsheetml/2006/main">
  <authors>
    <author>CKE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</commentList>
</comments>
</file>

<file path=xl/comments27.xml><?xml version="1.0" encoding="utf-8"?>
<comments xmlns="http://schemas.openxmlformats.org/spreadsheetml/2006/main">
  <authors>
    <author>CKE</author>
    <author>hlee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J14" authorId="1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from $46,648 to $50,000. (consistent rate update with YSTS)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Need name for model!</t>
        </r>
      </text>
    </comment>
  </commentList>
</comments>
</file>

<file path=xl/comments3.xml><?xml version="1.0" encoding="utf-8"?>
<comments xmlns="http://schemas.openxmlformats.org/spreadsheetml/2006/main">
  <authors>
    <author>CKE</author>
    <author>hlee</author>
  </authors>
  <commentList>
    <comment ref="W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X19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$49,136 to $50,000 (consistent rate update with YSTS)</t>
        </r>
      </text>
    </comment>
  </commentList>
</comments>
</file>

<file path=xl/comments4.xml><?xml version="1.0" encoding="utf-8"?>
<comments xmlns="http://schemas.openxmlformats.org/spreadsheetml/2006/main">
  <authors>
    <author>CKE</author>
    <author>hlee</author>
    <author>celias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R18" authorId="1">
      <text>
        <r>
          <rPr>
            <b/>
            <sz val="8"/>
            <color indexed="81"/>
            <rFont val="Tahoma"/>
            <family val="2"/>
          </rPr>
          <t>hlee:3/1/2012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$49,136 to $50,000 (consistent rate update with YSTS)</t>
        </r>
      </text>
    </comment>
    <comment ref="P67" authorId="2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5.xml><?xml version="1.0" encoding="utf-8"?>
<comments xmlns="http://schemas.openxmlformats.org/spreadsheetml/2006/main">
  <authors>
    <author>CKE</author>
    <author>kara</author>
    <author>hlee</author>
  </authors>
  <commentList>
    <comment ref="W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X12" authorId="1">
      <text>
        <r>
          <rPr>
            <b/>
            <sz val="9"/>
            <color indexed="81"/>
            <rFont val="Tahoma"/>
            <family val="2"/>
          </rPr>
          <t>kara 9/19/17:</t>
        </r>
        <r>
          <rPr>
            <sz val="9"/>
            <color indexed="81"/>
            <rFont val="Tahoma"/>
            <family val="2"/>
          </rPr>
          <t xml:space="preserve">
All original Salaries rebased with 2.48% and 2.04% CAF </t>
        </r>
      </text>
    </comment>
    <comment ref="X19" authorId="2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 we decided to update it from $49,136 to $50,000 (consistent rate update with YSTS)</t>
        </r>
      </text>
    </comment>
  </commentList>
</comments>
</file>

<file path=xl/comments6.xml><?xml version="1.0" encoding="utf-8"?>
<comments xmlns="http://schemas.openxmlformats.org/spreadsheetml/2006/main">
  <authors>
    <author>CKE</author>
    <author>hlee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Q8" authorId="1">
      <text>
        <r>
          <rPr>
            <b/>
            <sz val="8"/>
            <color indexed="81"/>
            <rFont val="Tahoma"/>
            <family val="2"/>
          </rPr>
          <t xml:space="preserve">hlee: 3/2/2012
</t>
        </r>
        <r>
          <rPr>
            <sz val="8"/>
            <color indexed="81"/>
            <rFont val="Tahoma"/>
            <family val="2"/>
          </rPr>
          <t>After Debriefing meeting, addition 2 days were added. 5-&gt;7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7" authorId="1">
      <text>
        <r>
          <rPr>
            <b/>
            <sz val="8"/>
            <color indexed="81"/>
            <rFont val="Tahoma"/>
            <family val="2"/>
          </rPr>
          <t>hlee: 3/7/12</t>
        </r>
        <r>
          <rPr>
            <sz val="8"/>
            <color indexed="81"/>
            <rFont val="Tahoma"/>
            <family val="2"/>
          </rPr>
          <t xml:space="preserve">
After discussion with DCF, we’ve decided to add LICSW with $50,000.</t>
        </r>
      </text>
    </comment>
    <comment ref="E89" authorId="1">
      <text>
        <r>
          <rPr>
            <b/>
            <sz val="8"/>
            <color indexed="81"/>
            <rFont val="Tahoma"/>
            <family val="2"/>
          </rPr>
          <t>hlee: 6/5/12</t>
        </r>
        <r>
          <rPr>
            <sz val="8"/>
            <color indexed="81"/>
            <rFont val="Tahoma"/>
            <family val="2"/>
          </rPr>
          <t xml:space="preserve">
DHCFP decided to propose as following; 80% utilization: 6 and 9 beds, 85% utilization: 12,15 beds </t>
        </r>
      </text>
    </comment>
    <comment ref="B90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STARR utilization factor has been updated to 75% for the 6 bed programs and 80% for the 9+ program.  </t>
        </r>
      </text>
    </comment>
    <comment ref="I90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STARR utilization factor has been updated to 75% for the 6 bed programs and 80% for the 9+ program.  </t>
        </r>
      </text>
    </comment>
  </commentList>
</comments>
</file>

<file path=xl/comments7.xml><?xml version="1.0" encoding="utf-8"?>
<comments xmlns="http://schemas.openxmlformats.org/spreadsheetml/2006/main">
  <authors>
    <author>CKE</author>
  </authors>
  <commentList>
    <comment ref="L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</commentList>
</comments>
</file>

<file path=xl/comments8.xml><?xml version="1.0" encoding="utf-8"?>
<comments xmlns="http://schemas.openxmlformats.org/spreadsheetml/2006/main">
  <authors>
    <author>celias</author>
  </authors>
  <commentList>
    <comment ref="N67" authorId="0">
      <text>
        <r>
          <rPr>
            <b/>
            <sz val="8"/>
            <color indexed="81"/>
            <rFont val="Tahoma"/>
            <family val="2"/>
          </rPr>
          <t>celias:</t>
        </r>
        <r>
          <rPr>
            <sz val="8"/>
            <color indexed="81"/>
            <rFont val="Tahoma"/>
            <family val="2"/>
          </rPr>
          <t xml:space="preserve">
See W:\W_Pricing\REGS\restorative\2008\Reg Process\ProposalDocuments\Restorative Services Proposal Memo (2008).doc</t>
        </r>
      </text>
    </comment>
  </commentList>
</comments>
</file>

<file path=xl/comments9.xml><?xml version="1.0" encoding="utf-8"?>
<comments xmlns="http://schemas.openxmlformats.org/spreadsheetml/2006/main">
  <authors>
    <author>CKE</author>
    <author>hlee</author>
  </authors>
  <commentList>
    <comment ref="S3" authorId="0">
      <text>
        <r>
          <rPr>
            <b/>
            <sz val="8"/>
            <color indexed="81"/>
            <rFont val="Tahoma"/>
            <family val="2"/>
          </rPr>
          <t>CKE:</t>
        </r>
        <r>
          <rPr>
            <sz val="8"/>
            <color indexed="81"/>
            <rFont val="Tahoma"/>
            <family val="2"/>
          </rPr>
          <t xml:space="preserve">
Based on CBHI standard.  Higher than current standard.</t>
        </r>
      </text>
    </comment>
    <comment ref="S8" authorId="1">
      <text>
        <r>
          <rPr>
            <b/>
            <sz val="8"/>
            <color indexed="81"/>
            <rFont val="Tahoma"/>
            <family val="2"/>
          </rPr>
          <t xml:space="preserve">hlee: 3/2/2012
</t>
        </r>
        <r>
          <rPr>
            <sz val="8"/>
            <color indexed="81"/>
            <rFont val="Tahoma"/>
            <family val="2"/>
          </rPr>
          <t>After Debriefing meeting, addition 2 days were added. 5-&gt;7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9" authorId="1">
      <text>
        <r>
          <rPr>
            <b/>
            <sz val="8"/>
            <color indexed="81"/>
            <rFont val="Tahoma"/>
            <family val="2"/>
          </rPr>
          <t>hlee: 6/5/12</t>
        </r>
        <r>
          <rPr>
            <sz val="8"/>
            <color indexed="81"/>
            <rFont val="Tahoma"/>
            <family val="2"/>
          </rPr>
          <t xml:space="preserve">
DHCFP decided to propose as following; 80% utilization: 6 and 9 beds, 85% utilization: 12,15 beds </t>
        </r>
      </text>
    </comment>
    <comment ref="B90" authorId="1">
      <text>
        <r>
          <rPr>
            <b/>
            <sz val="8"/>
            <color indexed="81"/>
            <rFont val="Tahoma"/>
            <family val="2"/>
          </rPr>
          <t>hlee: 3/1/2012</t>
        </r>
        <r>
          <rPr>
            <sz val="8"/>
            <color indexed="81"/>
            <rFont val="Tahoma"/>
            <family val="2"/>
          </rPr>
          <t xml:space="preserve">
After Post P.H Debriefing meeting with DCF/DMH on Feb.27th, STARR utilization factor has been updated to 75% for the 6 bed programs and 80% for the 9+ program.  </t>
        </r>
      </text>
    </comment>
  </commentList>
</comments>
</file>

<file path=xl/sharedStrings.xml><?xml version="1.0" encoding="utf-8"?>
<sst xmlns="http://schemas.openxmlformats.org/spreadsheetml/2006/main" count="5625" uniqueCount="834">
  <si>
    <t>Beds:</t>
  </si>
  <si>
    <t>Bed Days:</t>
  </si>
  <si>
    <t>Salary</t>
  </si>
  <si>
    <t>FTE</t>
  </si>
  <si>
    <t>Expense</t>
  </si>
  <si>
    <t>Direct Care</t>
  </si>
  <si>
    <t>Support</t>
  </si>
  <si>
    <t>Total Program Staff</t>
  </si>
  <si>
    <t>Master Look-Up Data</t>
  </si>
  <si>
    <t>Relief Assumptions:</t>
  </si>
  <si>
    <t>Model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</si>
  <si>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</si>
  <si>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</si>
  <si>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</si>
  <si>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</si>
  <si>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</si>
  <si>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</si>
  <si>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</si>
  <si>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% of FTE:</t>
  </si>
  <si>
    <t>Management</t>
  </si>
  <si>
    <t>Unit Cost</t>
  </si>
  <si>
    <t>Expenses</t>
  </si>
  <si>
    <t>Tax and Fringe</t>
  </si>
  <si>
    <t xml:space="preserve">    Physician &amp;Psychiatrist</t>
  </si>
  <si>
    <t xml:space="preserve">    Nursing (RN non-masters)</t>
  </si>
  <si>
    <t xml:space="preserve">    Occupational Therapy</t>
  </si>
  <si>
    <t xml:space="preserve">    Social Worker - L.I.C.S.W.</t>
  </si>
  <si>
    <t xml:space="preserve">    Social Worker - L.C.S.W.</t>
  </si>
  <si>
    <t xml:space="preserve">    Special Ed Teacher</t>
  </si>
  <si>
    <t xml:space="preserve">    Family Partner</t>
  </si>
  <si>
    <t xml:space="preserve">    Direct Care Staff</t>
  </si>
  <si>
    <t xml:space="preserve">    Relief</t>
  </si>
  <si>
    <t xml:space="preserve">    Prog Secretarial / Clerical</t>
  </si>
  <si>
    <t xml:space="preserve">    Groundskeeping, Cook, Transport</t>
  </si>
  <si>
    <t>Benchmark Salaries</t>
  </si>
  <si>
    <t>Model Name:</t>
  </si>
  <si>
    <t>Capacity:</t>
  </si>
  <si>
    <t>Benchmark FTEs</t>
  </si>
  <si>
    <t>Benchmark Expenses</t>
  </si>
  <si>
    <t>Occupancy</t>
  </si>
  <si>
    <t>Other Expenses</t>
  </si>
  <si>
    <t>Additional Travel</t>
  </si>
  <si>
    <t>Nutrition Offset</t>
  </si>
  <si>
    <t>Total Reimb excl M&amp;G</t>
  </si>
  <si>
    <t>Admin. Allocation</t>
  </si>
  <si>
    <t>CAF rate</t>
  </si>
  <si>
    <t>Green = calculations from other worksheets</t>
  </si>
  <si>
    <t>Data inputs from 2009 UFR analysis</t>
  </si>
  <si>
    <t>Relief calculated for DC Supervisor and Staff I-IIIs</t>
  </si>
  <si>
    <t>Footnotes</t>
  </si>
  <si>
    <t>Blue = design input, HCF standards</t>
  </si>
  <si>
    <t>Total Compensation</t>
  </si>
  <si>
    <t>TOTAL</t>
  </si>
  <si>
    <t>CAF:</t>
  </si>
  <si>
    <t>Utilization Rate:</t>
  </si>
  <si>
    <t>RATE:</t>
  </si>
  <si>
    <t>Rate with CAF</t>
  </si>
  <si>
    <r>
      <rPr>
        <sz val="10"/>
        <color indexed="10"/>
        <rFont val="Arial"/>
        <family val="2"/>
      </rPr>
      <t>^</t>
    </r>
    <r>
      <rPr>
        <sz val="10"/>
        <color indexed="8"/>
        <rFont val="Arial"/>
        <family val="2"/>
      </rPr>
      <t xml:space="preserve"> Nursing salary standardized to IRTP rate</t>
    </r>
  </si>
  <si>
    <t xml:space="preserve"> ^</t>
  </si>
  <si>
    <t xml:space="preserve">    Clinical Care Manager (MA)</t>
  </si>
  <si>
    <t xml:space="preserve">    Case Worker Manager</t>
  </si>
  <si>
    <t xml:space="preserve"> * </t>
  </si>
  <si>
    <r>
      <t xml:space="preserve">Benchmark Salaries </t>
    </r>
    <r>
      <rPr>
        <b/>
        <sz val="10"/>
        <color indexed="10"/>
        <rFont val="Arial"/>
        <family val="2"/>
      </rPr>
      <t>*</t>
    </r>
  </si>
  <si>
    <t>Salary and expense calculated from weighted averages; FTEs proposed by design team.</t>
  </si>
  <si>
    <t xml:space="preserve"> !</t>
  </si>
  <si>
    <t>#</t>
  </si>
  <si>
    <r>
      <t>#</t>
    </r>
    <r>
      <rPr>
        <sz val="10"/>
        <rFont val="Arial"/>
        <family val="2"/>
      </rPr>
      <t xml:space="preserve"> Clerical salary capped at Direct Care salary level</t>
    </r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</si>
  <si>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Salaries, T&amp;F reflect combined STARR and Group Home data, except where noted</t>
    </r>
  </si>
  <si>
    <t xml:space="preserve"> *</t>
  </si>
  <si>
    <t xml:space="preserve"> ^ </t>
  </si>
  <si>
    <t xml:space="preserve"> #</t>
  </si>
  <si>
    <t xml:space="preserve"> &amp; </t>
  </si>
  <si>
    <r>
      <t>&amp;</t>
    </r>
    <r>
      <rPr>
        <sz val="10"/>
        <color indexed="8"/>
        <rFont val="Arial"/>
        <family val="2"/>
      </rPr>
      <t xml:space="preserve"> OT salary standardized to MassHealth rate</t>
    </r>
  </si>
  <si>
    <t xml:space="preserve">         Clerical not capped because of increased workload</t>
  </si>
  <si>
    <r>
      <t xml:space="preserve">* </t>
    </r>
    <r>
      <rPr>
        <sz val="10"/>
        <rFont val="Arial"/>
        <family val="2"/>
      </rPr>
      <t xml:space="preserve">Salary info not in contracts: values come from </t>
    </r>
  </si>
  <si>
    <r>
      <t>Benchmark Salaries</t>
    </r>
    <r>
      <rPr>
        <b/>
        <sz val="10"/>
        <color indexed="10"/>
        <rFont val="Arial"/>
        <family val="2"/>
      </rPr>
      <t xml:space="preserve"> *</t>
    </r>
  </si>
  <si>
    <r>
      <t>&amp;</t>
    </r>
    <r>
      <rPr>
        <sz val="10"/>
        <color indexed="8"/>
        <rFont val="Arial"/>
        <family val="2"/>
      </rPr>
      <t xml:space="preserve"> OT salary standardized to MassHealth rate, as in IRTP</t>
    </r>
  </si>
  <si>
    <t xml:space="preserve">    Maintainence, Groundskeeping</t>
  </si>
  <si>
    <t xml:space="preserve">    Direct Care / Driver Staff</t>
  </si>
  <si>
    <r>
      <t>#</t>
    </r>
    <r>
      <rPr>
        <sz val="10"/>
        <rFont val="Arial"/>
        <family val="2"/>
      </rPr>
      <t xml:space="preserve"> Grounds, Transp salary capped at Direct Care salary level </t>
    </r>
  </si>
  <si>
    <r>
      <t xml:space="preserve">* </t>
    </r>
    <r>
      <rPr>
        <sz val="10"/>
        <rFont val="Arial"/>
        <family val="2"/>
      </rPr>
      <t>Salary, expense standardized to IRTP model, except where noted</t>
    </r>
  </si>
  <si>
    <t>Data inputs from 2011 contract analysis</t>
  </si>
  <si>
    <t xml:space="preserve"> &amp;</t>
  </si>
  <si>
    <r>
      <rPr>
        <sz val="10"/>
        <color indexed="10"/>
        <rFont val="Arial"/>
        <family val="2"/>
      </rPr>
      <t>!</t>
    </r>
    <r>
      <rPr>
        <sz val="10"/>
        <color indexed="8"/>
        <rFont val="Arial"/>
        <family val="2"/>
      </rPr>
      <t xml:space="preserve">  Psychiatrist salary standardized to Continuum rate</t>
    </r>
  </si>
  <si>
    <t xml:space="preserve"> ! </t>
  </si>
  <si>
    <t xml:space="preserve">    Peer Mentor</t>
  </si>
  <si>
    <t>@</t>
  </si>
  <si>
    <r>
      <t>@</t>
    </r>
    <r>
      <rPr>
        <sz val="10"/>
        <rFont val="Arial"/>
        <family val="2"/>
      </rPr>
      <t xml:space="preserve"> Direct Care salary reflects GH-only data, approx median value</t>
    </r>
  </si>
  <si>
    <t>GH2 1:4</t>
  </si>
  <si>
    <t>Pre-IL 1:5</t>
  </si>
  <si>
    <t>Ind Liv</t>
  </si>
  <si>
    <t xml:space="preserve"> </t>
  </si>
  <si>
    <t xml:space="preserve"> ÷</t>
  </si>
  <si>
    <t xml:space="preserve"> ?</t>
  </si>
  <si>
    <r>
      <t xml:space="preserve">? </t>
    </r>
    <r>
      <rPr>
        <sz val="10"/>
        <rFont val="Arial"/>
        <family val="2"/>
      </rPr>
      <t>Admin. allocation standardized to STARR rate.  NB, GH average = 12.15%, median = 11.79%.  Blended average = 12.06%</t>
    </r>
  </si>
  <si>
    <t>TLP 1:5</t>
  </si>
  <si>
    <t>House Parent</t>
  </si>
  <si>
    <t>STEP</t>
  </si>
  <si>
    <t>Intens 1:3</t>
  </si>
  <si>
    <t>Enhanc 1:4</t>
  </si>
  <si>
    <r>
      <t>Benchmark Expenses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*</t>
    </r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</si>
  <si>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Salary, expense benchmarks standardized to Group Home rates, except where noted</t>
    </r>
  </si>
  <si>
    <t>PROGRAM Model Budget - Enhanced 1:4</t>
  </si>
  <si>
    <r>
      <t xml:space="preserve">    </t>
    </r>
    <r>
      <rPr>
        <sz val="10"/>
        <rFont val="Arial"/>
        <family val="2"/>
      </rPr>
      <t>Peer Mentor</t>
    </r>
  </si>
  <si>
    <t>PROGRAM Model Budget - TLP 1:5</t>
  </si>
  <si>
    <t>PROGRAM Model Budget - House Parent 1:5</t>
  </si>
  <si>
    <t>PROGRAM Model Budget - STEP</t>
  </si>
  <si>
    <t>Flex Funds</t>
  </si>
  <si>
    <t>Comm Wrp</t>
  </si>
  <si>
    <t>GH1 Skinny</t>
  </si>
  <si>
    <t>Gh2 Skinny</t>
  </si>
  <si>
    <t>Commun</t>
  </si>
  <si>
    <t>Resi</t>
  </si>
  <si>
    <r>
      <rPr>
        <sz val="10"/>
        <color indexed="10"/>
        <rFont val="Arial"/>
        <family val="2"/>
      </rPr>
      <t>!</t>
    </r>
    <r>
      <rPr>
        <sz val="10"/>
        <color indexed="8"/>
        <rFont val="Arial"/>
        <family val="2"/>
      </rPr>
      <t xml:space="preserve">  Psychiatrist salary calculated from Continuum data</t>
    </r>
  </si>
  <si>
    <r>
      <t>&amp;</t>
    </r>
    <r>
      <rPr>
        <sz val="10"/>
        <color indexed="8"/>
        <rFont val="Arial"/>
        <family val="2"/>
      </rPr>
      <t xml:space="preserve"> OT salary standardized to MassHealth rate, as in IRTP, GH, etc</t>
    </r>
  </si>
  <si>
    <r>
      <t>@</t>
    </r>
    <r>
      <rPr>
        <sz val="10"/>
        <rFont val="Arial"/>
        <family val="2"/>
      </rPr>
      <t xml:space="preserve">  Direct Care staffing set to DC3 for community (ie CBHI rate for bachelors level counselor) and DC2 for residential (ie GH rate)</t>
    </r>
  </si>
  <si>
    <r>
      <t>#</t>
    </r>
    <r>
      <rPr>
        <sz val="10"/>
        <rFont val="Arial"/>
        <family val="2"/>
      </rPr>
      <t xml:space="preserve"> Clerical salary capped at Direct Care salary level.  Community rate based on continuum data.  Residential rate from Group Home model.</t>
    </r>
  </si>
  <si>
    <t>Relief calculated for DC staff, using 15% for Community piece and 7.5% for Resi piece</t>
  </si>
  <si>
    <r>
      <t xml:space="preserve">? </t>
    </r>
    <r>
      <rPr>
        <sz val="10"/>
        <rFont val="Arial"/>
        <family val="2"/>
      </rPr>
      <t>Admin. allocation standardized to Group Home (ie STARR) rate.  Continuum average is 12.5%</t>
    </r>
  </si>
  <si>
    <t>CONTINUUM Model Budget - Community Wrap</t>
  </si>
  <si>
    <t>CONTINUUM Model Budget - Group Home 2 (GH 1:4) Skinny</t>
  </si>
  <si>
    <t>Combined Annual Cost</t>
  </si>
  <si>
    <t>Program</t>
  </si>
  <si>
    <t>IFC</t>
  </si>
  <si>
    <t>Wrap</t>
  </si>
  <si>
    <t>Unit Rate</t>
  </si>
  <si>
    <t>Total Cost</t>
  </si>
  <si>
    <t>Combined Unit Cost</t>
  </si>
  <si>
    <t>Total Continuum</t>
  </si>
  <si>
    <t>GH1skinny</t>
  </si>
  <si>
    <t>GH2skinny</t>
  </si>
  <si>
    <t>Pre-IL</t>
  </si>
  <si>
    <t>IL</t>
  </si>
  <si>
    <t>SAMPLE BLENDED RATES - 90% Utilization</t>
  </si>
  <si>
    <t>100% Unit Rate</t>
  </si>
  <si>
    <t>90% Unit Rate</t>
  </si>
  <si>
    <t>Follow Along</t>
  </si>
  <si>
    <t>Stepping Out</t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</si>
  <si>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Salaries, T&amp;F standardized to Group Home rates, except where noted</t>
    </r>
  </si>
  <si>
    <t>†</t>
  </si>
  <si>
    <r>
      <t xml:space="preserve">† </t>
    </r>
    <r>
      <rPr>
        <sz val="10"/>
        <rFont val="Arial"/>
        <family val="2"/>
      </rPr>
      <t xml:space="preserve"> Occupancy and Other Expenses calculated from Teen Parenting data (2011 Contracts)</t>
    </r>
  </si>
  <si>
    <r>
      <t>÷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GH 1&amp;2 Include 1FTE of Community outreach/liaison</t>
    </r>
  </si>
  <si>
    <r>
      <rPr>
        <sz val="10"/>
        <color indexed="10"/>
        <rFont val="Arial"/>
        <family val="2"/>
      </rPr>
      <t>@</t>
    </r>
    <r>
      <rPr>
        <sz val="10"/>
        <color indexed="8"/>
        <rFont val="Arial"/>
        <family val="2"/>
      </rPr>
      <t xml:space="preserve">  Direct Care salary reflects STARR-only data due to higher need in program</t>
    </r>
  </si>
  <si>
    <r>
      <t xml:space="preserve">† </t>
    </r>
    <r>
      <rPr>
        <sz val="10"/>
        <rFont val="Arial"/>
        <family val="2"/>
      </rPr>
      <t>Occupancy standardized to STARR model</t>
    </r>
  </si>
  <si>
    <r>
      <rPr>
        <sz val="10"/>
        <color indexed="10"/>
        <rFont val="Arial"/>
        <family val="2"/>
      </rPr>
      <t>£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CAF calculated for FY09 rate, since most benchmarks come from GH</t>
    </r>
  </si>
  <si>
    <t xml:space="preserve"> £</t>
  </si>
  <si>
    <t xml:space="preserve"> ¥</t>
  </si>
  <si>
    <r>
      <t xml:space="preserve">¥ </t>
    </r>
    <r>
      <rPr>
        <sz val="10"/>
        <rFont val="Arial"/>
        <family val="2"/>
      </rPr>
      <t>Tax and Fringe capped at 26%</t>
    </r>
  </si>
  <si>
    <t>Home-based FTEs</t>
  </si>
  <si>
    <t>FOLLOW ALONG Model Budget</t>
  </si>
  <si>
    <t>TAY - A</t>
  </si>
  <si>
    <t>TAY - B</t>
  </si>
  <si>
    <t>Occupancy - resi</t>
  </si>
  <si>
    <t>Occupancy - community</t>
  </si>
  <si>
    <r>
      <t xml:space="preserve">? </t>
    </r>
    <r>
      <rPr>
        <sz val="10"/>
        <rFont val="Arial"/>
        <family val="2"/>
      </rPr>
      <t>Admin. allocation standardized to Group Home (ie STARR) rate</t>
    </r>
  </si>
  <si>
    <t>20 Bed</t>
  </si>
  <si>
    <t>11 Bed</t>
  </si>
  <si>
    <t>Capacity Assumptions </t>
  </si>
  <si>
    <t xml:space="preserve">     4 individuals will be in a group home program licensed by DMH</t>
  </si>
  <si>
    <t xml:space="preserve">     4 individuals will be in supported housing site, licensed by DMH</t>
  </si>
  <si>
    <t xml:space="preserve">     12 individuals will be in the community and recieve services</t>
  </si>
  <si>
    <t xml:space="preserve">     9 individuals in group home</t>
  </si>
  <si>
    <t xml:space="preserve">     2 individuals in supported housing</t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</si>
  <si>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Salary, expense standardized to Group Home rates, except where noted</t>
    </r>
  </si>
  <si>
    <t xml:space="preserve">    Nursing (LPN)</t>
  </si>
  <si>
    <t xml:space="preserve"> ~</t>
  </si>
  <si>
    <t xml:space="preserve">    Support staff</t>
  </si>
  <si>
    <r>
      <t>Benchmark Expenses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*</t>
    </r>
  </si>
  <si>
    <t xml:space="preserve">   Psychologist - doctorate</t>
  </si>
  <si>
    <t xml:space="preserve">    Psychologist - doctorate</t>
  </si>
  <si>
    <t xml:space="preserve">    Psychologogist - doctorate</t>
  </si>
  <si>
    <r>
      <rPr>
        <sz val="10"/>
        <color indexed="10"/>
        <rFont val="Arial"/>
        <family val="2"/>
      </rPr>
      <t xml:space="preserve">!  </t>
    </r>
    <r>
      <rPr>
        <sz val="10"/>
        <rFont val="Arial"/>
        <family val="2"/>
      </rPr>
      <t>Psychologist salary standardized to IRTP rate, since no benchmark in GH model</t>
    </r>
  </si>
  <si>
    <t>Salary and expense calculated from weighted averages</t>
  </si>
  <si>
    <r>
      <t>Benchmark FTEs</t>
    </r>
    <r>
      <rPr>
        <b/>
        <sz val="10"/>
        <color indexed="8"/>
        <rFont val="Arial"/>
        <family val="2"/>
      </rPr>
      <t xml:space="preserve"> </t>
    </r>
    <r>
      <rPr>
        <b/>
        <sz val="8.5"/>
        <color indexed="10"/>
        <rFont val="Calibri"/>
        <family val="2"/>
      </rPr>
      <t>÷</t>
    </r>
  </si>
  <si>
    <r>
      <t xml:space="preserve">÷  </t>
    </r>
    <r>
      <rPr>
        <sz val="10"/>
        <rFont val="Arial"/>
        <family val="2"/>
      </rPr>
      <t>FTEs calculated as follows:</t>
    </r>
  </si>
  <si>
    <t xml:space="preserve">   Nursing (RN non-masters)</t>
  </si>
  <si>
    <t xml:space="preserve">   Direct Care Staff</t>
  </si>
  <si>
    <t xml:space="preserve">   Relief</t>
  </si>
  <si>
    <t xml:space="preserve">        Nursing = 1:15 ratio</t>
  </si>
  <si>
    <t xml:space="preserve">        Psychologist = 12 hours per child per year (using 20% non-direct time), equals .007 FTE</t>
  </si>
  <si>
    <t xml:space="preserve">        Direct Care = 1:1 24/7 less time child is in day program.  Estimated average 6 hours per day weekdays (not holidays) in day camp. </t>
  </si>
  <si>
    <t xml:space="preserve">                Staff FTEs based on this: 8,760 hrs/year – 1,500 (day program 250 days X 6hrs.) = 7,260/2,080 = 3.5, plus design team bump up</t>
  </si>
  <si>
    <t xml:space="preserve">    Psychologist - masters</t>
  </si>
  <si>
    <t>Salary and expense calculated from weighted averages; FTEs calculated from Seven Hills' FY11 contract data</t>
  </si>
  <si>
    <r>
      <rPr>
        <sz val="10"/>
        <color indexed="10"/>
        <rFont val="Arial"/>
        <family val="2"/>
      </rPr>
      <t xml:space="preserve">÷ </t>
    </r>
    <r>
      <rPr>
        <sz val="10"/>
        <color indexed="8"/>
        <rFont val="Arial"/>
        <family val="2"/>
      </rPr>
      <t xml:space="preserve">Management FTE reduced by 1, which was moved to Clinical Care Mgr position (which was then scaled up from .17 for 5-bed pgm) for Behavioral Specialist </t>
    </r>
  </si>
  <si>
    <t>Direct Care Consultant</t>
  </si>
  <si>
    <t>Data inputs from 2011 Contract Budget analysis</t>
  </si>
  <si>
    <t xml:space="preserve">    Physician &amp; Psychiatrist</t>
  </si>
  <si>
    <t xml:space="preserve">    Social Worker LICSW</t>
  </si>
  <si>
    <r>
      <t>Benchmark Expenses</t>
    </r>
    <r>
      <rPr>
        <b/>
        <sz val="10"/>
        <color indexed="8"/>
        <rFont val="Arial"/>
        <family val="2"/>
      </rPr>
      <t/>
    </r>
  </si>
  <si>
    <t>Salary, FTE and expense calculated from weighted averages</t>
  </si>
  <si>
    <t>no relief necessary for add-on model</t>
  </si>
  <si>
    <t>Salary, FTE, and expense calculated from weighted averages</t>
  </si>
  <si>
    <t>Data inputs from 2009 UFR (GH) and 2011 Contract Budget analysis</t>
  </si>
  <si>
    <r>
      <rPr>
        <sz val="10"/>
        <color indexed="10"/>
        <rFont val="Arial"/>
        <family val="2"/>
      </rPr>
      <t>^</t>
    </r>
    <r>
      <rPr>
        <sz val="10"/>
        <color indexed="8"/>
        <rFont val="Arial"/>
        <family val="2"/>
      </rPr>
      <t xml:space="preserve"> Nursing (RN) salary standardized to Group Home (ie IRTP) rate.</t>
    </r>
  </si>
  <si>
    <t xml:space="preserve">    Foster Care Case Manager</t>
  </si>
  <si>
    <t xml:space="preserve">    IFC Advocate</t>
  </si>
  <si>
    <t>Assume 20 miles round trip</t>
  </si>
  <si>
    <t>Assume state reimbursement rate of $0.40 / mile</t>
  </si>
  <si>
    <t>Calculated Travel per unit cost</t>
  </si>
  <si>
    <r>
      <t>#</t>
    </r>
    <r>
      <rPr>
        <u/>
        <sz val="10"/>
        <rFont val="Arial"/>
        <family val="2"/>
      </rPr>
      <t xml:space="preserve">  Additional Travel Calculations:</t>
    </r>
  </si>
  <si>
    <t>STEPPING OUT Model Budget</t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</si>
  <si>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Salaries, expense standardized to Group Home rates, except where noted</t>
    </r>
  </si>
  <si>
    <r>
      <t>Benchmark Expenses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*</t>
    </r>
  </si>
  <si>
    <t>?</t>
  </si>
  <si>
    <t>Slots:</t>
  </si>
  <si>
    <t>Slot Days:</t>
  </si>
  <si>
    <t>CONTINUUM Model Budget - Group Home 1 (Intensive 1:3) Skinny</t>
  </si>
  <si>
    <t xml:space="preserve">        Management = ratio of mgmt/capacity in GH Indep Living model</t>
  </si>
  <si>
    <t>1:2 model</t>
  </si>
  <si>
    <r>
      <rPr>
        <sz val="10"/>
        <color indexed="10"/>
        <rFont val="Arial"/>
        <family val="2"/>
      </rPr>
      <t xml:space="preserve">*  </t>
    </r>
    <r>
      <rPr>
        <sz val="10"/>
        <rFont val="Arial"/>
        <family val="2"/>
      </rPr>
      <t>Expecting 1 FTE of LICSW, where .25 is billable to Mediciad (MBHP?)</t>
    </r>
  </si>
  <si>
    <t xml:space="preserve">* </t>
  </si>
  <si>
    <t>Community</t>
  </si>
  <si>
    <t>~</t>
  </si>
  <si>
    <t>Other Expenses - community</t>
  </si>
  <si>
    <t>Other Expenses - resi</t>
  </si>
  <si>
    <t>Follow-Along is add-on with Res School, GH1, GH2</t>
  </si>
  <si>
    <t>Stepping Out is add-on with Pre-IL, IL</t>
  </si>
  <si>
    <t>Proportional to GH amount</t>
  </si>
  <si>
    <t xml:space="preserve">         W:\W_Pricing\REGS\restorative\2008\Reg Process\ProposalDocuments\Restorative Services Proposal Memo (2008).doc</t>
  </si>
  <si>
    <t>Data inputs from 2010 Contract budget analysis</t>
  </si>
  <si>
    <t>FY11 CAF since mostly IRTP benchmarks</t>
  </si>
  <si>
    <t>FTEs reduced from standard GH models to become "skinny"</t>
  </si>
  <si>
    <r>
      <t>@</t>
    </r>
    <r>
      <rPr>
        <sz val="10"/>
        <rFont val="Arial"/>
        <family val="2"/>
      </rPr>
      <t xml:space="preserve"> Other Expenses calculated from data directly, see previous models</t>
    </r>
  </si>
  <si>
    <t>CAF is from fY09 since most benchmarks are GH</t>
  </si>
  <si>
    <t xml:space="preserve">   Foster Care Case Manager</t>
  </si>
  <si>
    <t xml:space="preserve">   IFC Advocate</t>
  </si>
  <si>
    <t>Medical and Clinical</t>
  </si>
  <si>
    <r>
      <rPr>
        <sz val="10"/>
        <color indexed="10"/>
        <rFont val="Arial"/>
        <family val="2"/>
      </rPr>
      <t xml:space="preserve">!  </t>
    </r>
    <r>
      <rPr>
        <sz val="10"/>
        <rFont val="Arial"/>
        <family val="2"/>
      </rPr>
      <t>Psychologist salary calculated from contract, since no standard in GH or other models</t>
    </r>
  </si>
  <si>
    <r>
      <t xml:space="preserve">†  </t>
    </r>
    <r>
      <rPr>
        <sz val="10"/>
        <rFont val="Arial"/>
        <family val="2"/>
      </rPr>
      <t>Occupancy benchmark from Continuum for community piece, from GH for residential piece</t>
    </r>
  </si>
  <si>
    <r>
      <t xml:space="preserve">~ </t>
    </r>
    <r>
      <rPr>
        <sz val="10"/>
        <rFont val="Arial"/>
        <family val="2"/>
      </rPr>
      <t>Other Expenses benchmark from Follow Along for community piece, from GH for residential piece</t>
    </r>
  </si>
  <si>
    <t>Data inputs from other model benchmarks (mostly GH, FY09 UFR)</t>
  </si>
  <si>
    <t>FY2011 CAF</t>
  </si>
  <si>
    <t>Flex Funds per slot</t>
  </si>
  <si>
    <t>Additional Travel per slot</t>
  </si>
  <si>
    <t>Medical and Clincial</t>
  </si>
  <si>
    <t xml:space="preserve">    Social Worker - LCSW</t>
  </si>
  <si>
    <t>Data inputs from 2010 Contract Budgets</t>
  </si>
  <si>
    <t>FTEs proposed by design team</t>
  </si>
  <si>
    <t>Salary, expense from Group Home benchmarks, unless marked otherwise</t>
  </si>
  <si>
    <r>
      <t xml:space="preserve">* </t>
    </r>
    <r>
      <rPr>
        <sz val="10"/>
        <rFont val="Arial"/>
        <family val="2"/>
      </rPr>
      <t>Direct Care Salary from DC1 position in blended GH/STARR data</t>
    </r>
  </si>
  <si>
    <r>
      <t xml:space="preserve">^ </t>
    </r>
    <r>
      <rPr>
        <sz val="10"/>
        <rFont val="Arial"/>
        <family val="2"/>
      </rPr>
      <t>Relief calculated at 7.5%  to be in line with continuum, follow along, etc</t>
    </r>
  </si>
  <si>
    <r>
      <t xml:space="preserve">&amp; </t>
    </r>
    <r>
      <rPr>
        <sz val="10"/>
        <rFont val="Arial"/>
        <family val="2"/>
      </rPr>
      <t>Occupancy calculated from contract data, includes offsets for housing vouchers, etc.</t>
    </r>
  </si>
  <si>
    <r>
      <t xml:space="preserve"># </t>
    </r>
    <r>
      <rPr>
        <sz val="10"/>
        <rFont val="Arial"/>
        <family val="2"/>
      </rPr>
      <t>Other Expenses from contract data and does not include consultant or client wages</t>
    </r>
  </si>
  <si>
    <r>
      <t xml:space="preserve">! </t>
    </r>
    <r>
      <rPr>
        <sz val="10"/>
        <rFont val="Arial"/>
        <family val="2"/>
      </rPr>
      <t>CAF from FY2009-FY2014 since most benchmarks from GH FY09 data</t>
    </r>
  </si>
  <si>
    <t>Calculated Travel cost per slot per year</t>
  </si>
  <si>
    <t>Assume 1 hr per slot per week, twice a week, 1/2 the slots</t>
  </si>
  <si>
    <t># slots</t>
  </si>
  <si>
    <t>Annual Cost Per slot</t>
  </si>
  <si>
    <t>1) 1 child in IFC, 12 childs in GH1, 17 in community</t>
  </si>
  <si>
    <t>2) 1 child in IFC, 12 childs in GH2, 17 in community</t>
  </si>
  <si>
    <t>3) 1 child in IFC, 12 childs in Pre-IL, 17 in community</t>
  </si>
  <si>
    <t>4) 1 child in IFC, 12 childs in IL, 17 in community</t>
  </si>
  <si>
    <t>5) 1 child in IFC, 12 childs in GH1, 12 in GH2, 17 in community</t>
  </si>
  <si>
    <r>
      <t xml:space="preserve">? </t>
    </r>
    <r>
      <rPr>
        <sz val="10"/>
        <rFont val="Arial"/>
        <family val="2"/>
      </rPr>
      <t>Additional travel calculated at 90 miles per slot per week, reimbursed at $0.40 per mile</t>
    </r>
  </si>
  <si>
    <r>
      <t xml:space="preserve">¥ </t>
    </r>
    <r>
      <rPr>
        <sz val="10"/>
        <rFont val="Arial"/>
        <family val="2"/>
      </rPr>
      <t>Tax and Fringe standardized to STARR model (value more in line with CIRT-specific data)</t>
    </r>
  </si>
  <si>
    <t>IRTP</t>
  </si>
  <si>
    <t>CIRT</t>
  </si>
  <si>
    <t>STARR</t>
  </si>
  <si>
    <t>12 Bed</t>
  </si>
  <si>
    <t>Group Home</t>
  </si>
  <si>
    <t>GH1 1:3</t>
  </si>
  <si>
    <t>Teen Parents</t>
  </si>
  <si>
    <t>TP Enhanc 1:4</t>
  </si>
  <si>
    <t>GH2 Skinny</t>
  </si>
  <si>
    <t>Specialty Models</t>
  </si>
  <si>
    <r>
      <t xml:space="preserve">Benchmark Expenses </t>
    </r>
    <r>
      <rPr>
        <u/>
        <sz val="10"/>
        <color indexed="10"/>
        <rFont val="Arial"/>
        <family val="2"/>
      </rPr>
      <t>*</t>
    </r>
  </si>
  <si>
    <r>
      <rPr>
        <sz val="10"/>
        <color indexed="10"/>
        <rFont val="Arial"/>
        <family val="2"/>
      </rPr>
      <t>*</t>
    </r>
    <r>
      <rPr>
        <sz val="10"/>
        <color indexed="8"/>
        <rFont val="Arial"/>
        <family val="2"/>
      </rPr>
      <t xml:space="preserve"> Salaries, expenses standardized to Group Home rates, except where noted (wrap expenses from continuum data)</t>
    </r>
  </si>
  <si>
    <t>Data inputs from 2010 budget analysis</t>
  </si>
  <si>
    <t>SPECIALTY PROGRAM Model Budget - State College Preparatory Program</t>
  </si>
  <si>
    <t>SPECIALTY ADD-ON Model Budget - Transition to IFC add-on</t>
  </si>
  <si>
    <t>1:2 GH</t>
  </si>
  <si>
    <t>College Prep</t>
  </si>
  <si>
    <t>Trans to IFC</t>
  </si>
  <si>
    <t>based on CIRT-specific data</t>
  </si>
  <si>
    <t>Relief calculated for DC staff, using 7.5% for Community piece and would be 15% for Resi piece</t>
  </si>
  <si>
    <t>TRANSITIONAL AGE YOUTH Model Budget - Adult Continuum</t>
  </si>
  <si>
    <t>!</t>
  </si>
  <si>
    <r>
      <rPr>
        <sz val="10"/>
        <color indexed="10"/>
        <rFont val="Arial"/>
        <family val="2"/>
      </rPr>
      <t xml:space="preserve">!   </t>
    </r>
    <r>
      <rPr>
        <sz val="10"/>
        <rFont val="Arial"/>
        <family val="2"/>
      </rPr>
      <t>Psychiatrist salary standardized to Continuum rate</t>
    </r>
  </si>
  <si>
    <t xml:space="preserve">   Clinical Care Manager (MA)</t>
  </si>
  <si>
    <t xml:space="preserve">        Clinical Care Mgr assigned by design team</t>
  </si>
  <si>
    <r>
      <t xml:space="preserve">    </t>
    </r>
    <r>
      <rPr>
        <sz val="10"/>
        <rFont val="Arial"/>
        <family val="2"/>
      </rPr>
      <t>Clinical Care Manager (MA)</t>
    </r>
  </si>
  <si>
    <t>CHANGES SINCE EXEC APPROVAL (made 8/18/11)</t>
  </si>
  <si>
    <t>Position Added</t>
  </si>
  <si>
    <t>FTE increased from 3.75</t>
  </si>
  <si>
    <t>Relief recalculated accordingly</t>
  </si>
  <si>
    <t>Benchmarks are unique to this model (derived from budget data) unless otherwise noted</t>
  </si>
  <si>
    <t>Salary reduced to match GH</t>
  </si>
  <si>
    <t>1:1 SL</t>
  </si>
  <si>
    <t>SPECIALTY PROGRAM Model Budget - Intensive 1:1 Supported Living</t>
  </si>
  <si>
    <t>SPECIALTY PROGRAM Model Budget - Intensive 1:2 Group Home</t>
  </si>
  <si>
    <t xml:space="preserve">        Case Manager standardized to Clinical Care Manager - MA salary </t>
  </si>
  <si>
    <t xml:space="preserve">        Advocate standardized to Case Work Manager salary</t>
  </si>
  <si>
    <t xml:space="preserve">         Y:\Salary Review\Overall Position Detail 08 09.xls (Adj Sal 09, col F, row 20) </t>
  </si>
  <si>
    <r>
      <t xml:space="preserve">!  </t>
    </r>
    <r>
      <rPr>
        <sz val="10"/>
        <rFont val="Arial"/>
        <family val="2"/>
      </rPr>
      <t>Family Partner salary standardized to CBHI benchmark</t>
    </r>
  </si>
  <si>
    <t xml:space="preserve">    Housekeeping</t>
  </si>
  <si>
    <t xml:space="preserve">    Maintenance</t>
  </si>
  <si>
    <t>GROUP HOME Model Budget - Intensive 1:3 GH with Expanded Nursing</t>
  </si>
  <si>
    <t xml:space="preserve"> ◊</t>
  </si>
  <si>
    <t xml:space="preserve">15 Bed </t>
  </si>
  <si>
    <t>6 bed</t>
  </si>
  <si>
    <t>9bed</t>
  </si>
  <si>
    <t>12bed</t>
  </si>
  <si>
    <t>15bed</t>
  </si>
  <si>
    <t xml:space="preserve">GH1 Skinny </t>
  </si>
  <si>
    <t>Intens. GH with Exp. Nursing</t>
  </si>
  <si>
    <t>GH4 Indep.Living</t>
  </si>
  <si>
    <t>*Update Details</t>
  </si>
  <si>
    <t>GH3 Pre IL 1:5, 10 Bed</t>
  </si>
  <si>
    <t>Continuum</t>
  </si>
  <si>
    <t>House Parent 1:5</t>
  </si>
  <si>
    <t>3. Change LICSW salary to $50,000.</t>
  </si>
  <si>
    <t>5. STARR- Utilization for 6 bed program at 75% and 9+ at 80%.</t>
  </si>
  <si>
    <t>X</t>
  </si>
  <si>
    <t>1. 2 training days were added to Relief Factor.</t>
  </si>
  <si>
    <t>Remains the same as $200,123</t>
  </si>
  <si>
    <t>Program Name</t>
  </si>
  <si>
    <t xml:space="preserve">Model Budget </t>
  </si>
  <si>
    <t>X (1) LICSW</t>
  </si>
  <si>
    <t>X (1) LICSW + (.5) MA clinician</t>
  </si>
  <si>
    <t>X (1)LICSW + (1) MA clinician</t>
  </si>
  <si>
    <t>X (1) LICSW + (1.5) MA clinician</t>
  </si>
  <si>
    <t>6. (a)Inten.GH with EXP.Nursing was created by consolidating Inten. G.H 1:3 and Medical Supplement Add-on.(b) (0.5)Housekeeping + (0.5) Maintenance</t>
  </si>
  <si>
    <t>Proposed Unit Rate with CAF</t>
  </si>
  <si>
    <t>Proposed Unit Rate with CAF, Utilization</t>
  </si>
  <si>
    <t>Adjusted Rate with CAF</t>
  </si>
  <si>
    <t>90% utilization</t>
  </si>
  <si>
    <t>85% utilization for all</t>
  </si>
  <si>
    <t>Adjusted Rate with CAF, Utilization</t>
  </si>
  <si>
    <t>% Change with CAF Utilization =&gt; (F-D)/D</t>
  </si>
  <si>
    <t>Newly Created!</t>
  </si>
  <si>
    <r>
      <t xml:space="preserve"> </t>
    </r>
    <r>
      <rPr>
        <sz val="10"/>
        <rFont val="Arial"/>
        <family val="2"/>
      </rPr>
      <t xml:space="preserve">   Social Worker - L.I.C.S.W.</t>
    </r>
  </si>
  <si>
    <r>
      <t xml:space="preserve">    </t>
    </r>
    <r>
      <rPr>
        <sz val="10"/>
        <rFont val="Arial"/>
        <family val="2"/>
      </rPr>
      <t>Social Worker - L.I.C.S.W.</t>
    </r>
  </si>
  <si>
    <t xml:space="preserve">4. STARR- Replace the current level of Clinical Care Manager (MA) to LICSW and Clinical Care Manager (MA). </t>
  </si>
  <si>
    <t>SPECIALTY ADD-ON Model Budget - Outreach Independent Living</t>
  </si>
  <si>
    <t>SPECIALTY PROGRAM Model Budget - Medically Complex Needs Group Home</t>
  </si>
  <si>
    <r>
      <t>Outreach Ind.Living</t>
    </r>
    <r>
      <rPr>
        <b/>
        <sz val="11"/>
        <color indexed="8"/>
        <rFont val="Calibri"/>
        <family val="2"/>
      </rPr>
      <t xml:space="preserve"> (name change from Ind.Living, Int.spvs to Outreach Ind.Living)</t>
    </r>
  </si>
  <si>
    <r>
      <t xml:space="preserve">Med.Complex Needs GH </t>
    </r>
    <r>
      <rPr>
        <b/>
        <sz val="11"/>
        <color indexed="8"/>
        <rFont val="Calibri"/>
        <family val="2"/>
      </rPr>
      <t>(name change from Medically Intensive to Med.Complex Needs GH)</t>
    </r>
  </si>
  <si>
    <t>Client Transportation</t>
  </si>
  <si>
    <t>Meals</t>
  </si>
  <si>
    <t>Emergency Items/Incidentals</t>
  </si>
  <si>
    <t>Teen Parent Assessment Reimbursement</t>
  </si>
  <si>
    <t>TOTAL EXPENSES</t>
  </si>
  <si>
    <t xml:space="preserve"> * The add-on rate will be utilized for young parents needing an emergency bed and services until a regular placement can be made. </t>
  </si>
  <si>
    <r>
      <rPr>
        <sz val="10"/>
        <color indexed="10"/>
        <rFont val="Arial"/>
        <family val="2"/>
      </rPr>
      <t xml:space="preserve"> !</t>
    </r>
    <r>
      <rPr>
        <sz val="10"/>
        <color indexed="8"/>
        <rFont val="Arial"/>
        <family val="2"/>
      </rPr>
      <t xml:space="preserve">  Bus Passes for young parents to get to program, staff picking up at terminals or primirarily DTA offices.</t>
    </r>
  </si>
  <si>
    <r>
      <t xml:space="preserve"> &amp; </t>
    </r>
    <r>
      <rPr>
        <sz val="10"/>
        <rFont val="Arial"/>
        <family val="2"/>
      </rPr>
      <t>Personal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Items such as diapers, shampoo, conditioner.</t>
    </r>
  </si>
  <si>
    <t>TLP 1:5 Emergency Beds ADD-ON Model Budget *</t>
  </si>
  <si>
    <t>&amp;</t>
  </si>
  <si>
    <t xml:space="preserve">^ </t>
  </si>
  <si>
    <t xml:space="preserve">! </t>
  </si>
  <si>
    <r>
      <rPr>
        <sz val="10"/>
        <color indexed="10"/>
        <rFont val="Arial"/>
        <family val="2"/>
      </rPr>
      <t xml:space="preserve">&lt;&gt; </t>
    </r>
    <r>
      <rPr>
        <sz val="10"/>
        <color indexed="8"/>
        <rFont val="Arial"/>
        <family val="2"/>
      </rPr>
      <t xml:space="preserve">DCF and DHCFP agreed upon using consistent CAF, 5.39% that was used for other rates. </t>
    </r>
  </si>
  <si>
    <r>
      <t xml:space="preserve"> </t>
    </r>
    <r>
      <rPr>
        <sz val="10"/>
        <color indexed="10"/>
        <rFont val="Arial"/>
        <family val="2"/>
      </rPr>
      <t xml:space="preserve"># </t>
    </r>
    <r>
      <rPr>
        <sz val="10"/>
        <rFont val="Arial"/>
        <family val="2"/>
      </rPr>
      <t>Program requires the Teen Asessment for every young parent in the system. Assessors are paid $325 per Asessment of a young parent. E-bed providers would do on about once a month. ($325*11 month is applied based upon discussion with DCF, 3/14/12)</t>
    </r>
  </si>
  <si>
    <t>100% utilization</t>
  </si>
  <si>
    <t>2. Change Psychiatry salary to $200,123.</t>
  </si>
  <si>
    <t xml:space="preserve">X:(0.5) Housekeeping, $28,500 (the same as DC worker level)  + (0.5) Maintenance, $30,381 </t>
  </si>
  <si>
    <t>TLP E-bed Add-On</t>
  </si>
  <si>
    <t>7. TLP-E-bed Add-On was newly created.</t>
  </si>
  <si>
    <t xml:space="preserve">UNIT RATES FROM MODEL BUDGETS </t>
  </si>
  <si>
    <t>TAY- Adult Contin</t>
  </si>
  <si>
    <t>TAY -GLE</t>
  </si>
  <si>
    <t>80% - 6,9 bed, 85% - 12, 15bed</t>
  </si>
  <si>
    <t>CPIPESSMA</t>
  </si>
  <si>
    <t>CPI--PESSIMISTIC SCENARIO (1982-84=1)</t>
  </si>
  <si>
    <t>CPIOPTMA</t>
  </si>
  <si>
    <t>CPI--OPTIMISTIC SCENARIO (1982-84=1)</t>
  </si>
  <si>
    <t>CPIBASEMA</t>
  </si>
  <si>
    <t>CPI--BASELINE SCENARIO (1982-84=1)</t>
  </si>
  <si>
    <t>LABEL</t>
  </si>
  <si>
    <t>2021Q4</t>
  </si>
  <si>
    <t>2021Q3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</si>
  <si>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</si>
  <si>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</si>
  <si>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</si>
  <si>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</si>
  <si>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</si>
  <si>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</si>
  <si>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</si>
  <si>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</si>
  <si>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2019Q2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</si>
  <si>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</si>
  <si>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</si>
  <si>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</si>
  <si>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</si>
  <si>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</si>
  <si>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</si>
  <si>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</si>
  <si>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</si>
  <si>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</si>
  <si>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</si>
  <si>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</si>
  <si>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</si>
  <si>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</si>
  <si>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</si>
  <si>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</si>
  <si>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</si>
  <si>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</si>
  <si>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</si>
  <si>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</si>
  <si>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</si>
  <si>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</si>
  <si>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</si>
  <si>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</si>
  <si>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</si>
  <si>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</si>
  <si>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</si>
  <si>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</si>
  <si>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</si>
  <si>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</si>
  <si>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</si>
  <si>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</si>
  <si>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</si>
  <si>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</si>
  <si>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</si>
  <si>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</si>
  <si>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</si>
  <si>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</si>
  <si>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</si>
  <si>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</si>
  <si>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</si>
  <si>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</si>
  <si>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</si>
  <si>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</si>
  <si>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</si>
  <si>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</si>
  <si>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</si>
  <si>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</si>
  <si>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</si>
  <si>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</si>
  <si>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</si>
  <si>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</si>
  <si>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</si>
  <si>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</si>
  <si>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</si>
  <si>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</si>
  <si>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</si>
  <si>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</si>
  <si>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</si>
  <si>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</si>
  <si>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</si>
  <si>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</si>
  <si>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NAME</t>
  </si>
  <si>
    <t>FY18</t>
  </si>
  <si>
    <t>FY17</t>
  </si>
  <si>
    <t>FY16</t>
  </si>
  <si>
    <t>FY15</t>
  </si>
  <si>
    <t>FY14</t>
  </si>
  <si>
    <t>FY13</t>
  </si>
  <si>
    <t>FY12</t>
  </si>
  <si>
    <t>Prepared by Michael Lynch, 781-301-9129</t>
  </si>
  <si>
    <t>Massachusetts Economic Indicators</t>
  </si>
  <si>
    <t>Rate-to-rate CAF</t>
  </si>
  <si>
    <t xml:space="preserve">Base period: </t>
  </si>
  <si>
    <t>Average</t>
  </si>
  <si>
    <t xml:space="preserve">Prospective rate period: </t>
  </si>
  <si>
    <t>FY14Q4</t>
  </si>
  <si>
    <t>Rate review CAF:</t>
  </si>
  <si>
    <t>Rate review CAF</t>
  </si>
  <si>
    <t>Monthly Rate with CAF</t>
  </si>
  <si>
    <t>Monthly Accom. Rate</t>
  </si>
  <si>
    <t>12 months</t>
  </si>
  <si>
    <t>Straight
CAF</t>
  </si>
  <si>
    <t>TRANSITIONAL AGE YOUTH Model Budget - Young Adult Group Living Environment</t>
  </si>
  <si>
    <t>M</t>
  </si>
  <si>
    <t>T</t>
  </si>
  <si>
    <t>W</t>
  </si>
  <si>
    <t>Th</t>
  </si>
  <si>
    <t>F</t>
  </si>
  <si>
    <t>S</t>
  </si>
  <si>
    <t>Su</t>
  </si>
  <si>
    <t>Shift 1</t>
  </si>
  <si>
    <t>Shift 2</t>
  </si>
  <si>
    <t>Shift 3</t>
  </si>
  <si>
    <t xml:space="preserve">IHS Economics - Spring 2015 Forecast </t>
  </si>
  <si>
    <t>FY19</t>
  </si>
  <si>
    <t>01/01/2016 - 12/31/2017</t>
  </si>
  <si>
    <t>FTEs</t>
  </si>
  <si>
    <t>hours</t>
  </si>
  <si>
    <t>Mo</t>
  </si>
  <si>
    <t>Tu</t>
  </si>
  <si>
    <t>We</t>
  </si>
  <si>
    <t>Fr</t>
  </si>
  <si>
    <t>Sa</t>
  </si>
  <si>
    <t>Day</t>
  </si>
  <si>
    <t>Evening</t>
  </si>
  <si>
    <t>Night</t>
  </si>
  <si>
    <t>6 BED - 1:3 ratio at all times</t>
  </si>
  <si>
    <t>hr/wk</t>
  </si>
  <si>
    <t>9 BED - 1:3 ratio evening and weekend, 2 staff weekdays, 2 staff nights</t>
  </si>
  <si>
    <t>+ Holiday/vacation weekdays</t>
  </si>
  <si>
    <t>hr/yr</t>
  </si>
  <si>
    <t>CAF</t>
  </si>
  <si>
    <r>
      <t xml:space="preserve">IRTP Model Budget
</t>
    </r>
    <r>
      <rPr>
        <b/>
        <sz val="10"/>
        <color rgb="FFFF0000"/>
        <rFont val="Arial"/>
        <family val="2"/>
      </rPr>
      <t>ORIGINAL RATE SETTING + CAF-only 2016 review</t>
    </r>
  </si>
  <si>
    <t>Nursing, co-located (overnight shift shared)</t>
  </si>
  <si>
    <t>hours/week</t>
  </si>
  <si>
    <t>Nursing, not co-located (full overnight shift)</t>
  </si>
  <si>
    <t>relief hours</t>
  </si>
  <si>
    <t>Monthly Accomm. rate</t>
  </si>
  <si>
    <t>Rate w CAF</t>
  </si>
  <si>
    <r>
      <t xml:space="preserve">CIRT Model Budget
</t>
    </r>
    <r>
      <rPr>
        <b/>
        <sz val="10"/>
        <color rgb="FFFF0000"/>
        <rFont val="Arial"/>
        <family val="2"/>
      </rPr>
      <t>ORIGINAL RATE SETTING + CAF-only 2016 review</t>
    </r>
  </si>
  <si>
    <t>IRTP Model Budget 2016
Co-located</t>
  </si>
  <si>
    <r>
      <t xml:space="preserve">IRTP Model Budget 2016
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>–co-located</t>
    </r>
  </si>
  <si>
    <t>CIRT Model Budget 2016</t>
  </si>
  <si>
    <t>12-bed staffing with 1:2 DC awake, 1:3 asleep</t>
  </si>
  <si>
    <t>Increase to 24/7 LPN</t>
  </si>
  <si>
    <t>FTEs relief</t>
  </si>
  <si>
    <r>
      <t xml:space="preserve">GROUP HOME Model Budget - Intensive 1:3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</si>
  <si>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GROUP HOME Model Budget - GH2 1:4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</si>
  <si>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GROUP HOME Model Budget - Pre-IL 1:5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</si>
  <si>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GROUP HOME Model Budget - Indep Living
</t>
    </r>
    <r>
      <rPr>
        <b/>
        <sz val="10"/>
        <color rgb="FFFF0000"/>
        <rFont val="Arial"/>
        <family val="2"/>
      </rPr>
      <t>ORIGINAL RATE SETTING + CAF-only 2016 review</t>
    </r>
  </si>
  <si>
    <t>GROUP HOME Model Budget - Intensive 1:3 
2016</t>
  </si>
  <si>
    <t>GROUP HOME Model Budget - GH2 1:4
2016</t>
  </si>
  <si>
    <t>GROUP HOME Model Budget - Pre-IL 1:5
2016</t>
  </si>
  <si>
    <t>GROUP HOME Model Budget - Indep Living
2016</t>
  </si>
  <si>
    <t>d</t>
  </si>
  <si>
    <t>9-bed staffing with 1:2 DC awake, 1:3 asleep</t>
  </si>
  <si>
    <r>
      <t xml:space="preserve">STARR Model Budget - 12 Beds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</si>
  <si>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STARR Model Budget - 6 Beds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</si>
  <si>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STARR Model Budget - 9 Beds
</t>
    </r>
    <r>
      <rPr>
        <b/>
        <sz val="10"/>
        <color rgb="FFFF0000"/>
        <rFont val="Arial"/>
        <family val="2"/>
      </rPr>
      <t>ORIGINAL RATE SETTING + CAF-only 2016 review</t>
    </r>
  </si>
  <si>
    <r>
      <t xml:space="preserve">STARR Model Budget - 15 Beds
</t>
    </r>
    <r>
      <rPr>
        <b/>
        <sz val="10"/>
        <color rgb="FFFF0000"/>
        <rFont val="Arial"/>
        <family val="2"/>
      </rPr>
      <t>ORIGINAL RATE SETTING + CAF-only 2016 review</t>
    </r>
  </si>
  <si>
    <t>STARR Model Budget - 12 Beds
2016 Review</t>
  </si>
  <si>
    <t>STARR Model Budget - 6 Beds
2016 Review</t>
  </si>
  <si>
    <t>STARR Model Budget - 9 Beds
2016 Review</t>
  </si>
  <si>
    <t>STARR Model Budget - 15 Beds
2016 Review</t>
  </si>
  <si>
    <t>nursing FTE</t>
  </si>
  <si>
    <t>6-bed staffing with 1:2 DC awake, 1:3 asleep</t>
  </si>
  <si>
    <t>Rate model</t>
  </si>
  <si>
    <t>Current rate</t>
  </si>
  <si>
    <t>Rate 1/1/16-6/30/16 (CAF only)</t>
  </si>
  <si>
    <t>Clinically Intensive Residential Treatment (CIRT)</t>
  </si>
  <si>
    <t>Group Home Intensive 1:3</t>
  </si>
  <si>
    <t>Group Home 1:4</t>
  </si>
  <si>
    <t>Group Home Independent Living</t>
  </si>
  <si>
    <t>Intensive Residential Treatment Program (IRTP)</t>
  </si>
  <si>
    <t>STARR 6 bed</t>
  </si>
  <si>
    <t>STARR 9 bed</t>
  </si>
  <si>
    <t>STARR 12 bed</t>
  </si>
  <si>
    <t>STARR 15 bed</t>
  </si>
  <si>
    <t>Youth Residential Substance Use Disorder Treatment</t>
  </si>
  <si>
    <t>Teen Parenting Enhanced 1:4</t>
  </si>
  <si>
    <t>Teen Parenting TLP 1:5</t>
  </si>
  <si>
    <t>Teen Parenting House Parent</t>
  </si>
  <si>
    <t>Teen Parenting STEP</t>
  </si>
  <si>
    <t>Continuum Community Wrap</t>
  </si>
  <si>
    <t>Continuum GH 1:3</t>
  </si>
  <si>
    <t>Continuum GH 1:4</t>
  </si>
  <si>
    <t>Transitional Age Youth: Adult Continuum</t>
  </si>
  <si>
    <t>Transitional Age Youth: Young Adult</t>
  </si>
  <si>
    <t>Group Living Environment Outreach Independent Living</t>
  </si>
  <si>
    <t>Intensive 1:1 Supported Living</t>
  </si>
  <si>
    <t>Intensive 1:2 Group Home</t>
  </si>
  <si>
    <t>Intensive 1:3 Group Home with Expanded Nursing</t>
  </si>
  <si>
    <t>State College Preparatory</t>
  </si>
  <si>
    <t>Transition to IFC Add-on</t>
  </si>
  <si>
    <t>Teen Parenting Emergency Beds Add-on</t>
  </si>
  <si>
    <t>Clinically Intensive Youth Resi Sub. Use Disorder Tx</t>
  </si>
  <si>
    <t>Notes</t>
  </si>
  <si>
    <t>7/1 change to monthly AR</t>
  </si>
  <si>
    <t>Group Home Pre-independent Living</t>
  </si>
  <si>
    <t>IRTP co-located</t>
  </si>
  <si>
    <t>IRTP non-co-located</t>
  </si>
  <si>
    <t>STARR 6 bed accommodation rate</t>
  </si>
  <si>
    <t>STARR 9 bed accommodation rate</t>
  </si>
  <si>
    <t>STARR 12 bed accommodation rate</t>
  </si>
  <si>
    <t>STARR 15 bed accommodation rate</t>
  </si>
  <si>
    <t xml:space="preserve">7/1 rate at 100% utilization </t>
  </si>
  <si>
    <t>Per administrative bulletin, using GH 1:4 rate.</t>
  </si>
  <si>
    <t>Per administrative bulletin, using GH 1:3 rate.</t>
  </si>
  <si>
    <t xml:space="preserve">Med. Compl. Needs GH w 24/7 nursing, 12 beds </t>
  </si>
  <si>
    <t>Med. Compl. Needs GH w 24/7 nursing, 6 beds</t>
  </si>
  <si>
    <t xml:space="preserve">Med. Compl. Needs GH 12 beds </t>
  </si>
  <si>
    <t>Med. Compl. Needs GH 6 beds</t>
  </si>
  <si>
    <t>Medically Complex Needs Group Home (9 beds)</t>
  </si>
  <si>
    <t>Med. Compl. Needs GH w 24/7 nursing 9 beds</t>
  </si>
  <si>
    <t>Base</t>
  </si>
  <si>
    <t>FY16 total</t>
  </si>
  <si>
    <t>FY16 annualized</t>
  </si>
  <si>
    <t>DMH</t>
  </si>
  <si>
    <t>DCF</t>
  </si>
  <si>
    <t>DYS</t>
  </si>
  <si>
    <t>Rate project</t>
  </si>
  <si>
    <t>Activity code</t>
  </si>
  <si>
    <t>FY</t>
  </si>
  <si>
    <t>FY_spending</t>
  </si>
  <si>
    <t>Youth Intermediate-Term Stabilization - DYS</t>
  </si>
  <si>
    <t>2500</t>
  </si>
  <si>
    <t>2015</t>
  </si>
  <si>
    <t>2503</t>
  </si>
  <si>
    <t>2505</t>
  </si>
  <si>
    <t>2506</t>
  </si>
  <si>
    <t>2516</t>
  </si>
  <si>
    <t>Youth Intermediate-Term Stabilization - DCF/DMH</t>
  </si>
  <si>
    <t>3061</t>
  </si>
  <si>
    <t>3075</t>
  </si>
  <si>
    <t>3078</t>
  </si>
  <si>
    <t>3079</t>
  </si>
  <si>
    <t>3080</t>
  </si>
  <si>
    <t>3081</t>
  </si>
  <si>
    <t>3091</t>
  </si>
  <si>
    <t>CTC0</t>
  </si>
  <si>
    <t>CTT0</t>
  </si>
  <si>
    <t>FNCO</t>
  </si>
  <si>
    <t>FNGH</t>
  </si>
  <si>
    <t>FNST</t>
  </si>
  <si>
    <t>RES0</t>
  </si>
  <si>
    <t>RESG</t>
  </si>
  <si>
    <t>3062</t>
  </si>
  <si>
    <t>Dept</t>
  </si>
  <si>
    <t>legal_name</t>
  </si>
  <si>
    <t>L U K CRISIS CENTER INC</t>
  </si>
  <si>
    <t>NFI MASSACHUSETTS, INC.</t>
  </si>
  <si>
    <t>OLD COLONY Y</t>
  </si>
  <si>
    <t>YWCA OF WESTERN MASS</t>
  </si>
  <si>
    <t>BRANDON RESIDENTIAL TREATMENT</t>
  </si>
  <si>
    <t>YOUTH VILLAGES-GERMAINE LAWRENCE INC</t>
  </si>
  <si>
    <t>COMMUNITY HEALTHLINK INC</t>
  </si>
  <si>
    <t>CENTER FOR HUMAN</t>
  </si>
  <si>
    <t>STEVENS CHILDRENS HOME INC</t>
  </si>
  <si>
    <t>GANDARA MENTAL HEALTH CENTER INC</t>
  </si>
  <si>
    <t>FALL RIVER DEACONESS HOME</t>
  </si>
  <si>
    <t>JUSTICE RESOURCE INSTITUTE INC</t>
  </si>
  <si>
    <t>NORTHEAST BEHAVIORAL HEALTH</t>
  </si>
  <si>
    <t>YOUTH VILLAGES</t>
  </si>
  <si>
    <t>TEAM COORDINATINGAGENCY INC</t>
  </si>
  <si>
    <t>HILLCREST EDUCATIONAL CTRS INC</t>
  </si>
  <si>
    <t>THE BRIEN CENTER FOR MENTAL HEALTH</t>
  </si>
  <si>
    <t>OPEN PANTRY COMMUNITY SERVICES</t>
  </si>
  <si>
    <t>RFK CHILDRENS ACTION CORP INC</t>
  </si>
  <si>
    <t>ITALIAN HOME FOR CHILDREN INC</t>
  </si>
  <si>
    <t>PLUMMER HOME FOR BOYS</t>
  </si>
  <si>
    <t>WAYSIDE YOUTH &amp; FAMILY</t>
  </si>
  <si>
    <t>BECKET ACADEMY</t>
  </si>
  <si>
    <t>CLINICAL &amp; SUPPORT OPTIONS INC</t>
  </si>
  <si>
    <t>SPECTRUM HEALTH SYSTEMS INC</t>
  </si>
  <si>
    <t>COMMUNITIES FOR  PEOPLE INC</t>
  </si>
  <si>
    <t>LATHAM CENTERS INC</t>
  </si>
  <si>
    <t>KEY PROGRAM INC</t>
  </si>
  <si>
    <t>THE DEVEREUX FOUNDATION</t>
  </si>
  <si>
    <t>BAY STATE COMMUNITY SERVICES INC</t>
  </si>
  <si>
    <t>THE BRIDGE OF CENTRAL MASS INC</t>
  </si>
  <si>
    <t>YOUTH OPPORTUNITIES UPHELD INC</t>
  </si>
  <si>
    <t>ASCENTRIA COMMUNITY SERVICES, INC</t>
  </si>
  <si>
    <t>THE SALVATION ARMY</t>
  </si>
  <si>
    <t>AMERICAN TRAINING INC</t>
  </si>
  <si>
    <t>GEORGE &amp; IRENE L WALKER HOME</t>
  </si>
  <si>
    <t>HOME FOR LITTLE WANDERERS INC</t>
  </si>
  <si>
    <t>ST MARYS CTR FOR WOMEN &amp; CHILDREN INC</t>
  </si>
  <si>
    <t>ELIOT COMMUNITY HUMAN SRVCS</t>
  </si>
  <si>
    <t>NORTHEAST CTR YOUTH &amp; FAMILIES</t>
  </si>
  <si>
    <t>CHILD &amp; FAMILY SERVICES INC</t>
  </si>
  <si>
    <t>FAMILY SER ASSN OF G B INC</t>
  </si>
  <si>
    <t>EASTER SEAL NH INC</t>
  </si>
  <si>
    <t>DOCTOR FRANKLIN PERKINS SCHOOL</t>
  </si>
  <si>
    <t>STETSON SCHOOL INC</t>
  </si>
  <si>
    <t>CHILDRENS FRIEND &amp; FAMILY SRVCS INC</t>
  </si>
  <si>
    <t>DARE FAMILY SERVICES INC</t>
  </si>
  <si>
    <t>UNIVERSITY OF MASS</t>
  </si>
  <si>
    <t>CUTCHINS PROGRAMS</t>
  </si>
  <si>
    <t>ST ANNS HOME INC</t>
  </si>
  <si>
    <t>MAB COMMUNITY SERVICES INC</t>
  </si>
  <si>
    <t>VOLUNTRS OF AMER OF MA INC</t>
  </si>
  <si>
    <t>CENTERBOARD INC</t>
  </si>
  <si>
    <t>LUTHERAN COMMUNITY SERVICES, INC</t>
  </si>
  <si>
    <t>JUST A START</t>
  </si>
  <si>
    <t>CATHOLIC CHARITABLE BUREAU OF</t>
  </si>
  <si>
    <t>YWCA OF GREATER  LAWRENCE</t>
  </si>
  <si>
    <t>RIVERSIDE COMMUNITY CARE INC</t>
  </si>
  <si>
    <t>Row Labels</t>
  </si>
  <si>
    <t>Grand Total</t>
  </si>
  <si>
    <t>Monthly Accom. Rate per slot</t>
  </si>
  <si>
    <t>Rate 7/1/2016 
presented at PH</t>
  </si>
  <si>
    <t>Changed b/c pegged to Group Home</t>
  </si>
  <si>
    <t>Post PH moving from monthly AR to Month AR per slot.</t>
  </si>
  <si>
    <t>no change post PH</t>
  </si>
  <si>
    <t>Post PH Changes</t>
  </si>
  <si>
    <t>Change mgmt from 59,701 to 61,500 (affects DMH only). Raised LCSW salary in model from $44,298 to $45,500</t>
  </si>
  <si>
    <t>Added 1.4 DC FTE to cover 1 more shift per day and added associated relief. Raised Clinical Care Manager salary in model from $42,189 to $44,250</t>
  </si>
  <si>
    <t>Change mgmt from 59,701 to 61,500 (affects DMH only).Raised LCSW salary in model from $44,298 to $45,500</t>
  </si>
  <si>
    <t>No rate in regulation for 7/1/16 but think it was an oversight, will put back in reg effective 7/1/16 increase due to raised Clinical Care Manager salary in model from $42,189 to $44,250</t>
  </si>
  <si>
    <t>Raised Clinical Care Manager salary in model from $42,189 to $44,250</t>
  </si>
  <si>
    <t>What has changed since the rates were porposed at Public Hearing</t>
  </si>
  <si>
    <r>
      <t xml:space="preserve">changed to 85% utilization , Increased LICSW by.5 FTE and associated relief staff. </t>
    </r>
    <r>
      <rPr>
        <sz val="11"/>
        <color rgb="FFFF0000"/>
        <rFont val="Calibri"/>
        <family val="2"/>
        <scheme val="minor"/>
      </rPr>
      <t xml:space="preserve">No </t>
    </r>
    <r>
      <rPr>
        <sz val="11"/>
        <color theme="1"/>
        <rFont val="Calibri"/>
        <family val="2"/>
        <scheme val="minor"/>
      </rPr>
      <t xml:space="preserve">Clinical Care Manager in model </t>
    </r>
  </si>
  <si>
    <t>Changed to 85% utilization , Increased LICSW by.5 FTE and associated relief staff. Raised Clinical Care Manager salary in model from $42,189 to $44,250</t>
  </si>
  <si>
    <t>Sum of Projected Annual Spend Current</t>
  </si>
  <si>
    <t>Sum of Projected Spend New Rate</t>
  </si>
  <si>
    <t xml:space="preserve">Sum of Projected Spend 2.04% CAF </t>
  </si>
  <si>
    <t>CONTINUUM</t>
  </si>
  <si>
    <t>GROUP HOME</t>
  </si>
  <si>
    <t>TAY</t>
  </si>
  <si>
    <t>TAY GLE</t>
  </si>
  <si>
    <t>Services by rate group</t>
  </si>
  <si>
    <t>FY16 CAF only
(Jan-Jun)</t>
  </si>
  <si>
    <t>FY16 full rates
(Jan-Jun)</t>
  </si>
  <si>
    <t>FY17
full year rates</t>
  </si>
  <si>
    <t>IRTP/CIRT</t>
  </si>
  <si>
    <t>NFI Worcester 1</t>
  </si>
  <si>
    <t>NFI Worcester 2</t>
  </si>
  <si>
    <t>JRI Centerpoint</t>
  </si>
  <si>
    <t>JRI Merrimack</t>
  </si>
  <si>
    <t>JRI Cohannet</t>
  </si>
  <si>
    <t>Cutchins</t>
  </si>
  <si>
    <t>Average Montly Cost (Jul-Feb)</t>
  </si>
  <si>
    <t>New Payment (Jan-Dec)</t>
  </si>
  <si>
    <t>Max Ob FY16</t>
  </si>
  <si>
    <t>Max Ob FY17</t>
  </si>
  <si>
    <t>Fiscal Impact  FY17*</t>
  </si>
  <si>
    <t>*There is no fiscal impact to DMH for IRTP/CIRT if we decide to implement the accomodation rate model.</t>
  </si>
  <si>
    <t>Sum of FY16 Estimated cost</t>
  </si>
  <si>
    <t>Sum of FY17 Project Cost</t>
  </si>
  <si>
    <t xml:space="preserve">TAY </t>
  </si>
  <si>
    <t>DCF Fiscal Impacts</t>
  </si>
  <si>
    <t>-------------------------- FISCAL IMPACT --------------------------</t>
  </si>
  <si>
    <t xml:space="preserve">Services by rate </t>
  </si>
  <si>
    <t>Recommended rate</t>
  </si>
  <si>
    <t>FY15 avg/month</t>
  </si>
  <si>
    <t>FY15 units</t>
  </si>
  <si>
    <t>FY15 Expenditures</t>
  </si>
  <si>
    <t>% increase in rate</t>
  </si>
  <si>
    <t>old Rate</t>
  </si>
  <si>
    <t>Post PH Rate</t>
  </si>
  <si>
    <t>% increase in rate from 6/30/16 to Post PH changes</t>
  </si>
  <si>
    <t>STARR 6</t>
  </si>
  <si>
    <t>STARR 9</t>
  </si>
  <si>
    <t>STARR 12</t>
  </si>
  <si>
    <t>STARR 15</t>
  </si>
  <si>
    <t>FN GH</t>
  </si>
  <si>
    <t>CT GH Follow Along GH</t>
  </si>
  <si>
    <t>CT GH GH 1:4</t>
  </si>
  <si>
    <t>CT GH Indep Living</t>
  </si>
  <si>
    <t>CT GH Intensive 1:1 Supp Living</t>
  </si>
  <si>
    <t>CT GH Intensive 1:2 Group Home</t>
  </si>
  <si>
    <t>CT GH Intensive 1:3</t>
  </si>
  <si>
    <t>CT GH Intensive 1:3 GH w/expanded nursing</t>
  </si>
  <si>
    <t>CT GH Medically Complex Needs GH</t>
  </si>
  <si>
    <t>CT GH Pre-Indep Living</t>
  </si>
  <si>
    <t>CT GH State College Prep</t>
  </si>
  <si>
    <t>CT GH Stepping Out GH</t>
  </si>
  <si>
    <t>CT GH Stepping Out Indep Living</t>
  </si>
  <si>
    <t>Teen Parenting</t>
  </si>
  <si>
    <t>CT Teen Parenting Enh Teen Parenting</t>
  </si>
  <si>
    <t>CT Teen Parenting House Parent</t>
  </si>
  <si>
    <t>CT Teen Parenting TLP 1:5</t>
  </si>
  <si>
    <t>CT Continuum Adj GH 1:3</t>
  </si>
  <si>
    <t>CT Continuum Adj GH 1:3 Subcontract</t>
  </si>
  <si>
    <t>CT Continuum Adj GH 1:4</t>
  </si>
  <si>
    <t>CT Continuum Adj GH 1:4 Subcontract</t>
  </si>
  <si>
    <t>CT Continuum Community Wrap</t>
  </si>
  <si>
    <t>Add-Ons</t>
  </si>
  <si>
    <t>CT Placement Add-On Direct Care I</t>
  </si>
  <si>
    <t>CT Placement Add-On Direct Care II</t>
  </si>
  <si>
    <t>CT Placement Add-On Direct Care III</t>
  </si>
  <si>
    <t>CT Placement Add-On Nurse</t>
  </si>
  <si>
    <t>CT Placement Add-On Trans to IFC Add-On</t>
  </si>
  <si>
    <t>FY17
full year Post PH rates - Variance</t>
  </si>
  <si>
    <t>Avg % of Increase</t>
  </si>
  <si>
    <t>FY17 Variance</t>
  </si>
  <si>
    <t>FY17 Projected spend</t>
  </si>
  <si>
    <t>FY17
full year rates (with PH rates)</t>
  </si>
  <si>
    <t>changed to 90% utilization , Increased LICSW by 1 FTE and associated relief staff. Raised Clinical Care Manager salary in model from $42,189 to $44,250</t>
  </si>
  <si>
    <t>REBASED FY18</t>
  </si>
  <si>
    <t>IRTP Model Budget 
Co-located</t>
  </si>
  <si>
    <r>
      <t xml:space="preserve">IRTP Model Budget 
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>–co-located</t>
    </r>
  </si>
  <si>
    <t>FY19 CAF</t>
  </si>
  <si>
    <t>FY17 Rate (effective 7/1/16)</t>
  </si>
  <si>
    <t>DMH Caring Together Fiscal Impact FY17</t>
  </si>
  <si>
    <t>PROGRAM</t>
  </si>
  <si>
    <t>MODEL</t>
  </si>
  <si>
    <t>WA</t>
  </si>
  <si>
    <t>WIL</t>
  </si>
  <si>
    <t>WIFC</t>
  </si>
  <si>
    <t>WPIL</t>
  </si>
  <si>
    <t>WGH</t>
  </si>
  <si>
    <t>WIGH</t>
  </si>
  <si>
    <t>12-BED</t>
  </si>
  <si>
    <t>15-BED</t>
  </si>
  <si>
    <t>GH-1</t>
  </si>
  <si>
    <t>GH-2</t>
  </si>
  <si>
    <t>9-BED</t>
  </si>
  <si>
    <t>GH-4</t>
  </si>
  <si>
    <t>FY17 Spend</t>
  </si>
  <si>
    <t xml:space="preserve">METRO-BOSTON </t>
  </si>
  <si>
    <t xml:space="preserve">SOUTHEAST </t>
  </si>
  <si>
    <t xml:space="preserve">METRO-SUBURBAN </t>
  </si>
  <si>
    <t xml:space="preserve">NORTHEAST </t>
  </si>
  <si>
    <t xml:space="preserve">WESTERN MA </t>
  </si>
  <si>
    <t xml:space="preserve">CENTRAL MA </t>
  </si>
  <si>
    <t>DCF Caring Together Fiscal Impacts</t>
  </si>
  <si>
    <t>Rebased FY18</t>
  </si>
  <si>
    <t xml:space="preserve">Rate </t>
  </si>
  <si>
    <t>Per Diem Rate</t>
  </si>
  <si>
    <t>Rate</t>
  </si>
  <si>
    <t xml:space="preserve">Monthly Rate </t>
  </si>
  <si>
    <r>
      <t xml:space="preserve"> ^ </t>
    </r>
    <r>
      <rPr>
        <sz val="10"/>
        <rFont val="Arial"/>
        <family val="2"/>
      </rPr>
      <t>Food Expense is already included in the base rate: $1,712 ($4.69*365) per unit, based on each year plus previous CAF (5.39% &amp; 2.04%)</t>
    </r>
  </si>
  <si>
    <t>Current Rate</t>
  </si>
  <si>
    <t xml:space="preserve">CONTINUUM Model Budget - Group Home 2 (GH 1:4) </t>
  </si>
  <si>
    <t xml:space="preserve">CONTINUUM Model Budget - Group Home 1 (Intensive 1:3) </t>
  </si>
  <si>
    <t>All Post PH DCF &amp; DMH Reccommended Changes</t>
  </si>
  <si>
    <r>
      <t>Added 1.4 DC FTE to cover 1 more shift per day and added associated relief.</t>
    </r>
    <r>
      <rPr>
        <sz val="11"/>
        <color rgb="FFFF0000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Clinical Care Manager in model </t>
    </r>
  </si>
  <si>
    <t>Current Rates Effective 7/1/16 - 6/30/18</t>
  </si>
  <si>
    <t>No change in models needed</t>
  </si>
  <si>
    <t>DMH Requested Changes - Change the DC and Relief only salary to $31,769 plus 2.62% CAF</t>
  </si>
  <si>
    <t>Percent of Increase in rate</t>
  </si>
  <si>
    <t>WIL=wrap +IL</t>
  </si>
  <si>
    <t>WPIL= Wrap +PIL</t>
  </si>
  <si>
    <t>avg</t>
  </si>
  <si>
    <t>WR= Wrap +respite (GH1:4)</t>
  </si>
  <si>
    <t>GH1</t>
  </si>
  <si>
    <t>GH2</t>
  </si>
  <si>
    <t>Master Look-Up Table</t>
  </si>
  <si>
    <t>For Rate</t>
  </si>
  <si>
    <t>Source</t>
  </si>
  <si>
    <t>Salaries</t>
  </si>
  <si>
    <t xml:space="preserve">Direct Care </t>
  </si>
  <si>
    <t>Admin. Alloc. (M&amp;G)</t>
  </si>
  <si>
    <t>Total</t>
  </si>
  <si>
    <t>Taxes &amp; Fringe</t>
  </si>
  <si>
    <t>Admin. Alloc. (M &amp; G)</t>
  </si>
  <si>
    <t>AVG of all CT Model Salaries</t>
  </si>
  <si>
    <t>CT benchmark</t>
  </si>
  <si>
    <t>Prospective: 7/1/2018 - 6/30/2020</t>
  </si>
  <si>
    <t>Weekly Rate</t>
  </si>
  <si>
    <t>Total Plus CAF</t>
  </si>
  <si>
    <t>Caring Together Direct Care Programmatic Add-On</t>
  </si>
  <si>
    <t>Hourly Rate</t>
  </si>
  <si>
    <t xml:space="preserve">11/6/17: Per Jeanne:  DCF does NOT want to incorporate the DC Add-ons at this time </t>
  </si>
  <si>
    <t>CAF (FY19)</t>
  </si>
  <si>
    <t xml:space="preserve">FY17 </t>
  </si>
  <si>
    <t xml:space="preserve"> Rate</t>
  </si>
  <si>
    <t xml:space="preserve">FY17 Rate </t>
  </si>
  <si>
    <t>FY17 Rate</t>
  </si>
  <si>
    <t>.</t>
  </si>
  <si>
    <t>FY19 CAF (Rate Review)</t>
  </si>
  <si>
    <t>GROUP HOME Model Budget - GH 1:4
2016</t>
  </si>
  <si>
    <t>Monthly Acc Rate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</si>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</sst>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%"/>
    <numFmt numFmtId="167" formatCode="_(&quot;$&quot;* #,##0_);_(&quot;$&quot;* \(#,##0\);_(&quot;$&quot;* &quot;-&quot;??_);_(@_)"/>
    <numFmt numFmtId="168" formatCode="\$#,##0.00"/>
    <numFmt numFmtId="169" formatCode="0.000"/>
    <numFmt numFmtId="170" formatCode="&quot;$&quot;#,##0.00"/>
    <numFmt numFmtId="171" formatCode="0.000000000000000%"/>
    <numFmt numFmtId="172" formatCode="&quot;$&quot;#,##0"/>
    <numFmt numFmtId="173" formatCode="_(* #,##0_);_(* \(#,##0\);_(* &quot;-&quot;??_);_(@_)"/>
    <numFmt numFmtId="174" formatCode="_(&quot;$&quot;* #,##0.00_);_(&quot;$&quot;* \(#,##0.00\);_(&quot;$&quot;* &quot;-&quot;_);_(@_)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Calibri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8.5"/>
      <color indexed="10"/>
      <name val="Calibri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30"/>
      <name val="Arial"/>
      <family val="2"/>
    </font>
    <font>
      <b/>
      <u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Calibri"/>
      <family val="2"/>
    </font>
    <font>
      <b/>
      <sz val="10"/>
      <color indexed="20"/>
      <name val="Arial"/>
      <family val="2"/>
    </font>
    <font>
      <sz val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sz val="10"/>
      <color indexed="17"/>
      <name val="Arial"/>
      <family val="2"/>
    </font>
    <font>
      <sz val="12"/>
      <color indexed="10"/>
      <name val="Calibri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0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u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0"/>
      <color rgb="FF0066CC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0E3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0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" fillId="0" borderId="0"/>
    <xf numFmtId="0" fontId="33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62" fillId="22" borderId="48" applyNumberFormat="0" applyFont="0" applyAlignment="0" applyProtection="0"/>
    <xf numFmtId="43" fontId="62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44" fontId="62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1546">
    <xf numFmtId="0" fontId="0" fillId="0" borderId="0" xfId="0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2" xfId="0" applyFont="1" applyBorder="1" applyAlignment="1"/>
    <xf numFmtId="0" fontId="6" fillId="0" borderId="3" xfId="0" applyFont="1" applyFill="1" applyBorder="1" applyAlignment="1"/>
    <xf numFmtId="0" fontId="3" fillId="0" borderId="4" xfId="0" applyFont="1" applyBorder="1" applyAlignment="1"/>
    <xf numFmtId="0" fontId="7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7" fillId="0" borderId="5" xfId="0" applyNumberFormat="1" applyFont="1" applyFill="1" applyBorder="1" applyAlignment="1">
      <alignment horizontal="right"/>
    </xf>
    <xf numFmtId="0" fontId="4" fillId="0" borderId="4" xfId="0" applyFont="1" applyBorder="1" applyAlignment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/>
    <xf numFmtId="0" fontId="8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4" fillId="0" borderId="9" xfId="0" applyFont="1" applyBorder="1" applyAlignment="1"/>
    <xf numFmtId="0" fontId="4" fillId="0" borderId="10" xfId="0" applyFont="1" applyFill="1" applyBorder="1" applyAlignment="1">
      <alignment horizontal="right"/>
    </xf>
    <xf numFmtId="166" fontId="4" fillId="0" borderId="10" xfId="6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1" fillId="0" borderId="0" xfId="0" applyFont="1"/>
    <xf numFmtId="0" fontId="21" fillId="0" borderId="7" xfId="0" applyFont="1" applyBorder="1"/>
    <xf numFmtId="0" fontId="21" fillId="0" borderId="7" xfId="0" applyFont="1" applyBorder="1" applyAlignment="1">
      <alignment horizontal="center"/>
    </xf>
    <xf numFmtId="42" fontId="20" fillId="0" borderId="0" xfId="0" applyNumberFormat="1" applyFont="1"/>
    <xf numFmtId="0" fontId="20" fillId="0" borderId="0" xfId="0" applyFont="1" applyBorder="1"/>
    <xf numFmtId="42" fontId="22" fillId="0" borderId="0" xfId="0" applyNumberFormat="1" applyFont="1"/>
    <xf numFmtId="0" fontId="21" fillId="0" borderId="11" xfId="0" applyFont="1" applyBorder="1"/>
    <xf numFmtId="4" fontId="21" fillId="0" borderId="11" xfId="0" applyNumberFormat="1" applyFont="1" applyBorder="1"/>
    <xf numFmtId="42" fontId="21" fillId="0" borderId="11" xfId="0" applyNumberFormat="1" applyFont="1" applyBorder="1"/>
    <xf numFmtId="0" fontId="20" fillId="0" borderId="7" xfId="0" applyFont="1" applyBorder="1"/>
    <xf numFmtId="4" fontId="23" fillId="0" borderId="0" xfId="0" applyNumberFormat="1" applyFont="1"/>
    <xf numFmtId="0" fontId="20" fillId="0" borderId="2" xfId="0" applyFont="1" applyBorder="1"/>
    <xf numFmtId="0" fontId="20" fillId="0" borderId="12" xfId="0" applyFont="1" applyBorder="1"/>
    <xf numFmtId="0" fontId="24" fillId="0" borderId="12" xfId="0" applyFont="1" applyBorder="1" applyAlignment="1">
      <alignment horizontal="center"/>
    </xf>
    <xf numFmtId="0" fontId="20" fillId="0" borderId="3" xfId="0" applyFont="1" applyBorder="1"/>
    <xf numFmtId="42" fontId="22" fillId="0" borderId="0" xfId="0" applyNumberFormat="1" applyFont="1" applyBorder="1"/>
    <xf numFmtId="0" fontId="20" fillId="0" borderId="5" xfId="0" applyFont="1" applyBorder="1"/>
    <xf numFmtId="0" fontId="5" fillId="0" borderId="4" xfId="0" applyFont="1" applyBorder="1" applyAlignment="1"/>
    <xf numFmtId="0" fontId="20" fillId="0" borderId="4" xfId="0" applyFont="1" applyBorder="1"/>
    <xf numFmtId="0" fontId="24" fillId="0" borderId="0" xfId="0" applyFont="1" applyBorder="1" applyAlignment="1">
      <alignment horizontal="center"/>
    </xf>
    <xf numFmtId="0" fontId="20" fillId="0" borderId="8" xfId="0" applyFont="1" applyBorder="1"/>
    <xf numFmtId="4" fontId="23" fillId="0" borderId="0" xfId="0" applyNumberFormat="1" applyFont="1" applyBorder="1"/>
    <xf numFmtId="4" fontId="23" fillId="0" borderId="5" xfId="0" applyNumberFormat="1" applyFont="1" applyBorder="1"/>
    <xf numFmtId="0" fontId="22" fillId="0" borderId="0" xfId="0" applyFont="1" applyBorder="1"/>
    <xf numFmtId="0" fontId="20" fillId="0" borderId="6" xfId="0" applyFont="1" applyBorder="1"/>
    <xf numFmtId="0" fontId="21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4" fillId="0" borderId="0" xfId="0" applyFont="1" applyAlignment="1"/>
    <xf numFmtId="0" fontId="24" fillId="0" borderId="0" xfId="0" applyFont="1"/>
    <xf numFmtId="166" fontId="4" fillId="0" borderId="13" xfId="6" quotePrefix="1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2" fillId="0" borderId="0" xfId="6" applyFont="1" applyBorder="1"/>
    <xf numFmtId="44" fontId="22" fillId="0" borderId="0" xfId="1" applyNumberFormat="1" applyFont="1" applyBorder="1"/>
    <xf numFmtId="44" fontId="22" fillId="0" borderId="7" xfId="1" applyNumberFormat="1" applyFont="1" applyBorder="1"/>
    <xf numFmtId="44" fontId="20" fillId="0" borderId="0" xfId="0" applyNumberFormat="1" applyFont="1" applyBorder="1"/>
    <xf numFmtId="9" fontId="23" fillId="0" borderId="10" xfId="6" applyFont="1" applyBorder="1"/>
    <xf numFmtId="0" fontId="23" fillId="0" borderId="0" xfId="0" applyFont="1" applyAlignment="1"/>
    <xf numFmtId="0" fontId="22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3" fontId="21" fillId="0" borderId="0" xfId="0" applyNumberFormat="1" applyFont="1"/>
    <xf numFmtId="0" fontId="3" fillId="0" borderId="0" xfId="0" applyFont="1" applyAlignment="1">
      <alignment horizontal="left"/>
    </xf>
    <xf numFmtId="44" fontId="21" fillId="0" borderId="11" xfId="0" applyNumberFormat="1" applyFont="1" applyBorder="1"/>
    <xf numFmtId="44" fontId="20" fillId="0" borderId="0" xfId="0" applyNumberFormat="1" applyFont="1"/>
    <xf numFmtId="44" fontId="21" fillId="0" borderId="1" xfId="0" applyNumberFormat="1" applyFont="1" applyBorder="1"/>
    <xf numFmtId="0" fontId="21" fillId="0" borderId="15" xfId="0" applyFont="1" applyBorder="1"/>
    <xf numFmtId="0" fontId="20" fillId="0" borderId="15" xfId="0" applyFont="1" applyBorder="1"/>
    <xf numFmtId="42" fontId="21" fillId="0" borderId="15" xfId="0" applyNumberFormat="1" applyFont="1" applyBorder="1"/>
    <xf numFmtId="44" fontId="20" fillId="0" borderId="0" xfId="1" applyFont="1"/>
    <xf numFmtId="167" fontId="20" fillId="0" borderId="0" xfId="1" applyNumberFormat="1" applyFont="1"/>
    <xf numFmtId="168" fontId="4" fillId="0" borderId="16" xfId="0" applyNumberFormat="1" applyFont="1" applyBorder="1" applyAlignment="1"/>
    <xf numFmtId="9" fontId="4" fillId="0" borderId="1" xfId="0" applyNumberFormat="1" applyFont="1" applyBorder="1" applyAlignment="1"/>
    <xf numFmtId="164" fontId="4" fillId="0" borderId="1" xfId="0" applyNumberFormat="1" applyFont="1" applyBorder="1" applyAlignment="1"/>
    <xf numFmtId="168" fontId="4" fillId="0" borderId="17" xfId="0" applyNumberFormat="1" applyFont="1" applyBorder="1" applyAlignment="1"/>
    <xf numFmtId="9" fontId="4" fillId="0" borderId="0" xfId="0" applyNumberFormat="1" applyFont="1" applyBorder="1" applyAlignment="1"/>
    <xf numFmtId="164" fontId="4" fillId="0" borderId="0" xfId="0" applyNumberFormat="1" applyFont="1" applyBorder="1" applyAlignment="1"/>
    <xf numFmtId="0" fontId="20" fillId="0" borderId="18" xfId="0" applyFont="1" applyBorder="1"/>
    <xf numFmtId="9" fontId="20" fillId="0" borderId="7" xfId="0" applyNumberFormat="1" applyFont="1" applyBorder="1"/>
    <xf numFmtId="44" fontId="4" fillId="0" borderId="1" xfId="1" applyFont="1" applyBorder="1" applyAlignment="1"/>
    <xf numFmtId="44" fontId="4" fillId="0" borderId="19" xfId="1" applyFont="1" applyBorder="1" applyAlignment="1"/>
    <xf numFmtId="44" fontId="4" fillId="0" borderId="0" xfId="1" applyFont="1" applyBorder="1" applyAlignment="1"/>
    <xf numFmtId="44" fontId="4" fillId="0" borderId="20" xfId="1" applyFont="1" applyBorder="1" applyAlignment="1"/>
    <xf numFmtId="44" fontId="4" fillId="0" borderId="7" xfId="1" applyFont="1" applyBorder="1" applyAlignment="1"/>
    <xf numFmtId="44" fontId="4" fillId="0" borderId="21" xfId="1" applyFont="1" applyBorder="1" applyAlignment="1"/>
    <xf numFmtId="0" fontId="24" fillId="0" borderId="0" xfId="0" applyFont="1" applyAlignment="1">
      <alignment horizontal="right"/>
    </xf>
    <xf numFmtId="0" fontId="25" fillId="0" borderId="0" xfId="0" applyNumberFormat="1" applyFont="1" applyBorder="1"/>
    <xf numFmtId="0" fontId="11" fillId="0" borderId="0" xfId="0" applyFont="1" applyAlignment="1"/>
    <xf numFmtId="10" fontId="22" fillId="0" borderId="0" xfId="6" applyNumberFormat="1" applyFont="1" applyBorder="1"/>
    <xf numFmtId="10" fontId="23" fillId="0" borderId="10" xfId="6" applyNumberFormat="1" applyFont="1" applyBorder="1"/>
    <xf numFmtId="10" fontId="22" fillId="0" borderId="0" xfId="0" applyNumberFormat="1" applyFont="1"/>
    <xf numFmtId="10" fontId="23" fillId="0" borderId="0" xfId="0" applyNumberFormat="1" applyFont="1"/>
    <xf numFmtId="0" fontId="25" fillId="0" borderId="5" xfId="0" applyFont="1" applyBorder="1"/>
    <xf numFmtId="0" fontId="11" fillId="0" borderId="0" xfId="0" applyFont="1" applyFill="1" applyBorder="1" applyAlignment="1"/>
    <xf numFmtId="0" fontId="21" fillId="0" borderId="22" xfId="0" applyFont="1" applyBorder="1"/>
    <xf numFmtId="0" fontId="20" fillId="0" borderId="1" xfId="0" applyFont="1" applyBorder="1"/>
    <xf numFmtId="44" fontId="20" fillId="0" borderId="1" xfId="0" applyNumberFormat="1" applyFont="1" applyBorder="1"/>
    <xf numFmtId="0" fontId="20" fillId="0" borderId="14" xfId="0" applyFont="1" applyBorder="1"/>
    <xf numFmtId="167" fontId="20" fillId="0" borderId="0" xfId="0" applyNumberFormat="1" applyFont="1"/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1" fillId="0" borderId="0" xfId="0" quotePrefix="1" applyFont="1" applyAlignment="1"/>
    <xf numFmtId="2" fontId="4" fillId="0" borderId="0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 wrapText="1"/>
    </xf>
    <xf numFmtId="2" fontId="23" fillId="0" borderId="5" xfId="0" applyNumberFormat="1" applyFont="1" applyBorder="1" applyAlignment="1">
      <alignment horizontal="center" wrapText="1"/>
    </xf>
    <xf numFmtId="10" fontId="25" fillId="0" borderId="0" xfId="6" applyNumberFormat="1" applyFont="1" applyBorder="1"/>
    <xf numFmtId="0" fontId="27" fillId="0" borderId="0" xfId="0" applyFont="1"/>
    <xf numFmtId="44" fontId="25" fillId="0" borderId="0" xfId="1" applyNumberFormat="1" applyFont="1" applyBorder="1"/>
    <xf numFmtId="42" fontId="22" fillId="0" borderId="5" xfId="0" applyNumberFormat="1" applyFont="1" applyBorder="1"/>
    <xf numFmtId="0" fontId="25" fillId="0" borderId="5" xfId="0" applyNumberFormat="1" applyFont="1" applyBorder="1"/>
    <xf numFmtId="167" fontId="22" fillId="0" borderId="0" xfId="1" applyNumberFormat="1" applyFont="1" applyBorder="1"/>
    <xf numFmtId="0" fontId="21" fillId="0" borderId="0" xfId="0" applyFont="1" applyBorder="1"/>
    <xf numFmtId="0" fontId="11" fillId="0" borderId="0" xfId="0" quotePrefix="1" applyFont="1"/>
    <xf numFmtId="2" fontId="25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44" fontId="20" fillId="0" borderId="17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4" fontId="20" fillId="0" borderId="0" xfId="0" applyNumberFormat="1" applyFont="1" applyBorder="1" applyAlignment="1">
      <alignment horizontal="center"/>
    </xf>
    <xf numFmtId="44" fontId="4" fillId="0" borderId="17" xfId="1" applyNumberFormat="1" applyFont="1" applyBorder="1" applyAlignment="1">
      <alignment horizontal="center"/>
    </xf>
    <xf numFmtId="0" fontId="20" fillId="0" borderId="20" xfId="0" applyFont="1" applyBorder="1"/>
    <xf numFmtId="0" fontId="20" fillId="0" borderId="17" xfId="0" applyFont="1" applyBorder="1"/>
    <xf numFmtId="44" fontId="4" fillId="0" borderId="0" xfId="1" applyNumberFormat="1" applyFont="1" applyBorder="1" applyAlignment="1">
      <alignment horizontal="center"/>
    </xf>
    <xf numFmtId="44" fontId="20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8" fontId="20" fillId="0" borderId="0" xfId="0" applyNumberFormat="1" applyFont="1" applyBorder="1"/>
    <xf numFmtId="8" fontId="20" fillId="0" borderId="20" xfId="0" applyNumberFormat="1" applyFont="1" applyBorder="1"/>
    <xf numFmtId="0" fontId="24" fillId="0" borderId="5" xfId="0" applyFont="1" applyBorder="1" applyAlignment="1">
      <alignment horizontal="center"/>
    </xf>
    <xf numFmtId="10" fontId="25" fillId="0" borderId="5" xfId="6" applyNumberFormat="1" applyFont="1" applyBorder="1"/>
    <xf numFmtId="0" fontId="22" fillId="0" borderId="5" xfId="0" applyFont="1" applyBorder="1"/>
    <xf numFmtId="44" fontId="20" fillId="0" borderId="5" xfId="0" applyNumberFormat="1" applyFont="1" applyBorder="1"/>
    <xf numFmtId="44" fontId="22" fillId="0" borderId="5" xfId="1" applyNumberFormat="1" applyFont="1" applyBorder="1"/>
    <xf numFmtId="44" fontId="20" fillId="0" borderId="14" xfId="0" applyNumberFormat="1" applyFont="1" applyBorder="1"/>
    <xf numFmtId="10" fontId="23" fillId="0" borderId="13" xfId="6" applyNumberFormat="1" applyFont="1" applyBorder="1"/>
    <xf numFmtId="0" fontId="13" fillId="0" borderId="0" xfId="0" quotePrefix="1" applyFont="1" applyAlignment="1"/>
    <xf numFmtId="0" fontId="20" fillId="0" borderId="0" xfId="0" quotePrefix="1" applyFont="1"/>
    <xf numFmtId="44" fontId="25" fillId="0" borderId="5" xfId="1" applyNumberFormat="1" applyFont="1" applyBorder="1"/>
    <xf numFmtId="0" fontId="24" fillId="0" borderId="3" xfId="0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2" fontId="23" fillId="0" borderId="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1" fillId="0" borderId="0" xfId="0" applyFont="1"/>
    <xf numFmtId="167" fontId="22" fillId="0" borderId="0" xfId="0" applyNumberFormat="1" applyFont="1"/>
    <xf numFmtId="0" fontId="14" fillId="0" borderId="7" xfId="0" applyFont="1" applyBorder="1"/>
    <xf numFmtId="0" fontId="15" fillId="0" borderId="0" xfId="0" applyFont="1" applyBorder="1"/>
    <xf numFmtId="0" fontId="15" fillId="0" borderId="0" xfId="0" applyFont="1"/>
    <xf numFmtId="10" fontId="25" fillId="0" borderId="13" xfId="6" applyNumberFormat="1" applyFont="1" applyBorder="1" applyAlignment="1">
      <alignment vertical="center"/>
    </xf>
    <xf numFmtId="2" fontId="25" fillId="0" borderId="5" xfId="0" applyNumberFormat="1" applyFont="1" applyBorder="1" applyAlignment="1">
      <alignment horizontal="left"/>
    </xf>
    <xf numFmtId="1" fontId="20" fillId="0" borderId="7" xfId="0" applyNumberFormat="1" applyFont="1" applyBorder="1" applyAlignment="1">
      <alignment horizontal="center"/>
    </xf>
    <xf numFmtId="44" fontId="22" fillId="0" borderId="0" xfId="6" applyNumberFormat="1" applyFont="1" applyBorder="1"/>
    <xf numFmtId="0" fontId="17" fillId="0" borderId="0" xfId="0" applyFont="1"/>
    <xf numFmtId="0" fontId="4" fillId="0" borderId="0" xfId="0" applyFont="1"/>
    <xf numFmtId="0" fontId="20" fillId="0" borderId="0" xfId="0" applyFont="1" applyFill="1" applyBorder="1"/>
    <xf numFmtId="44" fontId="4" fillId="0" borderId="0" xfId="0" applyNumberFormat="1" applyFont="1"/>
    <xf numFmtId="0" fontId="24" fillId="0" borderId="7" xfId="0" applyFont="1" applyBorder="1" applyAlignment="1">
      <alignment horizontal="center"/>
    </xf>
    <xf numFmtId="44" fontId="25" fillId="0" borderId="5" xfId="0" applyNumberFormat="1" applyFont="1" applyBorder="1"/>
    <xf numFmtId="44" fontId="21" fillId="0" borderId="0" xfId="0" applyNumberFormat="1" applyFont="1" applyBorder="1"/>
    <xf numFmtId="0" fontId="20" fillId="2" borderId="0" xfId="0" applyFont="1" applyFill="1"/>
    <xf numFmtId="2" fontId="23" fillId="2" borderId="0" xfId="0" applyNumberFormat="1" applyFont="1" applyFill="1" applyBorder="1" applyAlignment="1">
      <alignment horizontal="center" wrapText="1"/>
    </xf>
    <xf numFmtId="2" fontId="23" fillId="2" borderId="5" xfId="0" applyNumberFormat="1" applyFont="1" applyFill="1" applyBorder="1" applyAlignment="1">
      <alignment horizontal="center" wrapText="1"/>
    </xf>
    <xf numFmtId="2" fontId="25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5" fillId="0" borderId="0" xfId="0" applyFont="1"/>
    <xf numFmtId="0" fontId="4" fillId="0" borderId="0" xfId="0" applyFont="1" applyFill="1" applyBorder="1" applyAlignment="1"/>
    <xf numFmtId="0" fontId="28" fillId="0" borderId="0" xfId="0" applyFont="1"/>
    <xf numFmtId="42" fontId="10" fillId="0" borderId="11" xfId="0" applyNumberFormat="1" applyFont="1" applyBorder="1"/>
    <xf numFmtId="43" fontId="20" fillId="0" borderId="0" xfId="0" applyNumberFormat="1" applyFont="1"/>
    <xf numFmtId="0" fontId="9" fillId="0" borderId="0" xfId="0" applyFont="1"/>
    <xf numFmtId="4" fontId="4" fillId="0" borderId="0" xfId="0" applyNumberFormat="1" applyFont="1" applyFill="1" applyBorder="1"/>
    <xf numFmtId="0" fontId="9" fillId="0" borderId="4" xfId="0" applyFont="1" applyBorder="1"/>
    <xf numFmtId="2" fontId="23" fillId="0" borderId="0" xfId="0" applyNumberFormat="1" applyFont="1" applyFill="1" applyAlignment="1">
      <alignment horizontal="center"/>
    </xf>
    <xf numFmtId="0" fontId="9" fillId="0" borderId="0" xfId="0" applyFont="1" applyAlignment="1"/>
    <xf numFmtId="169" fontId="23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32" fillId="0" borderId="0" xfId="0" applyFont="1" applyBorder="1"/>
    <xf numFmtId="2" fontId="8" fillId="0" borderId="0" xfId="0" applyNumberFormat="1" applyFont="1" applyFill="1" applyBorder="1" applyAlignment="1">
      <alignment horizontal="center" wrapText="1"/>
    </xf>
    <xf numFmtId="2" fontId="8" fillId="0" borderId="5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 wrapText="1"/>
    </xf>
    <xf numFmtId="2" fontId="23" fillId="0" borderId="5" xfId="0" applyNumberFormat="1" applyFont="1" applyFill="1" applyBorder="1" applyAlignment="1">
      <alignment horizontal="center" wrapText="1"/>
    </xf>
    <xf numFmtId="2" fontId="26" fillId="0" borderId="0" xfId="0" applyNumberFormat="1" applyFont="1" applyFill="1" applyBorder="1" applyAlignment="1"/>
    <xf numFmtId="2" fontId="26" fillId="0" borderId="5" xfId="0" applyNumberFormat="1" applyFont="1" applyFill="1" applyBorder="1" applyAlignment="1"/>
    <xf numFmtId="2" fontId="26" fillId="0" borderId="0" xfId="0" applyNumberFormat="1" applyFont="1" applyFill="1" applyBorder="1" applyAlignment="1">
      <alignment horizontal="right" wrapText="1"/>
    </xf>
    <xf numFmtId="2" fontId="26" fillId="0" borderId="5" xfId="0" applyNumberFormat="1" applyFont="1" applyFill="1" applyBorder="1" applyAlignment="1">
      <alignment horizontal="right" wrapText="1"/>
    </xf>
    <xf numFmtId="4" fontId="23" fillId="0" borderId="0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166" fontId="4" fillId="0" borderId="10" xfId="7" applyNumberFormat="1" applyFont="1" applyFill="1" applyBorder="1" applyAlignment="1">
      <alignment horizontal="center"/>
    </xf>
    <xf numFmtId="166" fontId="4" fillId="0" borderId="13" xfId="7" quotePrefix="1" applyNumberFormat="1" applyFont="1" applyFill="1" applyBorder="1" applyAlignment="1">
      <alignment horizontal="center"/>
    </xf>
    <xf numFmtId="42" fontId="9" fillId="0" borderId="0" xfId="0" applyNumberFormat="1" applyFont="1"/>
    <xf numFmtId="0" fontId="9" fillId="0" borderId="2" xfId="0" applyFont="1" applyBorder="1"/>
    <xf numFmtId="0" fontId="9" fillId="0" borderId="12" xfId="0" applyFont="1" applyBorder="1"/>
    <xf numFmtId="0" fontId="9" fillId="0" borderId="0" xfId="0" applyFont="1" applyBorder="1"/>
    <xf numFmtId="44" fontId="11" fillId="0" borderId="5" xfId="2" applyNumberFormat="1" applyFont="1" applyBorder="1"/>
    <xf numFmtId="0" fontId="11" fillId="0" borderId="5" xfId="0" applyNumberFormat="1" applyFont="1" applyBorder="1"/>
    <xf numFmtId="0" fontId="10" fillId="0" borderId="11" xfId="0" applyFont="1" applyBorder="1"/>
    <xf numFmtId="4" fontId="10" fillId="0" borderId="11" xfId="0" applyNumberFormat="1" applyFont="1" applyBorder="1"/>
    <xf numFmtId="44" fontId="10" fillId="0" borderId="1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4" fontId="9" fillId="0" borderId="0" xfId="0" applyNumberFormat="1" applyFont="1"/>
    <xf numFmtId="167" fontId="9" fillId="0" borderId="0" xfId="0" applyNumberFormat="1" applyFont="1"/>
    <xf numFmtId="44" fontId="10" fillId="0" borderId="1" xfId="0" applyNumberFormat="1" applyFont="1" applyBorder="1"/>
    <xf numFmtId="2" fontId="11" fillId="0" borderId="5" xfId="0" applyNumberFormat="1" applyFont="1" applyBorder="1" applyAlignment="1">
      <alignment horizontal="left"/>
    </xf>
    <xf numFmtId="0" fontId="9" fillId="0" borderId="5" xfId="0" applyFont="1" applyBorder="1"/>
    <xf numFmtId="10" fontId="22" fillId="0" borderId="0" xfId="7" applyNumberFormat="1" applyFont="1" applyBorder="1"/>
    <xf numFmtId="10" fontId="11" fillId="0" borderId="5" xfId="7" applyNumberFormat="1" applyFont="1" applyBorder="1"/>
    <xf numFmtId="0" fontId="10" fillId="0" borderId="15" xfId="0" applyFont="1" applyBorder="1"/>
    <xf numFmtId="0" fontId="9" fillId="0" borderId="15" xfId="0" applyFont="1" applyBorder="1"/>
    <xf numFmtId="42" fontId="10" fillId="0" borderId="15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7" fontId="9" fillId="0" borderId="0" xfId="2" applyNumberFormat="1" applyFont="1"/>
    <xf numFmtId="44" fontId="22" fillId="0" borderId="0" xfId="2" applyNumberFormat="1" applyFont="1" applyBorder="1"/>
    <xf numFmtId="44" fontId="9" fillId="0" borderId="0" xfId="2" applyFont="1"/>
    <xf numFmtId="0" fontId="10" fillId="0" borderId="22" xfId="0" applyFont="1" applyBorder="1"/>
    <xf numFmtId="44" fontId="9" fillId="0" borderId="1" xfId="0" applyNumberFormat="1" applyFont="1" applyBorder="1"/>
    <xf numFmtId="44" fontId="9" fillId="0" borderId="14" xfId="0" applyNumberFormat="1" applyFont="1" applyBorder="1"/>
    <xf numFmtId="44" fontId="4" fillId="0" borderId="1" xfId="2" applyFont="1" applyBorder="1" applyAlignment="1"/>
    <xf numFmtId="44" fontId="4" fillId="0" borderId="0" xfId="2" applyFont="1" applyBorder="1" applyAlignment="1"/>
    <xf numFmtId="44" fontId="4" fillId="0" borderId="20" xfId="2" applyFont="1" applyBorder="1" applyAlignment="1"/>
    <xf numFmtId="0" fontId="9" fillId="0" borderId="18" xfId="0" applyFont="1" applyBorder="1"/>
    <xf numFmtId="0" fontId="9" fillId="0" borderId="9" xfId="0" applyFont="1" applyBorder="1"/>
    <xf numFmtId="0" fontId="9" fillId="0" borderId="10" xfId="0" applyFont="1" applyBorder="1"/>
    <xf numFmtId="10" fontId="23" fillId="0" borderId="10" xfId="7" applyNumberFormat="1" applyFont="1" applyBorder="1"/>
    <xf numFmtId="10" fontId="11" fillId="0" borderId="13" xfId="7" applyNumberFormat="1" applyFont="1" applyBorder="1"/>
    <xf numFmtId="0" fontId="13" fillId="0" borderId="0" xfId="0" applyFont="1"/>
    <xf numFmtId="44" fontId="11" fillId="0" borderId="5" xfId="1" applyNumberFormat="1" applyFont="1" applyBorder="1"/>
    <xf numFmtId="10" fontId="11" fillId="0" borderId="10" xfId="6" applyNumberFormat="1" applyFont="1" applyBorder="1" applyAlignment="1">
      <alignment vertical="center"/>
    </xf>
    <xf numFmtId="44" fontId="38" fillId="0" borderId="8" xfId="1" applyNumberFormat="1" applyFont="1" applyBorder="1"/>
    <xf numFmtId="0" fontId="39" fillId="0" borderId="0" xfId="0" applyFont="1"/>
    <xf numFmtId="0" fontId="24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3" fillId="0" borderId="28" xfId="0" applyFont="1" applyBorder="1"/>
    <xf numFmtId="0" fontId="21" fillId="0" borderId="29" xfId="0" applyFont="1" applyBorder="1" applyAlignment="1">
      <alignment horizontal="right"/>
    </xf>
    <xf numFmtId="0" fontId="3" fillId="0" borderId="26" xfId="0" applyFont="1" applyBorder="1"/>
    <xf numFmtId="0" fontId="20" fillId="0" borderId="27" xfId="0" applyFont="1" applyBorder="1" applyAlignment="1">
      <alignment horizontal="center"/>
    </xf>
    <xf numFmtId="44" fontId="20" fillId="0" borderId="27" xfId="0" applyNumberFormat="1" applyFont="1" applyBorder="1" applyAlignment="1">
      <alignment horizontal="center"/>
    </xf>
    <xf numFmtId="44" fontId="20" fillId="0" borderId="27" xfId="0" applyNumberFormat="1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0" fillId="0" borderId="30" xfId="0" applyFont="1" applyBorder="1"/>
    <xf numFmtId="8" fontId="20" fillId="0" borderId="30" xfId="0" applyNumberFormat="1" applyFont="1" applyBorder="1"/>
    <xf numFmtId="8" fontId="20" fillId="3" borderId="27" xfId="0" applyNumberFormat="1" applyFont="1" applyFill="1" applyBorder="1"/>
    <xf numFmtId="8" fontId="20" fillId="3" borderId="31" xfId="0" applyNumberFormat="1" applyFont="1" applyFill="1" applyBorder="1"/>
    <xf numFmtId="0" fontId="25" fillId="0" borderId="0" xfId="0" applyFont="1" applyAlignment="1"/>
    <xf numFmtId="0" fontId="38" fillId="0" borderId="0" xfId="0" applyFont="1"/>
    <xf numFmtId="0" fontId="40" fillId="0" borderId="0" xfId="0" applyFont="1"/>
    <xf numFmtId="0" fontId="4" fillId="4" borderId="4" xfId="0" applyFont="1" applyFill="1" applyBorder="1" applyAlignment="1"/>
    <xf numFmtId="0" fontId="20" fillId="4" borderId="0" xfId="0" applyFont="1" applyFill="1" applyBorder="1"/>
    <xf numFmtId="42" fontId="22" fillId="4" borderId="0" xfId="0" applyNumberFormat="1" applyFont="1" applyFill="1" applyBorder="1"/>
    <xf numFmtId="0" fontId="25" fillId="4" borderId="5" xfId="0" applyNumberFormat="1" applyFont="1" applyFill="1" applyBorder="1"/>
    <xf numFmtId="0" fontId="20" fillId="4" borderId="0" xfId="0" applyFont="1" applyFill="1"/>
    <xf numFmtId="2" fontId="23" fillId="4" borderId="0" xfId="0" applyNumberFormat="1" applyFont="1" applyFill="1" applyAlignment="1">
      <alignment horizontal="center"/>
    </xf>
    <xf numFmtId="2" fontId="23" fillId="4" borderId="5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11" fillId="4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/>
    <xf numFmtId="2" fontId="4" fillId="4" borderId="0" xfId="0" applyNumberFormat="1" applyFont="1" applyFill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11" fillId="0" borderId="5" xfId="0" applyFont="1" applyBorder="1"/>
    <xf numFmtId="42" fontId="22" fillId="0" borderId="0" xfId="0" applyNumberFormat="1" applyFont="1" applyFill="1" applyBorder="1"/>
    <xf numFmtId="0" fontId="20" fillId="0" borderId="0" xfId="0" applyFont="1" applyFill="1"/>
    <xf numFmtId="42" fontId="22" fillId="0" borderId="0" xfId="0" applyNumberFormat="1" applyFont="1" applyFill="1"/>
    <xf numFmtId="4" fontId="23" fillId="0" borderId="0" xfId="0" applyNumberFormat="1" applyFont="1" applyFill="1"/>
    <xf numFmtId="42" fontId="20" fillId="0" borderId="0" xfId="0" applyNumberFormat="1" applyFont="1" applyFill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37" fillId="0" borderId="0" xfId="0" applyFont="1" applyAlignment="1">
      <alignment horizontal="center"/>
    </xf>
    <xf numFmtId="0" fontId="0" fillId="0" borderId="0" xfId="0" applyBorder="1"/>
    <xf numFmtId="3" fontId="37" fillId="0" borderId="0" xfId="0" applyNumberFormat="1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0" fillId="0" borderId="10" xfId="0" applyBorder="1"/>
    <xf numFmtId="0" fontId="37" fillId="2" borderId="32" xfId="0" applyFont="1" applyFill="1" applyBorder="1" applyAlignment="1">
      <alignment horizontal="center"/>
    </xf>
    <xf numFmtId="0" fontId="37" fillId="2" borderId="32" xfId="0" applyFont="1" applyFill="1" applyBorder="1" applyAlignment="1">
      <alignment horizontal="center" wrapText="1"/>
    </xf>
    <xf numFmtId="0" fontId="37" fillId="7" borderId="7" xfId="0" applyFont="1" applyFill="1" applyBorder="1" applyAlignment="1">
      <alignment wrapText="1"/>
    </xf>
    <xf numFmtId="0" fontId="6" fillId="0" borderId="1" xfId="5" applyFont="1" applyBorder="1"/>
    <xf numFmtId="44" fontId="36" fillId="0" borderId="1" xfId="1" applyFont="1" applyBorder="1"/>
    <xf numFmtId="10" fontId="36" fillId="0" borderId="1" xfId="6" applyNumberFormat="1" applyFont="1" applyBorder="1" applyAlignment="1">
      <alignment horizontal="center"/>
    </xf>
    <xf numFmtId="0" fontId="6" fillId="0" borderId="7" xfId="5" applyFont="1" applyBorder="1"/>
    <xf numFmtId="9" fontId="36" fillId="0" borderId="7" xfId="6" applyFont="1" applyBorder="1"/>
    <xf numFmtId="9" fontId="36" fillId="0" borderId="7" xfId="6" applyFont="1" applyBorder="1" applyAlignment="1">
      <alignment horizontal="center"/>
    </xf>
    <xf numFmtId="0" fontId="6" fillId="0" borderId="0" xfId="5" applyFont="1" applyBorder="1"/>
    <xf numFmtId="44" fontId="36" fillId="0" borderId="0" xfId="1" applyFont="1" applyBorder="1"/>
    <xf numFmtId="10" fontId="36" fillId="0" borderId="0" xfId="6" applyNumberFormat="1" applyFont="1" applyBorder="1" applyAlignment="1">
      <alignment horizontal="center"/>
    </xf>
    <xf numFmtId="10" fontId="36" fillId="0" borderId="7" xfId="6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7" xfId="0" applyFont="1" applyBorder="1"/>
    <xf numFmtId="44" fontId="36" fillId="6" borderId="1" xfId="1" applyFont="1" applyFill="1" applyBorder="1"/>
    <xf numFmtId="10" fontId="36" fillId="6" borderId="1" xfId="6" applyNumberFormat="1" applyFont="1" applyFill="1" applyBorder="1" applyAlignment="1">
      <alignment horizontal="center"/>
    </xf>
    <xf numFmtId="0" fontId="0" fillId="0" borderId="7" xfId="0" applyBorder="1"/>
    <xf numFmtId="44" fontId="37" fillId="0" borderId="21" xfId="1" applyFont="1" applyBorder="1" applyAlignment="1">
      <alignment horizontal="center"/>
    </xf>
    <xf numFmtId="44" fontId="36" fillId="0" borderId="20" xfId="1" applyFont="1" applyBorder="1"/>
    <xf numFmtId="0" fontId="37" fillId="0" borderId="21" xfId="0" applyFont="1" applyBorder="1" applyAlignment="1">
      <alignment horizontal="center"/>
    </xf>
    <xf numFmtId="0" fontId="37" fillId="2" borderId="33" xfId="0" applyFont="1" applyFill="1" applyBorder="1" applyAlignment="1">
      <alignment horizontal="center"/>
    </xf>
    <xf numFmtId="0" fontId="44" fillId="0" borderId="19" xfId="0" applyFont="1" applyBorder="1" applyAlignment="1">
      <alignment horizontal="left"/>
    </xf>
    <xf numFmtId="0" fontId="37" fillId="0" borderId="21" xfId="0" applyFont="1" applyBorder="1" applyAlignment="1">
      <alignment horizontal="left"/>
    </xf>
    <xf numFmtId="0" fontId="44" fillId="0" borderId="20" xfId="0" applyFont="1" applyBorder="1" applyAlignment="1">
      <alignment horizontal="left"/>
    </xf>
    <xf numFmtId="0" fontId="44" fillId="0" borderId="21" xfId="0" applyFont="1" applyBorder="1" applyAlignment="1">
      <alignment horizontal="left"/>
    </xf>
    <xf numFmtId="0" fontId="44" fillId="6" borderId="19" xfId="0" applyFont="1" applyFill="1" applyBorder="1" applyAlignment="1">
      <alignment horizontal="left"/>
    </xf>
    <xf numFmtId="0" fontId="0" fillId="0" borderId="21" xfId="0" applyBorder="1"/>
    <xf numFmtId="44" fontId="36" fillId="0" borderId="1" xfId="1" applyFont="1" applyFill="1" applyBorder="1"/>
    <xf numFmtId="0" fontId="37" fillId="0" borderId="0" xfId="0" applyFont="1" applyFill="1"/>
    <xf numFmtId="0" fontId="45" fillId="0" borderId="0" xfId="0" applyFont="1" applyFill="1" applyAlignment="1">
      <alignment horizontal="center" wrapText="1"/>
    </xf>
    <xf numFmtId="0" fontId="0" fillId="0" borderId="0" xfId="0" applyFill="1"/>
    <xf numFmtId="0" fontId="46" fillId="0" borderId="0" xfId="0" applyFont="1" applyFill="1" applyAlignment="1">
      <alignment horizontal="center" wrapText="1"/>
    </xf>
    <xf numFmtId="0" fontId="44" fillId="5" borderId="20" xfId="0" applyFont="1" applyFill="1" applyBorder="1" applyAlignment="1">
      <alignment horizontal="left" wrapText="1"/>
    </xf>
    <xf numFmtId="44" fontId="36" fillId="0" borderId="0" xfId="1" applyFont="1" applyFill="1" applyBorder="1"/>
    <xf numFmtId="0" fontId="47" fillId="0" borderId="0" xfId="0" applyFont="1"/>
    <xf numFmtId="0" fontId="39" fillId="0" borderId="7" xfId="0" applyFont="1" applyBorder="1"/>
    <xf numFmtId="0" fontId="48" fillId="0" borderId="7" xfId="0" applyFont="1" applyBorder="1" applyAlignment="1">
      <alignment horizontal="center"/>
    </xf>
    <xf numFmtId="0" fontId="39" fillId="0" borderId="15" xfId="0" applyFont="1" applyBorder="1"/>
    <xf numFmtId="44" fontId="48" fillId="0" borderId="15" xfId="0" applyNumberFormat="1" applyFont="1" applyBorder="1"/>
    <xf numFmtId="44" fontId="48" fillId="0" borderId="15" xfId="1" applyFont="1" applyBorder="1"/>
    <xf numFmtId="0" fontId="39" fillId="0" borderId="0" xfId="0" applyFont="1" applyBorder="1"/>
    <xf numFmtId="0" fontId="21" fillId="0" borderId="0" xfId="0" applyFont="1" applyFill="1" applyBorder="1" applyAlignment="1">
      <alignment horizontal="center"/>
    </xf>
    <xf numFmtId="0" fontId="43" fillId="0" borderId="0" xfId="0" applyFont="1"/>
    <xf numFmtId="42" fontId="41" fillId="0" borderId="0" xfId="0" applyNumberFormat="1" applyFont="1"/>
    <xf numFmtId="44" fontId="41" fillId="0" borderId="7" xfId="1" applyFont="1" applyBorder="1"/>
    <xf numFmtId="10" fontId="49" fillId="0" borderId="0" xfId="0" applyNumberFormat="1" applyFont="1"/>
    <xf numFmtId="0" fontId="50" fillId="0" borderId="0" xfId="0" applyFont="1"/>
    <xf numFmtId="0" fontId="11" fillId="0" borderId="0" xfId="0" applyNumberFormat="1" applyFont="1" applyBorder="1"/>
    <xf numFmtId="0" fontId="38" fillId="0" borderId="0" xfId="0" applyFont="1" applyBorder="1"/>
    <xf numFmtId="44" fontId="36" fillId="0" borderId="19" xfId="1" applyFont="1" applyFill="1" applyBorder="1"/>
    <xf numFmtId="44" fontId="36" fillId="0" borderId="20" xfId="1" applyFont="1" applyFill="1" applyBorder="1"/>
    <xf numFmtId="44" fontId="4" fillId="4" borderId="19" xfId="1" applyFont="1" applyFill="1" applyBorder="1" applyAlignment="1"/>
    <xf numFmtId="44" fontId="20" fillId="4" borderId="0" xfId="1" applyFont="1" applyFill="1"/>
    <xf numFmtId="44" fontId="9" fillId="4" borderId="0" xfId="2" applyFont="1" applyFill="1"/>
    <xf numFmtId="0" fontId="37" fillId="7" borderId="32" xfId="0" applyFont="1" applyFill="1" applyBorder="1" applyAlignment="1">
      <alignment horizontal="left" wrapText="1"/>
    </xf>
    <xf numFmtId="44" fontId="37" fillId="0" borderId="7" xfId="1" applyFont="1" applyBorder="1"/>
    <xf numFmtId="0" fontId="37" fillId="2" borderId="34" xfId="0" applyFont="1" applyFill="1" applyBorder="1" applyAlignment="1">
      <alignment horizontal="center" wrapText="1"/>
    </xf>
    <xf numFmtId="44" fontId="36" fillId="4" borderId="35" xfId="1" applyFont="1" applyFill="1" applyBorder="1"/>
    <xf numFmtId="44" fontId="37" fillId="0" borderId="20" xfId="1" applyFont="1" applyBorder="1" applyAlignment="1">
      <alignment horizontal="center"/>
    </xf>
    <xf numFmtId="44" fontId="36" fillId="4" borderId="36" xfId="1" applyFont="1" applyFill="1" applyBorder="1"/>
    <xf numFmtId="44" fontId="36" fillId="4" borderId="37" xfId="1" applyFont="1" applyFill="1" applyBorder="1"/>
    <xf numFmtId="44" fontId="36" fillId="4" borderId="38" xfId="1" applyFont="1" applyFill="1" applyBorder="1"/>
    <xf numFmtId="44" fontId="37" fillId="8" borderId="20" xfId="1" applyFont="1" applyFill="1" applyBorder="1" applyAlignment="1">
      <alignment horizontal="center" wrapText="1"/>
    </xf>
    <xf numFmtId="0" fontId="44" fillId="0" borderId="1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6" borderId="20" xfId="0" applyFont="1" applyFill="1" applyBorder="1" applyAlignment="1">
      <alignment horizontal="left"/>
    </xf>
    <xf numFmtId="44" fontId="36" fillId="6" borderId="0" xfId="1" applyFont="1" applyFill="1" applyBorder="1"/>
    <xf numFmtId="10" fontId="36" fillId="6" borderId="0" xfId="6" applyNumberFormat="1" applyFont="1" applyFill="1" applyBorder="1" applyAlignment="1">
      <alignment horizontal="center"/>
    </xf>
    <xf numFmtId="44" fontId="36" fillId="6" borderId="35" xfId="1" applyFont="1" applyFill="1" applyBorder="1"/>
    <xf numFmtId="10" fontId="36" fillId="0" borderId="0" xfId="6" applyNumberFormat="1" applyFont="1" applyFill="1" applyBorder="1" applyAlignment="1">
      <alignment horizontal="center"/>
    </xf>
    <xf numFmtId="44" fontId="36" fillId="6" borderId="20" xfId="1" applyFont="1" applyFill="1" applyBorder="1"/>
    <xf numFmtId="44" fontId="37" fillId="0" borderId="0" xfId="1" applyFont="1" applyBorder="1"/>
    <xf numFmtId="44" fontId="37" fillId="0" borderId="0" xfId="1" applyFont="1" applyBorder="1" applyAlignment="1">
      <alignment horizontal="center"/>
    </xf>
    <xf numFmtId="44" fontId="37" fillId="5" borderId="20" xfId="1" applyFont="1" applyFill="1" applyBorder="1" applyAlignment="1">
      <alignment horizontal="center" wrapText="1"/>
    </xf>
    <xf numFmtId="0" fontId="20" fillId="0" borderId="18" xfId="0" applyFont="1" applyFill="1" applyBorder="1"/>
    <xf numFmtId="9" fontId="20" fillId="0" borderId="7" xfId="0" applyNumberFormat="1" applyFont="1" applyFill="1" applyBorder="1"/>
    <xf numFmtId="0" fontId="20" fillId="0" borderId="7" xfId="0" applyFont="1" applyFill="1" applyBorder="1"/>
    <xf numFmtId="44" fontId="4" fillId="0" borderId="7" xfId="1" applyFont="1" applyFill="1" applyBorder="1" applyAlignment="1"/>
    <xf numFmtId="44" fontId="37" fillId="4" borderId="36" xfId="1" applyFont="1" applyFill="1" applyBorder="1"/>
    <xf numFmtId="44" fontId="37" fillId="4" borderId="37" xfId="1" applyFont="1" applyFill="1" applyBorder="1"/>
    <xf numFmtId="44" fontId="37" fillId="4" borderId="38" xfId="1" applyFont="1" applyFill="1" applyBorder="1"/>
    <xf numFmtId="44" fontId="4" fillId="0" borderId="21" xfId="1" applyFont="1" applyFill="1" applyBorder="1" applyAlignment="1"/>
    <xf numFmtId="44" fontId="20" fillId="0" borderId="41" xfId="0" applyNumberFormat="1" applyFont="1" applyBorder="1"/>
    <xf numFmtId="0" fontId="9" fillId="19" borderId="0" xfId="0" applyFont="1" applyFill="1"/>
    <xf numFmtId="0" fontId="20" fillId="19" borderId="0" xfId="0" applyFont="1" applyFill="1"/>
    <xf numFmtId="10" fontId="20" fillId="19" borderId="0" xfId="0" applyNumberFormat="1" applyFont="1" applyFill="1"/>
    <xf numFmtId="44" fontId="20" fillId="19" borderId="0" xfId="1" applyFont="1" applyFill="1"/>
    <xf numFmtId="44" fontId="20" fillId="19" borderId="41" xfId="0" applyNumberFormat="1" applyFont="1" applyFill="1" applyBorder="1"/>
    <xf numFmtId="44" fontId="20" fillId="19" borderId="42" xfId="0" applyNumberFormat="1" applyFont="1" applyFill="1" applyBorder="1"/>
    <xf numFmtId="9" fontId="20" fillId="0" borderId="0" xfId="6" applyFont="1"/>
    <xf numFmtId="44" fontId="4" fillId="4" borderId="1" xfId="1" applyFont="1" applyFill="1" applyBorder="1" applyAlignment="1"/>
    <xf numFmtId="44" fontId="9" fillId="19" borderId="0" xfId="1" applyFont="1" applyFill="1"/>
    <xf numFmtId="44" fontId="20" fillId="19" borderId="41" xfId="1" applyFont="1" applyFill="1" applyBorder="1"/>
    <xf numFmtId="44" fontId="20" fillId="19" borderId="42" xfId="1" applyFont="1" applyFill="1" applyBorder="1"/>
    <xf numFmtId="44" fontId="20" fillId="19" borderId="40" xfId="1" applyFont="1" applyFill="1" applyBorder="1"/>
    <xf numFmtId="44" fontId="4" fillId="0" borderId="0" xfId="1" applyFont="1" applyFill="1" applyBorder="1" applyAlignment="1"/>
    <xf numFmtId="44" fontId="20" fillId="19" borderId="18" xfId="0" applyNumberFormat="1" applyFont="1" applyFill="1" applyBorder="1"/>
    <xf numFmtId="0" fontId="21" fillId="0" borderId="0" xfId="0" applyFont="1" applyFill="1" applyBorder="1"/>
    <xf numFmtId="42" fontId="20" fillId="0" borderId="0" xfId="0" applyNumberFormat="1" applyFont="1" applyFill="1" applyBorder="1"/>
    <xf numFmtId="42" fontId="21" fillId="0" borderId="0" xfId="0" applyNumberFormat="1" applyFont="1" applyFill="1" applyBorder="1"/>
    <xf numFmtId="44" fontId="20" fillId="0" borderId="0" xfId="0" applyNumberFormat="1" applyFont="1" applyFill="1" applyBorder="1"/>
    <xf numFmtId="167" fontId="20" fillId="0" borderId="0" xfId="0" applyNumberFormat="1" applyFont="1" applyFill="1" applyBorder="1"/>
    <xf numFmtId="167" fontId="20" fillId="0" borderId="0" xfId="1" applyNumberFormat="1" applyFont="1" applyFill="1" applyBorder="1"/>
    <xf numFmtId="0" fontId="24" fillId="0" borderId="0" xfId="0" applyFont="1" applyFill="1" applyBorder="1" applyAlignment="1">
      <alignment horizontal="right"/>
    </xf>
    <xf numFmtId="44" fontId="20" fillId="0" borderId="0" xfId="1" applyFont="1" applyFill="1" applyBorder="1"/>
    <xf numFmtId="0" fontId="21" fillId="0" borderId="21" xfId="0" applyFont="1" applyBorder="1" applyAlignment="1">
      <alignment horizontal="center"/>
    </xf>
    <xf numFmtId="42" fontId="20" fillId="0" borderId="20" xfId="0" applyNumberFormat="1" applyFont="1" applyBorder="1"/>
    <xf numFmtId="42" fontId="21" fillId="0" borderId="43" xfId="0" applyNumberFormat="1" applyFont="1" applyBorder="1"/>
    <xf numFmtId="167" fontId="20" fillId="0" borderId="20" xfId="0" applyNumberFormat="1" applyFont="1" applyBorder="1"/>
    <xf numFmtId="42" fontId="21" fillId="0" borderId="44" xfId="0" applyNumberFormat="1" applyFont="1" applyBorder="1"/>
    <xf numFmtId="167" fontId="20" fillId="0" borderId="20" xfId="1" applyNumberFormat="1" applyFont="1" applyBorder="1"/>
    <xf numFmtId="0" fontId="24" fillId="0" borderId="20" xfId="0" applyFont="1" applyBorder="1" applyAlignment="1">
      <alignment horizontal="right"/>
    </xf>
    <xf numFmtId="44" fontId="20" fillId="0" borderId="20" xfId="1" applyFont="1" applyBorder="1"/>
    <xf numFmtId="0" fontId="20" fillId="0" borderId="41" xfId="0" applyFont="1" applyBorder="1"/>
    <xf numFmtId="167" fontId="20" fillId="0" borderId="41" xfId="0" applyNumberFormat="1" applyFont="1" applyBorder="1"/>
    <xf numFmtId="0" fontId="24" fillId="0" borderId="41" xfId="0" applyFont="1" applyBorder="1" applyAlignment="1">
      <alignment horizontal="right"/>
    </xf>
    <xf numFmtId="44" fontId="9" fillId="19" borderId="41" xfId="1" applyFont="1" applyFill="1" applyBorder="1"/>
    <xf numFmtId="0" fontId="10" fillId="0" borderId="41" xfId="0" applyFont="1" applyBorder="1" applyAlignment="1">
      <alignment horizontal="right"/>
    </xf>
    <xf numFmtId="44" fontId="9" fillId="19" borderId="42" xfId="1" applyFont="1" applyFill="1" applyBorder="1"/>
    <xf numFmtId="44" fontId="20" fillId="19" borderId="16" xfId="1" applyFont="1" applyFill="1" applyBorder="1"/>
    <xf numFmtId="44" fontId="20" fillId="19" borderId="17" xfId="1" applyFont="1" applyFill="1" applyBorder="1"/>
    <xf numFmtId="9" fontId="20" fillId="0" borderId="0" xfId="0" applyNumberFormat="1" applyFont="1" applyFill="1" applyBorder="1"/>
    <xf numFmtId="167" fontId="4" fillId="0" borderId="0" xfId="1" applyNumberFormat="1" applyFont="1" applyFill="1" applyBorder="1" applyAlignment="1"/>
    <xf numFmtId="2" fontId="4" fillId="0" borderId="0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right" wrapText="1"/>
    </xf>
    <xf numFmtId="44" fontId="39" fillId="0" borderId="0" xfId="1" applyFont="1" applyBorder="1"/>
    <xf numFmtId="0" fontId="56" fillId="0" borderId="0" xfId="0" applyFont="1"/>
    <xf numFmtId="44" fontId="56" fillId="19" borderId="41" xfId="0" applyNumberFormat="1" applyFont="1" applyFill="1" applyBorder="1"/>
    <xf numFmtId="44" fontId="56" fillId="19" borderId="42" xfId="0" applyNumberFormat="1" applyFont="1" applyFill="1" applyBorder="1"/>
    <xf numFmtId="0" fontId="56" fillId="0" borderId="40" xfId="0" applyFont="1" applyBorder="1"/>
    <xf numFmtId="0" fontId="56" fillId="0" borderId="41" xfId="0" applyFont="1" applyBorder="1"/>
    <xf numFmtId="9" fontId="56" fillId="0" borderId="41" xfId="6" applyFont="1" applyBorder="1"/>
    <xf numFmtId="0" fontId="9" fillId="0" borderId="41" xfId="0" applyFont="1" applyBorder="1"/>
    <xf numFmtId="0" fontId="20" fillId="0" borderId="40" xfId="0" applyFont="1" applyBorder="1"/>
    <xf numFmtId="44" fontId="20" fillId="0" borderId="0" xfId="1" applyFont="1" applyBorder="1"/>
    <xf numFmtId="3" fontId="21" fillId="0" borderId="20" xfId="0" applyNumberFormat="1" applyFont="1" applyBorder="1"/>
    <xf numFmtId="0" fontId="20" fillId="0" borderId="46" xfId="0" applyFont="1" applyBorder="1"/>
    <xf numFmtId="167" fontId="22" fillId="0" borderId="0" xfId="1" applyNumberFormat="1" applyFont="1" applyFill="1" applyAlignment="1">
      <alignment horizontal="left"/>
    </xf>
    <xf numFmtId="167" fontId="22" fillId="0" borderId="0" xfId="1" applyNumberFormat="1" applyFont="1" applyFill="1"/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4" fillId="0" borderId="9" xfId="0" applyFont="1" applyFill="1" applyBorder="1" applyAlignment="1"/>
    <xf numFmtId="0" fontId="20" fillId="0" borderId="2" xfId="0" applyFont="1" applyFill="1" applyBorder="1"/>
    <xf numFmtId="0" fontId="20" fillId="0" borderId="12" xfId="0" applyFont="1" applyFill="1" applyBorder="1"/>
    <xf numFmtId="0" fontId="24" fillId="0" borderId="1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42" fontId="22" fillId="0" borderId="5" xfId="0" applyNumberFormat="1" applyFont="1" applyFill="1" applyBorder="1"/>
    <xf numFmtId="0" fontId="25" fillId="0" borderId="5" xfId="0" applyNumberFormat="1" applyFont="1" applyFill="1" applyBorder="1"/>
    <xf numFmtId="0" fontId="5" fillId="0" borderId="4" xfId="0" applyFont="1" applyFill="1" applyBorder="1" applyAlignment="1"/>
    <xf numFmtId="42" fontId="41" fillId="0" borderId="0" xfId="0" applyNumberFormat="1" applyFont="1" applyFill="1" applyBorder="1"/>
    <xf numFmtId="0" fontId="4" fillId="0" borderId="4" xfId="0" applyFont="1" applyFill="1" applyBorder="1" applyAlignment="1">
      <alignment horizontal="left"/>
    </xf>
    <xf numFmtId="167" fontId="41" fillId="0" borderId="0" xfId="1" applyNumberFormat="1" applyFont="1" applyFill="1" applyBorder="1" applyAlignment="1">
      <alignment horizontal="center" wrapText="1"/>
    </xf>
    <xf numFmtId="2" fontId="42" fillId="0" borderId="5" xfId="0" applyNumberFormat="1" applyFont="1" applyFill="1" applyBorder="1" applyAlignment="1">
      <alignment horizontal="left" wrapText="1"/>
    </xf>
    <xf numFmtId="0" fontId="20" fillId="0" borderId="4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5" xfId="0" applyFont="1" applyFill="1" applyBorder="1"/>
    <xf numFmtId="10" fontId="22" fillId="0" borderId="0" xfId="6" applyNumberFormat="1" applyFont="1" applyFill="1" applyBorder="1"/>
    <xf numFmtId="10" fontId="25" fillId="0" borderId="5" xfId="6" applyNumberFormat="1" applyFont="1" applyFill="1" applyBorder="1"/>
    <xf numFmtId="0" fontId="22" fillId="0" borderId="0" xfId="0" applyFont="1" applyFill="1" applyBorder="1"/>
    <xf numFmtId="0" fontId="22" fillId="0" borderId="5" xfId="0" applyFont="1" applyFill="1" applyBorder="1"/>
    <xf numFmtId="44" fontId="22" fillId="0" borderId="0" xfId="1" applyNumberFormat="1" applyFont="1" applyFill="1" applyBorder="1"/>
    <xf numFmtId="44" fontId="22" fillId="0" borderId="5" xfId="1" applyNumberFormat="1" applyFont="1" applyFill="1" applyBorder="1"/>
    <xf numFmtId="0" fontId="21" fillId="0" borderId="22" xfId="0" applyFont="1" applyFill="1" applyBorder="1"/>
    <xf numFmtId="0" fontId="20" fillId="0" borderId="1" xfId="0" applyFont="1" applyFill="1" applyBorder="1"/>
    <xf numFmtId="44" fontId="20" fillId="0" borderId="1" xfId="0" applyNumberFormat="1" applyFont="1" applyFill="1" applyBorder="1"/>
    <xf numFmtId="44" fontId="20" fillId="0" borderId="14" xfId="0" applyNumberFormat="1" applyFont="1" applyFill="1" applyBorder="1"/>
    <xf numFmtId="0" fontId="0" fillId="0" borderId="41" xfId="0" applyBorder="1"/>
    <xf numFmtId="44" fontId="0" fillId="19" borderId="41" xfId="1" applyFont="1" applyFill="1" applyBorder="1"/>
    <xf numFmtId="44" fontId="0" fillId="19" borderId="42" xfId="1" applyFont="1" applyFill="1" applyBorder="1"/>
    <xf numFmtId="44" fontId="9" fillId="19" borderId="0" xfId="2" applyFont="1" applyFill="1"/>
    <xf numFmtId="42" fontId="22" fillId="18" borderId="0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0" fillId="0" borderId="3" xfId="0" applyFont="1" applyFill="1" applyBorder="1"/>
    <xf numFmtId="168" fontId="4" fillId="0" borderId="17" xfId="0" applyNumberFormat="1" applyFont="1" applyFill="1" applyBorder="1" applyAlignment="1"/>
    <xf numFmtId="9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20" fillId="0" borderId="17" xfId="0" applyFont="1" applyFill="1" applyBorder="1"/>
    <xf numFmtId="44" fontId="3" fillId="18" borderId="0" xfId="1" applyFont="1" applyFill="1" applyBorder="1" applyAlignment="1"/>
    <xf numFmtId="10" fontId="9" fillId="19" borderId="0" xfId="0" applyNumberFormat="1" applyFont="1" applyFill="1"/>
    <xf numFmtId="170" fontId="20" fillId="0" borderId="0" xfId="0" applyNumberFormat="1" applyFont="1"/>
    <xf numFmtId="44" fontId="4" fillId="0" borderId="0" xfId="1" applyFont="1" applyFill="1" applyBorder="1"/>
    <xf numFmtId="171" fontId="20" fillId="0" borderId="0" xfId="0" applyNumberFormat="1" applyFont="1"/>
    <xf numFmtId="10" fontId="20" fillId="0" borderId="0" xfId="6" applyNumberFormat="1" applyFont="1"/>
    <xf numFmtId="4" fontId="20" fillId="0" borderId="0" xfId="0" applyNumberFormat="1" applyFont="1"/>
    <xf numFmtId="0" fontId="4" fillId="0" borderId="0" xfId="10"/>
    <xf numFmtId="0" fontId="3" fillId="0" borderId="0" xfId="10" applyFont="1"/>
    <xf numFmtId="0" fontId="60" fillId="0" borderId="0" xfId="10" applyFont="1"/>
    <xf numFmtId="0" fontId="61" fillId="0" borderId="0" xfId="10" applyFont="1"/>
    <xf numFmtId="0" fontId="4" fillId="0" borderId="16" xfId="10" applyBorder="1"/>
    <xf numFmtId="0" fontId="4" fillId="0" borderId="1" xfId="10" applyBorder="1"/>
    <xf numFmtId="0" fontId="4" fillId="0" borderId="19" xfId="10" applyBorder="1"/>
    <xf numFmtId="0" fontId="4" fillId="0" borderId="17" xfId="10" applyBorder="1"/>
    <xf numFmtId="0" fontId="4" fillId="0" borderId="0" xfId="10" applyBorder="1" applyAlignment="1">
      <alignment horizontal="right"/>
    </xf>
    <xf numFmtId="0" fontId="4" fillId="0" borderId="0" xfId="10" applyBorder="1"/>
    <xf numFmtId="0" fontId="4" fillId="0" borderId="20" xfId="10" applyBorder="1"/>
    <xf numFmtId="0" fontId="3" fillId="0" borderId="0" xfId="10" applyFont="1" applyBorder="1"/>
    <xf numFmtId="0" fontId="6" fillId="0" borderId="20" xfId="10" applyFont="1" applyBorder="1" applyAlignment="1">
      <alignment horizontal="center"/>
    </xf>
    <xf numFmtId="0" fontId="4" fillId="0" borderId="20" xfId="10" applyBorder="1" applyAlignment="1">
      <alignment horizontal="center"/>
    </xf>
    <xf numFmtId="169" fontId="4" fillId="0" borderId="20" xfId="10" applyNumberFormat="1" applyBorder="1" applyAlignment="1">
      <alignment horizontal="center"/>
    </xf>
    <xf numFmtId="0" fontId="3" fillId="17" borderId="0" xfId="10" applyFont="1" applyFill="1" applyBorder="1" applyAlignment="1">
      <alignment horizontal="right"/>
    </xf>
    <xf numFmtId="10" fontId="3" fillId="17" borderId="20" xfId="11" applyNumberFormat="1" applyFont="1" applyFill="1" applyBorder="1" applyAlignment="1">
      <alignment horizontal="center"/>
    </xf>
    <xf numFmtId="0" fontId="4" fillId="0" borderId="18" xfId="10" applyBorder="1"/>
    <xf numFmtId="0" fontId="4" fillId="0" borderId="7" xfId="10" applyBorder="1"/>
    <xf numFmtId="0" fontId="4" fillId="0" borderId="21" xfId="10" applyBorder="1"/>
    <xf numFmtId="169" fontId="4" fillId="0" borderId="0" xfId="10" applyNumberForma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20" fillId="20" borderId="41" xfId="0" applyNumberFormat="1" applyFont="1" applyFill="1" applyBorder="1"/>
    <xf numFmtId="44" fontId="20" fillId="20" borderId="42" xfId="0" applyNumberFormat="1" applyFont="1" applyFill="1" applyBorder="1"/>
    <xf numFmtId="42" fontId="10" fillId="0" borderId="45" xfId="0" applyNumberFormat="1" applyFont="1" applyBorder="1"/>
    <xf numFmtId="172" fontId="20" fillId="0" borderId="41" xfId="0" applyNumberFormat="1" applyFont="1" applyBorder="1"/>
    <xf numFmtId="0" fontId="21" fillId="0" borderId="17" xfId="0" applyFont="1" applyBorder="1"/>
    <xf numFmtId="42" fontId="9" fillId="0" borderId="0" xfId="0" applyNumberFormat="1" applyFont="1" applyFill="1" applyBorder="1"/>
    <xf numFmtId="0" fontId="9" fillId="0" borderId="0" xfId="0" applyFont="1" applyAlignment="1">
      <alignment horizontal="right"/>
    </xf>
    <xf numFmtId="0" fontId="63" fillId="0" borderId="0" xfId="0" applyFont="1" applyFill="1" applyBorder="1" applyAlignment="1">
      <alignment horizontal="center" wrapText="1"/>
    </xf>
    <xf numFmtId="42" fontId="10" fillId="0" borderId="0" xfId="0" applyNumberFormat="1" applyFont="1" applyFill="1" applyBorder="1"/>
    <xf numFmtId="44" fontId="20" fillId="19" borderId="39" xfId="1" applyFont="1" applyFill="1" applyBorder="1"/>
    <xf numFmtId="0" fontId="9" fillId="0" borderId="0" xfId="0" applyFont="1" applyAlignment="1">
      <alignment horizontal="center"/>
    </xf>
    <xf numFmtId="10" fontId="23" fillId="0" borderId="0" xfId="6" applyNumberFormat="1" applyFont="1" applyBorder="1"/>
    <xf numFmtId="10" fontId="25" fillId="0" borderId="0" xfId="6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52" fillId="9" borderId="0" xfId="10" applyFont="1" applyFill="1" applyBorder="1"/>
    <xf numFmtId="0" fontId="3" fillId="9" borderId="5" xfId="10" applyFont="1" applyFill="1" applyBorder="1"/>
    <xf numFmtId="0" fontId="51" fillId="9" borderId="10" xfId="10" applyFont="1" applyFill="1" applyBorder="1"/>
    <xf numFmtId="0" fontId="3" fillId="9" borderId="13" xfId="10" applyFont="1" applyFill="1" applyBorder="1"/>
    <xf numFmtId="0" fontId="4" fillId="0" borderId="0" xfId="10" applyFill="1"/>
    <xf numFmtId="0" fontId="4" fillId="16" borderId="0" xfId="10" applyFont="1" applyFill="1"/>
    <xf numFmtId="0" fontId="4" fillId="15" borderId="0" xfId="10" applyFont="1" applyFill="1"/>
    <xf numFmtId="0" fontId="4" fillId="14" borderId="0" xfId="10" applyFont="1" applyFill="1"/>
    <xf numFmtId="0" fontId="4" fillId="13" borderId="0" xfId="10" applyFont="1" applyFill="1"/>
    <xf numFmtId="0" fontId="56" fillId="13" borderId="0" xfId="10" applyFont="1" applyFill="1"/>
    <xf numFmtId="0" fontId="54" fillId="13" borderId="0" xfId="10" applyFont="1" applyFill="1"/>
    <xf numFmtId="0" fontId="54" fillId="12" borderId="0" xfId="10" applyFont="1" applyFill="1"/>
    <xf numFmtId="0" fontId="54" fillId="11" borderId="0" xfId="10" applyFont="1" applyFill="1"/>
    <xf numFmtId="0" fontId="54" fillId="10" borderId="0" xfId="10" applyFont="1" applyFill="1"/>
    <xf numFmtId="0" fontId="54" fillId="21" borderId="0" xfId="10" applyFont="1" applyFill="1"/>
    <xf numFmtId="14" fontId="3" fillId="0" borderId="0" xfId="10" applyNumberFormat="1" applyFont="1"/>
    <xf numFmtId="169" fontId="4" fillId="0" borderId="0" xfId="10" applyNumberFormat="1"/>
    <xf numFmtId="0" fontId="10" fillId="0" borderId="0" xfId="0" applyFont="1" applyBorder="1"/>
    <xf numFmtId="3" fontId="10" fillId="0" borderId="46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42" fontId="20" fillId="0" borderId="41" xfId="0" applyNumberFormat="1" applyFont="1" applyBorder="1"/>
    <xf numFmtId="42" fontId="21" fillId="0" borderId="41" xfId="0" applyNumberFormat="1" applyFont="1" applyBorder="1"/>
    <xf numFmtId="42" fontId="21" fillId="0" borderId="45" xfId="0" applyNumberFormat="1" applyFont="1" applyBorder="1"/>
    <xf numFmtId="167" fontId="20" fillId="0" borderId="41" xfId="1" applyNumberFormat="1" applyFont="1" applyBorder="1"/>
    <xf numFmtId="0" fontId="24" fillId="0" borderId="41" xfId="0" applyFont="1" applyBorder="1" applyAlignment="1">
      <alignment horizontal="center" wrapText="1"/>
    </xf>
    <xf numFmtId="4" fontId="61" fillId="17" borderId="39" xfId="0" applyNumberFormat="1" applyFont="1" applyFill="1" applyBorder="1"/>
    <xf numFmtId="4" fontId="60" fillId="17" borderId="39" xfId="0" applyNumberFormat="1" applyFont="1" applyFill="1" applyBorder="1"/>
    <xf numFmtId="3" fontId="10" fillId="0" borderId="41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2" fontId="20" fillId="0" borderId="0" xfId="0" applyNumberFormat="1" applyFont="1"/>
    <xf numFmtId="0" fontId="9" fillId="0" borderId="7" xfId="0" quotePrefix="1" applyFont="1" applyBorder="1"/>
    <xf numFmtId="44" fontId="9" fillId="0" borderId="0" xfId="0" applyNumberFormat="1" applyFont="1" applyAlignment="1">
      <alignment horizontal="right"/>
    </xf>
    <xf numFmtId="1" fontId="20" fillId="0" borderId="0" xfId="0" applyNumberFormat="1" applyFont="1"/>
    <xf numFmtId="173" fontId="20" fillId="0" borderId="0" xfId="19" applyNumberFormat="1" applyFont="1"/>
    <xf numFmtId="2" fontId="10" fillId="0" borderId="0" xfId="0" applyNumberFormat="1" applyFont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/>
    <xf numFmtId="0" fontId="0" fillId="0" borderId="0" xfId="0" applyAlignment="1">
      <alignment horizontal="right"/>
    </xf>
    <xf numFmtId="170" fontId="0" fillId="0" borderId="0" xfId="0" applyNumberFormat="1"/>
    <xf numFmtId="0" fontId="64" fillId="0" borderId="0" xfId="0" applyFont="1"/>
    <xf numFmtId="0" fontId="9" fillId="0" borderId="53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44" fontId="20" fillId="19" borderId="20" xfId="1" applyFont="1" applyFill="1" applyBorder="1"/>
    <xf numFmtId="0" fontId="3" fillId="0" borderId="0" xfId="0" applyFont="1" applyBorder="1" applyAlignment="1">
      <alignment horizontal="left"/>
    </xf>
    <xf numFmtId="0" fontId="21" fillId="0" borderId="18" xfId="0" applyFont="1" applyBorder="1"/>
    <xf numFmtId="0" fontId="3" fillId="0" borderId="16" xfId="0" applyFont="1" applyBorder="1" applyAlignment="1"/>
    <xf numFmtId="0" fontId="3" fillId="0" borderId="17" xfId="0" applyFont="1" applyBorder="1" applyAlignment="1"/>
    <xf numFmtId="0" fontId="4" fillId="0" borderId="17" xfId="0" applyFont="1" applyBorder="1" applyAlignment="1"/>
    <xf numFmtId="0" fontId="5" fillId="0" borderId="17" xfId="0" applyFont="1" applyBorder="1" applyAlignment="1"/>
    <xf numFmtId="0" fontId="21" fillId="0" borderId="49" xfId="0" applyFont="1" applyBorder="1"/>
    <xf numFmtId="10" fontId="22" fillId="0" borderId="0" xfId="0" applyNumberFormat="1" applyFont="1" applyBorder="1"/>
    <xf numFmtId="0" fontId="21" fillId="0" borderId="50" xfId="0" applyFont="1" applyBorder="1"/>
    <xf numFmtId="10" fontId="23" fillId="0" borderId="0" xfId="0" applyNumberFormat="1" applyFont="1" applyBorder="1"/>
    <xf numFmtId="0" fontId="9" fillId="19" borderId="17" xfId="0" applyFont="1" applyFill="1" applyBorder="1"/>
    <xf numFmtId="0" fontId="20" fillId="19" borderId="0" xfId="0" applyFont="1" applyFill="1" applyBorder="1"/>
    <xf numFmtId="10" fontId="20" fillId="19" borderId="0" xfId="0" applyNumberFormat="1" applyFont="1" applyFill="1" applyBorder="1"/>
    <xf numFmtId="44" fontId="20" fillId="19" borderId="0" xfId="1" applyFont="1" applyFill="1" applyBorder="1"/>
    <xf numFmtId="0" fontId="21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1" fillId="0" borderId="51" xfId="0" applyFont="1" applyBorder="1"/>
    <xf numFmtId="10" fontId="20" fillId="0" borderId="0" xfId="0" applyNumberFormat="1" applyFont="1"/>
    <xf numFmtId="0" fontId="55" fillId="0" borderId="0" xfId="0" applyFont="1"/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17" borderId="17" xfId="0" applyFont="1" applyFill="1" applyBorder="1" applyAlignment="1"/>
    <xf numFmtId="42" fontId="22" fillId="17" borderId="0" xfId="0" applyNumberFormat="1" applyFont="1" applyFill="1"/>
    <xf numFmtId="42" fontId="20" fillId="17" borderId="0" xfId="0" applyNumberFormat="1" applyFont="1" applyFill="1"/>
    <xf numFmtId="0" fontId="10" fillId="0" borderId="40" xfId="0" applyFont="1" applyBorder="1" applyAlignment="1">
      <alignment horizontal="center"/>
    </xf>
    <xf numFmtId="44" fontId="20" fillId="20" borderId="20" xfId="0" applyNumberFormat="1" applyFont="1" applyFill="1" applyBorder="1"/>
    <xf numFmtId="167" fontId="20" fillId="20" borderId="47" xfId="0" applyNumberFormat="1" applyFont="1" applyFill="1" applyBorder="1"/>
    <xf numFmtId="10" fontId="22" fillId="17" borderId="0" xfId="0" applyNumberFormat="1" applyFont="1" applyFill="1"/>
    <xf numFmtId="166" fontId="20" fillId="0" borderId="0" xfId="6" applyNumberFormat="1" applyFont="1"/>
    <xf numFmtId="0" fontId="10" fillId="0" borderId="46" xfId="0" applyFont="1" applyBorder="1" applyAlignment="1">
      <alignment horizontal="center"/>
    </xf>
    <xf numFmtId="167" fontId="20" fillId="20" borderId="55" xfId="0" applyNumberFormat="1" applyFont="1" applyFill="1" applyBorder="1"/>
    <xf numFmtId="0" fontId="24" fillId="0" borderId="2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4" fontId="23" fillId="0" borderId="0" xfId="0" applyNumberFormat="1" applyFont="1" applyAlignment="1">
      <alignment horizontal="center"/>
    </xf>
    <xf numFmtId="4" fontId="23" fillId="17" borderId="0" xfId="0" applyNumberFormat="1" applyFont="1" applyFill="1" applyBorder="1" applyAlignment="1">
      <alignment horizontal="center"/>
    </xf>
    <xf numFmtId="4" fontId="23" fillId="17" borderId="0" xfId="0" applyNumberFormat="1" applyFont="1" applyFill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0" fillId="17" borderId="0" xfId="0" applyFont="1" applyFill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19" borderId="0" xfId="0" applyFont="1" applyFill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20" fillId="0" borderId="7" xfId="0" applyNumberFormat="1" applyFont="1" applyBorder="1" applyAlignment="1">
      <alignment horizontal="center"/>
    </xf>
    <xf numFmtId="9" fontId="20" fillId="0" borderId="0" xfId="6" applyFont="1" applyAlignment="1">
      <alignment horizontal="center"/>
    </xf>
    <xf numFmtId="0" fontId="10" fillId="0" borderId="49" xfId="0" applyFont="1" applyBorder="1"/>
    <xf numFmtId="44" fontId="58" fillId="0" borderId="0" xfId="1" applyFont="1" applyFill="1" applyBorder="1"/>
    <xf numFmtId="44" fontId="58" fillId="0" borderId="0" xfId="1" applyFont="1" applyFill="1" applyBorder="1" applyAlignment="1"/>
    <xf numFmtId="44" fontId="58" fillId="0" borderId="20" xfId="1" applyFont="1" applyFill="1" applyBorder="1" applyAlignment="1"/>
    <xf numFmtId="44" fontId="58" fillId="0" borderId="7" xfId="1" applyFont="1" applyFill="1" applyBorder="1" applyAlignment="1"/>
    <xf numFmtId="44" fontId="58" fillId="0" borderId="21" xfId="1" applyFont="1" applyFill="1" applyBorder="1" applyAlignment="1"/>
    <xf numFmtId="0" fontId="63" fillId="0" borderId="0" xfId="0" quotePrefix="1" applyFont="1" applyFill="1" applyBorder="1" applyAlignment="1">
      <alignment horizontal="center"/>
    </xf>
    <xf numFmtId="167" fontId="9" fillId="0" borderId="0" xfId="0" applyNumberFormat="1" applyFont="1" applyFill="1" applyBorder="1"/>
    <xf numFmtId="167" fontId="10" fillId="0" borderId="0" xfId="0" applyNumberFormat="1" applyFont="1" applyFill="1" applyBorder="1"/>
    <xf numFmtId="44" fontId="20" fillId="0" borderId="0" xfId="6" applyNumberFormat="1" applyFont="1" applyFill="1" applyBorder="1"/>
    <xf numFmtId="44" fontId="54" fillId="0" borderId="0" xfId="6" applyNumberFormat="1" applyFont="1" applyFill="1" applyBorder="1"/>
    <xf numFmtId="44" fontId="54" fillId="0" borderId="0" xfId="0" applyNumberFormat="1" applyFont="1" applyFill="1" applyBorder="1"/>
    <xf numFmtId="10" fontId="20" fillId="0" borderId="0" xfId="6" applyNumberFormat="1" applyFont="1" applyFill="1"/>
    <xf numFmtId="0" fontId="10" fillId="0" borderId="0" xfId="0" applyFont="1" applyFill="1" applyBorder="1" applyAlignment="1">
      <alignment horizontal="center"/>
    </xf>
    <xf numFmtId="44" fontId="4" fillId="19" borderId="20" xfId="1" applyFont="1" applyFill="1" applyBorder="1" applyAlignment="1"/>
    <xf numFmtId="44" fontId="4" fillId="19" borderId="21" xfId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/>
    <xf numFmtId="167" fontId="20" fillId="0" borderId="0" xfId="0" applyNumberFormat="1" applyFont="1" applyFill="1"/>
    <xf numFmtId="167" fontId="20" fillId="0" borderId="0" xfId="1" applyNumberFormat="1" applyFont="1" applyFill="1"/>
    <xf numFmtId="0" fontId="24" fillId="0" borderId="0" xfId="0" applyFont="1" applyFill="1" applyAlignment="1">
      <alignment horizontal="right"/>
    </xf>
    <xf numFmtId="44" fontId="20" fillId="0" borderId="0" xfId="1" applyFont="1" applyFill="1"/>
    <xf numFmtId="165" fontId="20" fillId="0" borderId="0" xfId="0" applyNumberFormat="1" applyFont="1" applyFill="1"/>
    <xf numFmtId="0" fontId="4" fillId="0" borderId="0" xfId="0" applyFont="1" applyFill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3" fontId="65" fillId="0" borderId="0" xfId="0" applyNumberFormat="1" applyFont="1" applyFill="1" applyBorder="1"/>
    <xf numFmtId="0" fontId="58" fillId="0" borderId="0" xfId="0" applyFont="1" applyFill="1" applyBorder="1"/>
    <xf numFmtId="42" fontId="58" fillId="0" borderId="0" xfId="0" applyNumberFormat="1" applyFont="1" applyFill="1" applyBorder="1"/>
    <xf numFmtId="42" fontId="65" fillId="0" borderId="0" xfId="0" applyNumberFormat="1" applyFont="1" applyFill="1" applyBorder="1"/>
    <xf numFmtId="167" fontId="58" fillId="0" borderId="0" xfId="0" applyNumberFormat="1" applyFont="1" applyFill="1" applyBorder="1"/>
    <xf numFmtId="167" fontId="58" fillId="0" borderId="0" xfId="1" applyNumberFormat="1" applyFont="1" applyFill="1" applyBorder="1"/>
    <xf numFmtId="0" fontId="66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0" fontId="24" fillId="0" borderId="0" xfId="0" applyFont="1" applyFill="1" applyBorder="1" applyAlignment="1">
      <alignment horizontal="center" wrapText="1"/>
    </xf>
    <xf numFmtId="167" fontId="9" fillId="0" borderId="0" xfId="1" applyNumberFormat="1" applyFont="1" applyFill="1" applyBorder="1"/>
    <xf numFmtId="165" fontId="20" fillId="0" borderId="0" xfId="0" applyNumberFormat="1" applyFont="1" applyFill="1" applyBorder="1"/>
    <xf numFmtId="44" fontId="4" fillId="19" borderId="20" xfId="1" applyNumberFormat="1" applyFont="1" applyFill="1" applyBorder="1" applyAlignment="1"/>
    <xf numFmtId="44" fontId="4" fillId="19" borderId="21" xfId="1" applyNumberFormat="1" applyFont="1" applyFill="1" applyBorder="1" applyAlignment="1"/>
    <xf numFmtId="10" fontId="4" fillId="0" borderId="0" xfId="6" applyNumberFormat="1" applyFont="1"/>
    <xf numFmtId="14" fontId="61" fillId="0" borderId="0" xfId="10" applyNumberFormat="1" applyFont="1"/>
    <xf numFmtId="1" fontId="10" fillId="0" borderId="0" xfId="0" applyNumberFormat="1" applyFont="1" applyFill="1" applyBorder="1"/>
    <xf numFmtId="4" fontId="67" fillId="17" borderId="0" xfId="0" applyNumberFormat="1" applyFont="1" applyFill="1" applyBorder="1"/>
    <xf numFmtId="10" fontId="67" fillId="17" borderId="0" xfId="0" applyNumberFormat="1" applyFont="1" applyFill="1" applyBorder="1"/>
    <xf numFmtId="44" fontId="4" fillId="19" borderId="47" xfId="1" applyFont="1" applyFill="1" applyBorder="1" applyAlignment="1"/>
    <xf numFmtId="44" fontId="20" fillId="0" borderId="0" xfId="0" applyNumberFormat="1" applyFont="1" applyFill="1"/>
    <xf numFmtId="4" fontId="67" fillId="0" borderId="0" xfId="0" applyNumberFormat="1" applyFont="1" applyFill="1" applyBorder="1"/>
    <xf numFmtId="4" fontId="23" fillId="17" borderId="0" xfId="0" applyNumberFormat="1" applyFont="1" applyFill="1"/>
    <xf numFmtId="44" fontId="20" fillId="19" borderId="47" xfId="0" applyNumberFormat="1" applyFont="1" applyFill="1" applyBorder="1"/>
    <xf numFmtId="167" fontId="20" fillId="20" borderId="47" xfId="1" applyNumberFormat="1" applyFont="1" applyFill="1" applyBorder="1"/>
    <xf numFmtId="44" fontId="56" fillId="19" borderId="41" xfId="1" applyFont="1" applyFill="1" applyBorder="1"/>
    <xf numFmtId="44" fontId="56" fillId="19" borderId="47" xfId="0" applyNumberFormat="1" applyFont="1" applyFill="1" applyBorder="1"/>
    <xf numFmtId="44" fontId="58" fillId="19" borderId="42" xfId="1" applyFont="1" applyFill="1" applyBorder="1"/>
    <xf numFmtId="44" fontId="58" fillId="19" borderId="40" xfId="0" applyNumberFormat="1" applyFont="1" applyFill="1" applyBorder="1"/>
    <xf numFmtId="44" fontId="20" fillId="19" borderId="47" xfId="1" applyFont="1" applyFill="1" applyBorder="1"/>
    <xf numFmtId="0" fontId="20" fillId="0" borderId="19" xfId="0" applyFont="1" applyBorder="1"/>
    <xf numFmtId="2" fontId="20" fillId="0" borderId="0" xfId="0" applyNumberFormat="1" applyFont="1" applyFill="1"/>
    <xf numFmtId="9" fontId="20" fillId="0" borderId="0" xfId="6" applyFont="1" applyFill="1"/>
    <xf numFmtId="42" fontId="21" fillId="0" borderId="0" xfId="0" applyNumberFormat="1" applyFont="1" applyBorder="1"/>
    <xf numFmtId="44" fontId="4" fillId="20" borderId="0" xfId="1" applyFont="1" applyFill="1" applyBorder="1" applyAlignment="1"/>
    <xf numFmtId="167" fontId="4" fillId="20" borderId="0" xfId="1" applyNumberFormat="1" applyFont="1" applyFill="1"/>
    <xf numFmtId="167" fontId="4" fillId="20" borderId="47" xfId="1" applyNumberFormat="1" applyFont="1" applyFill="1" applyBorder="1"/>
    <xf numFmtId="4" fontId="23" fillId="0" borderId="1" xfId="0" applyNumberFormat="1" applyFont="1" applyBorder="1"/>
    <xf numFmtId="42" fontId="65" fillId="0" borderId="0" xfId="0" applyNumberFormat="1" applyFont="1" applyFill="1" applyBorder="1" applyAlignment="1">
      <alignment horizontal="center"/>
    </xf>
    <xf numFmtId="4" fontId="21" fillId="0" borderId="7" xfId="0" applyNumberFormat="1" applyFont="1" applyBorder="1"/>
    <xf numFmtId="4" fontId="23" fillId="0" borderId="7" xfId="0" applyNumberFormat="1" applyFont="1" applyBorder="1"/>
    <xf numFmtId="4" fontId="61" fillId="17" borderId="56" xfId="0" applyNumberFormat="1" applyFont="1" applyFill="1" applyBorder="1"/>
    <xf numFmtId="2" fontId="9" fillId="0" borderId="0" xfId="0" applyNumberFormat="1" applyFont="1"/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right"/>
    </xf>
    <xf numFmtId="170" fontId="0" fillId="0" borderId="53" xfId="0" applyNumberFormat="1" applyBorder="1"/>
    <xf numFmtId="172" fontId="0" fillId="0" borderId="53" xfId="0" applyNumberFormat="1" applyBorder="1"/>
    <xf numFmtId="170" fontId="0" fillId="26" borderId="53" xfId="0" applyNumberFormat="1" applyFill="1" applyBorder="1"/>
    <xf numFmtId="44" fontId="3" fillId="18" borderId="7" xfId="1" applyFont="1" applyFill="1" applyBorder="1" applyAlignment="1"/>
    <xf numFmtId="44" fontId="4" fillId="4" borderId="1" xfId="1" applyNumberFormat="1" applyFont="1" applyFill="1" applyBorder="1" applyAlignment="1"/>
    <xf numFmtId="44" fontId="20" fillId="19" borderId="47" xfId="1" applyNumberFormat="1" applyFont="1" applyFill="1" applyBorder="1"/>
    <xf numFmtId="44" fontId="56" fillId="0" borderId="47" xfId="0" applyNumberFormat="1" applyFont="1" applyBorder="1"/>
    <xf numFmtId="44" fontId="20" fillId="0" borderId="47" xfId="0" applyNumberFormat="1" applyFont="1" applyBorder="1"/>
    <xf numFmtId="44" fontId="0" fillId="19" borderId="47" xfId="1" applyFont="1" applyFill="1" applyBorder="1"/>
    <xf numFmtId="172" fontId="4" fillId="0" borderId="0" xfId="1" applyNumberFormat="1" applyFont="1"/>
    <xf numFmtId="172" fontId="70" fillId="0" borderId="0" xfId="1" applyNumberFormat="1" applyFont="1"/>
    <xf numFmtId="6" fontId="4" fillId="0" borderId="0" xfId="10" applyNumberFormat="1"/>
    <xf numFmtId="6" fontId="70" fillId="0" borderId="0" xfId="10" applyNumberFormat="1" applyFont="1"/>
    <xf numFmtId="172" fontId="4" fillId="0" borderId="0" xfId="10" applyNumberFormat="1"/>
    <xf numFmtId="172" fontId="70" fillId="0" borderId="0" xfId="10" applyNumberFormat="1" applyFont="1"/>
    <xf numFmtId="0" fontId="2" fillId="27" borderId="57" xfId="20" applyFont="1" applyFill="1" applyBorder="1" applyAlignment="1">
      <alignment horizontal="center"/>
    </xf>
    <xf numFmtId="0" fontId="2" fillId="0" borderId="58" xfId="20" applyFont="1" applyFill="1" applyBorder="1" applyAlignment="1"/>
    <xf numFmtId="172" fontId="71" fillId="0" borderId="58" xfId="20" applyNumberFormat="1" applyFont="1" applyFill="1" applyBorder="1" applyAlignment="1">
      <alignment horizontal="right"/>
    </xf>
    <xf numFmtId="172" fontId="72" fillId="0" borderId="0" xfId="20" applyNumberFormat="1" applyFont="1" applyAlignment="1"/>
    <xf numFmtId="0" fontId="2" fillId="26" borderId="58" xfId="20" applyFont="1" applyFill="1" applyBorder="1" applyAlignment="1"/>
    <xf numFmtId="172" fontId="71" fillId="26" borderId="58" xfId="20" applyNumberFormat="1" applyFont="1" applyFill="1" applyBorder="1" applyAlignment="1">
      <alignment horizontal="right"/>
    </xf>
    <xf numFmtId="0" fontId="2" fillId="27" borderId="59" xfId="20" applyFont="1" applyFill="1" applyBorder="1" applyAlignment="1">
      <alignment horizontal="center"/>
    </xf>
    <xf numFmtId="0" fontId="2" fillId="26" borderId="60" xfId="20" applyFont="1" applyFill="1" applyBorder="1" applyAlignment="1"/>
    <xf numFmtId="0" fontId="2" fillId="0" borderId="60" xfId="20" applyFont="1" applyFill="1" applyBorder="1" applyAlignment="1"/>
    <xf numFmtId="0" fontId="2" fillId="0" borderId="0" xfId="20" applyFont="1" applyFill="1" applyBorder="1" applyAlignment="1"/>
    <xf numFmtId="172" fontId="71" fillId="0" borderId="0" xfId="20" applyNumberFormat="1" applyFont="1" applyFill="1" applyBorder="1" applyAlignment="1">
      <alignment horizontal="right"/>
    </xf>
    <xf numFmtId="0" fontId="2" fillId="0" borderId="0" xfId="20" applyFont="1" applyFill="1" applyBorder="1" applyAlignment="1">
      <alignment horizontal="center"/>
    </xf>
    <xf numFmtId="172" fontId="71" fillId="0" borderId="0" xfId="20" applyNumberFormat="1" applyFont="1" applyFill="1" applyBorder="1" applyAlignment="1">
      <alignment horizontal="center"/>
    </xf>
    <xf numFmtId="0" fontId="4" fillId="0" borderId="0" xfId="10" applyFill="1" applyBorder="1"/>
    <xf numFmtId="172" fontId="72" fillId="0" borderId="0" xfId="20" applyNumberFormat="1" applyFont="1" applyFill="1" applyBorder="1" applyAlignment="1"/>
    <xf numFmtId="172" fontId="70" fillId="0" borderId="0" xfId="10" applyNumberFormat="1" applyFont="1" applyFill="1" applyBorder="1"/>
    <xf numFmtId="0" fontId="4" fillId="0" borderId="0" xfId="10" applyAlignment="1"/>
    <xf numFmtId="0" fontId="3" fillId="0" borderId="0" xfId="1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Border="1"/>
    <xf numFmtId="3" fontId="3" fillId="0" borderId="20" xfId="0" applyNumberFormat="1" applyFont="1" applyBorder="1"/>
    <xf numFmtId="0" fontId="4" fillId="0" borderId="0" xfId="0" applyFont="1" applyBorder="1"/>
    <xf numFmtId="0" fontId="4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" fontId="4" fillId="0" borderId="16" xfId="0" applyNumberFormat="1" applyFont="1" applyFill="1" applyBorder="1"/>
    <xf numFmtId="42" fontId="4" fillId="0" borderId="20" xfId="0" applyNumberFormat="1" applyFont="1" applyBorder="1"/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4" fontId="3" fillId="0" borderId="7" xfId="0" applyNumberFormat="1" applyFont="1" applyBorder="1"/>
    <xf numFmtId="42" fontId="3" fillId="0" borderId="43" xfId="0" applyNumberFormat="1" applyFont="1" applyBorder="1"/>
    <xf numFmtId="44" fontId="3" fillId="0" borderId="11" xfId="0" applyNumberFormat="1" applyFont="1" applyBorder="1"/>
    <xf numFmtId="44" fontId="4" fillId="0" borderId="0" xfId="0" applyNumberFormat="1" applyFont="1" applyBorder="1"/>
    <xf numFmtId="167" fontId="4" fillId="0" borderId="20" xfId="0" applyNumberFormat="1" applyFont="1" applyBorder="1"/>
    <xf numFmtId="44" fontId="3" fillId="0" borderId="1" xfId="0" applyNumberFormat="1" applyFont="1" applyBorder="1"/>
    <xf numFmtId="0" fontId="3" fillId="0" borderId="11" xfId="0" applyFont="1" applyBorder="1"/>
    <xf numFmtId="0" fontId="4" fillId="0" borderId="15" xfId="0" applyFont="1" applyBorder="1"/>
    <xf numFmtId="42" fontId="3" fillId="0" borderId="44" xfId="0" applyNumberFormat="1" applyFont="1" applyBorder="1"/>
    <xf numFmtId="167" fontId="4" fillId="0" borderId="20" xfId="1" applyNumberFormat="1" applyFont="1" applyBorder="1"/>
    <xf numFmtId="0" fontId="6" fillId="0" borderId="20" xfId="0" applyFont="1" applyBorder="1" applyAlignment="1">
      <alignment horizontal="right"/>
    </xf>
    <xf numFmtId="44" fontId="4" fillId="0" borderId="0" xfId="1" applyFont="1" applyBorder="1"/>
    <xf numFmtId="44" fontId="4" fillId="0" borderId="20" xfId="1" applyFont="1" applyBorder="1"/>
    <xf numFmtId="44" fontId="4" fillId="24" borderId="20" xfId="1" applyFont="1" applyFill="1" applyBorder="1"/>
    <xf numFmtId="44" fontId="4" fillId="0" borderId="1" xfId="1" applyFont="1" applyFill="1" applyBorder="1" applyAlignment="1"/>
    <xf numFmtId="44" fontId="4" fillId="24" borderId="47" xfId="1" applyFont="1" applyFill="1" applyBorder="1" applyAlignment="1"/>
    <xf numFmtId="4" fontId="60" fillId="17" borderId="17" xfId="0" applyNumberFormat="1" applyFont="1" applyFill="1" applyBorder="1"/>
    <xf numFmtId="44" fontId="4" fillId="0" borderId="20" xfId="1" applyFont="1" applyFill="1" applyBorder="1" applyAlignment="1"/>
    <xf numFmtId="44" fontId="20" fillId="19" borderId="61" xfId="0" applyNumberFormat="1" applyFont="1" applyFill="1" applyBorder="1"/>
    <xf numFmtId="44" fontId="20" fillId="19" borderId="62" xfId="0" applyNumberFormat="1" applyFont="1" applyFill="1" applyBorder="1"/>
    <xf numFmtId="44" fontId="20" fillId="19" borderId="63" xfId="0" applyNumberFormat="1" applyFont="1" applyFill="1" applyBorder="1"/>
    <xf numFmtId="44" fontId="20" fillId="19" borderId="64" xfId="0" applyNumberFormat="1" applyFont="1" applyFill="1" applyBorder="1"/>
    <xf numFmtId="44" fontId="9" fillId="0" borderId="0" xfId="0" applyNumberFormat="1" applyFont="1" applyBorder="1"/>
    <xf numFmtId="42" fontId="10" fillId="0" borderId="0" xfId="0" applyNumberFormat="1" applyFont="1" applyBorder="1"/>
    <xf numFmtId="167" fontId="20" fillId="0" borderId="0" xfId="0" applyNumberFormat="1" applyFont="1" applyBorder="1"/>
    <xf numFmtId="0" fontId="24" fillId="0" borderId="0" xfId="0" applyFont="1" applyBorder="1" applyAlignment="1">
      <alignment horizontal="right"/>
    </xf>
    <xf numFmtId="172" fontId="20" fillId="0" borderId="0" xfId="0" applyNumberFormat="1" applyFont="1" applyBorder="1"/>
    <xf numFmtId="44" fontId="20" fillId="28" borderId="0" xfId="0" applyNumberFormat="1" applyFont="1" applyFill="1" applyBorder="1"/>
    <xf numFmtId="167" fontId="20" fillId="28" borderId="47" xfId="1" applyNumberFormat="1" applyFont="1" applyFill="1" applyBorder="1"/>
    <xf numFmtId="0" fontId="4" fillId="0" borderId="0" xfId="0" applyFont="1" applyBorder="1" applyAlignment="1">
      <alignment wrapText="1"/>
    </xf>
    <xf numFmtId="174" fontId="20" fillId="0" borderId="0" xfId="0" applyNumberFormat="1" applyFont="1" applyFill="1"/>
    <xf numFmtId="0" fontId="9" fillId="0" borderId="0" xfId="0" applyFont="1" applyFill="1"/>
    <xf numFmtId="0" fontId="10" fillId="0" borderId="41" xfId="0" applyFont="1" applyBorder="1" applyAlignment="1">
      <alignment horizontal="center"/>
    </xf>
    <xf numFmtId="42" fontId="9" fillId="0" borderId="41" xfId="0" applyNumberFormat="1" applyFont="1" applyBorder="1"/>
    <xf numFmtId="0" fontId="9" fillId="0" borderId="3" xfId="0" applyFont="1" applyBorder="1"/>
    <xf numFmtId="2" fontId="9" fillId="0" borderId="0" xfId="0" applyNumberFormat="1" applyFont="1" applyFill="1" applyBorder="1"/>
    <xf numFmtId="42" fontId="10" fillId="0" borderId="41" xfId="0" applyNumberFormat="1" applyFont="1" applyBorder="1"/>
    <xf numFmtId="167" fontId="9" fillId="0" borderId="41" xfId="0" applyNumberFormat="1" applyFont="1" applyBorder="1"/>
    <xf numFmtId="2" fontId="8" fillId="0" borderId="0" xfId="0" applyNumberFormat="1" applyFont="1" applyFill="1" applyBorder="1" applyAlignment="1"/>
    <xf numFmtId="2" fontId="8" fillId="0" borderId="5" xfId="0" applyNumberFormat="1" applyFont="1" applyFill="1" applyBorder="1" applyAlignment="1"/>
    <xf numFmtId="2" fontId="8" fillId="0" borderId="0" xfId="0" applyNumberFormat="1" applyFont="1" applyFill="1" applyBorder="1" applyAlignment="1">
      <alignment horizontal="right" wrapText="1"/>
    </xf>
    <xf numFmtId="2" fontId="8" fillId="0" borderId="5" xfId="0" applyNumberFormat="1" applyFont="1" applyFill="1" applyBorder="1" applyAlignment="1">
      <alignment horizontal="right" wrapText="1"/>
    </xf>
    <xf numFmtId="167" fontId="9" fillId="0" borderId="0" xfId="2" applyNumberFormat="1" applyFont="1" applyFill="1" applyBorder="1"/>
    <xf numFmtId="167" fontId="9" fillId="0" borderId="41" xfId="2" applyNumberFormat="1" applyFont="1" applyBorder="1"/>
    <xf numFmtId="44" fontId="9" fillId="19" borderId="41" xfId="2" applyFont="1" applyFill="1" applyBorder="1"/>
    <xf numFmtId="44" fontId="9" fillId="19" borderId="40" xfId="2" applyFont="1" applyFill="1" applyBorder="1"/>
    <xf numFmtId="167" fontId="4" fillId="0" borderId="0" xfId="2" applyNumberFormat="1" applyFont="1" applyFill="1" applyBorder="1" applyAlignment="1"/>
    <xf numFmtId="0" fontId="9" fillId="0" borderId="6" xfId="0" applyFont="1" applyBorder="1"/>
    <xf numFmtId="44" fontId="22" fillId="0" borderId="7" xfId="2" applyNumberFormat="1" applyFont="1" applyBorder="1"/>
    <xf numFmtId="0" fontId="9" fillId="0" borderId="8" xfId="0" applyFont="1" applyBorder="1"/>
    <xf numFmtId="44" fontId="4" fillId="0" borderId="0" xfId="2" applyFont="1" applyFill="1" applyBorder="1" applyAlignment="1"/>
    <xf numFmtId="44" fontId="3" fillId="18" borderId="0" xfId="2" applyFont="1" applyFill="1" applyBorder="1" applyAlignment="1"/>
    <xf numFmtId="44" fontId="9" fillId="19" borderId="47" xfId="2" applyFont="1" applyFill="1" applyBorder="1"/>
    <xf numFmtId="44" fontId="4" fillId="19" borderId="0" xfId="2" applyFont="1" applyFill="1" applyBorder="1" applyAlignment="1"/>
    <xf numFmtId="167" fontId="4" fillId="20" borderId="41" xfId="2" applyNumberFormat="1" applyFont="1" applyFill="1" applyBorder="1" applyAlignment="1"/>
    <xf numFmtId="0" fontId="10" fillId="0" borderId="4" xfId="0" applyFont="1" applyBorder="1"/>
    <xf numFmtId="0" fontId="9" fillId="0" borderId="18" xfId="0" applyFont="1" applyFill="1" applyBorder="1"/>
    <xf numFmtId="9" fontId="9" fillId="0" borderId="7" xfId="0" applyNumberFormat="1" applyFont="1" applyFill="1" applyBorder="1"/>
    <xf numFmtId="0" fontId="9" fillId="0" borderId="7" xfId="0" applyFont="1" applyFill="1" applyBorder="1"/>
    <xf numFmtId="44" fontId="4" fillId="0" borderId="7" xfId="2" applyFont="1" applyFill="1" applyBorder="1" applyAlignment="1"/>
    <xf numFmtId="44" fontId="9" fillId="19" borderId="42" xfId="2" applyFont="1" applyFill="1" applyBorder="1"/>
    <xf numFmtId="44" fontId="4" fillId="19" borderId="7" xfId="2" applyFont="1" applyFill="1" applyBorder="1" applyAlignment="1"/>
    <xf numFmtId="167" fontId="4" fillId="20" borderId="42" xfId="2" applyNumberFormat="1" applyFont="1" applyFill="1" applyBorder="1" applyAlignment="1"/>
    <xf numFmtId="9" fontId="22" fillId="0" borderId="0" xfId="7" applyFont="1" applyBorder="1"/>
    <xf numFmtId="9" fontId="23" fillId="0" borderId="10" xfId="7" applyFont="1" applyBorder="1"/>
    <xf numFmtId="0" fontId="9" fillId="0" borderId="13" xfId="0" applyFont="1" applyBorder="1"/>
    <xf numFmtId="0" fontId="9" fillId="0" borderId="0" xfId="0" quotePrefix="1" applyFont="1"/>
    <xf numFmtId="165" fontId="9" fillId="0" borderId="0" xfId="0" applyNumberFormat="1" applyFont="1" applyFill="1" applyBorder="1"/>
    <xf numFmtId="170" fontId="9" fillId="0" borderId="0" xfId="0" applyNumberFormat="1" applyFont="1"/>
    <xf numFmtId="44" fontId="9" fillId="0" borderId="0" xfId="0" applyNumberFormat="1" applyFont="1" applyFill="1" applyBorder="1"/>
    <xf numFmtId="44" fontId="9" fillId="0" borderId="41" xfId="0" applyNumberFormat="1" applyFont="1" applyBorder="1"/>
    <xf numFmtId="0" fontId="9" fillId="0" borderId="17" xfId="0" applyFont="1" applyBorder="1"/>
    <xf numFmtId="173" fontId="9" fillId="0" borderId="0" xfId="19" applyNumberFormat="1" applyFont="1"/>
    <xf numFmtId="1" fontId="9" fillId="0" borderId="0" xfId="0" applyNumberFormat="1" applyFont="1"/>
    <xf numFmtId="44" fontId="4" fillId="0" borderId="19" xfId="2" applyFont="1" applyBorder="1" applyAlignment="1"/>
    <xf numFmtId="44" fontId="9" fillId="19" borderId="16" xfId="2" applyFont="1" applyFill="1" applyBorder="1"/>
    <xf numFmtId="44" fontId="9" fillId="19" borderId="17" xfId="2" applyFont="1" applyFill="1" applyBorder="1"/>
    <xf numFmtId="44" fontId="4" fillId="19" borderId="20" xfId="2" applyFont="1" applyFill="1" applyBorder="1" applyAlignment="1"/>
    <xf numFmtId="0" fontId="9" fillId="0" borderId="17" xfId="0" applyFont="1" applyFill="1" applyBorder="1"/>
    <xf numFmtId="9" fontId="9" fillId="0" borderId="0" xfId="0" applyNumberFormat="1" applyFont="1" applyFill="1" applyBorder="1"/>
    <xf numFmtId="44" fontId="4" fillId="0" borderId="21" xfId="2" applyFont="1" applyFill="1" applyBorder="1" applyAlignment="1"/>
    <xf numFmtId="44" fontId="9" fillId="19" borderId="18" xfId="0" applyNumberFormat="1" applyFont="1" applyFill="1" applyBorder="1"/>
    <xf numFmtId="44" fontId="4" fillId="19" borderId="21" xfId="2" applyFont="1" applyFill="1" applyBorder="1" applyAlignment="1"/>
    <xf numFmtId="42" fontId="9" fillId="0" borderId="0" xfId="0" applyNumberFormat="1" applyFont="1" applyFill="1"/>
    <xf numFmtId="10" fontId="9" fillId="0" borderId="0" xfId="7" applyNumberFormat="1" applyFont="1"/>
    <xf numFmtId="44" fontId="3" fillId="18" borderId="7" xfId="2" applyFont="1" applyFill="1" applyBorder="1" applyAlignment="1"/>
    <xf numFmtId="167" fontId="4" fillId="20" borderId="20" xfId="2" applyNumberFormat="1" applyFont="1" applyFill="1" applyBorder="1" applyAlignment="1"/>
    <xf numFmtId="167" fontId="4" fillId="20" borderId="21" xfId="2" applyNumberFormat="1" applyFont="1" applyFill="1" applyBorder="1" applyAlignment="1"/>
    <xf numFmtId="167" fontId="9" fillId="20" borderId="47" xfId="2" applyNumberFormat="1" applyFont="1" applyFill="1" applyBorder="1"/>
    <xf numFmtId="10" fontId="67" fillId="0" borderId="0" xfId="0" applyNumberFormat="1" applyFont="1" applyFill="1" applyBorder="1"/>
    <xf numFmtId="42" fontId="22" fillId="17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0" fontId="4" fillId="0" borderId="17" xfId="0" applyFont="1" applyFill="1" applyBorder="1" applyAlignment="1"/>
    <xf numFmtId="0" fontId="20" fillId="0" borderId="0" xfId="0" applyFont="1" applyFill="1" applyAlignment="1">
      <alignment horizontal="center"/>
    </xf>
    <xf numFmtId="4" fontId="23" fillId="0" borderId="0" xfId="0" applyNumberFormat="1" applyFont="1" applyFill="1" applyAlignment="1">
      <alignment horizontal="center"/>
    </xf>
    <xf numFmtId="10" fontId="22" fillId="0" borderId="0" xfId="0" applyNumberFormat="1" applyFont="1" applyFill="1"/>
    <xf numFmtId="42" fontId="20" fillId="0" borderId="20" xfId="0" applyNumberFormat="1" applyFont="1" applyFill="1" applyBorder="1"/>
    <xf numFmtId="172" fontId="0" fillId="17" borderId="53" xfId="0" applyNumberFormat="1" applyFill="1" applyBorder="1"/>
    <xf numFmtId="170" fontId="0" fillId="17" borderId="53" xfId="0" applyNumberFormat="1" applyFill="1" applyBorder="1"/>
    <xf numFmtId="0" fontId="0" fillId="0" borderId="0" xfId="0" applyAlignment="1">
      <alignment wrapText="1"/>
    </xf>
    <xf numFmtId="0" fontId="0" fillId="0" borderId="53" xfId="0" applyBorder="1" applyAlignment="1">
      <alignment wrapText="1"/>
    </xf>
    <xf numFmtId="0" fontId="0" fillId="17" borderId="53" xfId="0" applyFill="1" applyBorder="1" applyAlignment="1">
      <alignment wrapText="1"/>
    </xf>
    <xf numFmtId="0" fontId="4" fillId="0" borderId="0" xfId="4" applyFont="1"/>
    <xf numFmtId="172" fontId="4" fillId="0" borderId="0" xfId="4" applyNumberFormat="1" applyFont="1"/>
    <xf numFmtId="0" fontId="77" fillId="0" borderId="35" xfId="4" applyFont="1" applyFill="1" applyBorder="1"/>
    <xf numFmtId="0" fontId="77" fillId="0" borderId="35" xfId="4" applyFont="1" applyFill="1" applyBorder="1" applyAlignment="1">
      <alignment horizontal="center" wrapText="1"/>
    </xf>
    <xf numFmtId="10" fontId="77" fillId="0" borderId="65" xfId="14" applyNumberFormat="1" applyFont="1" applyFill="1" applyBorder="1" applyAlignment="1">
      <alignment horizontal="center" wrapText="1"/>
    </xf>
    <xf numFmtId="0" fontId="77" fillId="0" borderId="65" xfId="4" applyFont="1" applyFill="1" applyBorder="1" applyAlignment="1">
      <alignment horizontal="center" wrapText="1"/>
    </xf>
    <xf numFmtId="0" fontId="4" fillId="0" borderId="66" xfId="4" applyFont="1" applyBorder="1"/>
    <xf numFmtId="0" fontId="4" fillId="0" borderId="67" xfId="4" applyFont="1" applyBorder="1"/>
    <xf numFmtId="0" fontId="4" fillId="0" borderId="42" xfId="4" applyFont="1" applyBorder="1"/>
    <xf numFmtId="172" fontId="4" fillId="0" borderId="42" xfId="4" applyNumberFormat="1" applyFont="1" applyBorder="1"/>
    <xf numFmtId="0" fontId="4" fillId="0" borderId="65" xfId="4" applyFont="1" applyBorder="1"/>
    <xf numFmtId="0" fontId="4" fillId="0" borderId="53" xfId="4" applyFont="1" applyBorder="1"/>
    <xf numFmtId="172" fontId="4" fillId="0" borderId="53" xfId="4" applyNumberFormat="1" applyFont="1" applyBorder="1"/>
    <xf numFmtId="0" fontId="4" fillId="0" borderId="68" xfId="4" applyFont="1" applyBorder="1"/>
    <xf numFmtId="172" fontId="4" fillId="0" borderId="68" xfId="4" applyNumberFormat="1" applyFont="1" applyBorder="1"/>
    <xf numFmtId="172" fontId="4" fillId="0" borderId="67" xfId="4" applyNumberFormat="1" applyFont="1" applyBorder="1"/>
    <xf numFmtId="172" fontId="76" fillId="0" borderId="67" xfId="4" applyNumberFormat="1" applyFont="1" applyBorder="1"/>
    <xf numFmtId="0" fontId="78" fillId="0" borderId="67" xfId="4" applyFont="1" applyBorder="1" applyAlignment="1"/>
    <xf numFmtId="0" fontId="4" fillId="0" borderId="69" xfId="4" applyFont="1" applyBorder="1" applyAlignment="1"/>
    <xf numFmtId="0" fontId="4" fillId="0" borderId="67" xfId="4" applyFont="1" applyBorder="1" applyAlignment="1"/>
    <xf numFmtId="0" fontId="4" fillId="0" borderId="69" xfId="4" applyFont="1" applyBorder="1"/>
    <xf numFmtId="0" fontId="4" fillId="0" borderId="70" xfId="4" applyFont="1" applyBorder="1" applyAlignment="1"/>
    <xf numFmtId="0" fontId="79" fillId="0" borderId="53" xfId="4" applyFont="1" applyBorder="1" applyAlignment="1">
      <alignment horizontal="center"/>
    </xf>
    <xf numFmtId="0" fontId="80" fillId="0" borderId="65" xfId="4" applyFont="1" applyBorder="1"/>
    <xf numFmtId="172" fontId="0" fillId="0" borderId="53" xfId="21" applyNumberFormat="1" applyFont="1" applyBorder="1"/>
    <xf numFmtId="0" fontId="4" fillId="0" borderId="71" xfId="4" applyFont="1" applyBorder="1"/>
    <xf numFmtId="172" fontId="4" fillId="0" borderId="71" xfId="4" applyNumberFormat="1" applyFont="1" applyBorder="1"/>
    <xf numFmtId="0" fontId="81" fillId="0" borderId="53" xfId="4" applyFont="1" applyBorder="1"/>
    <xf numFmtId="172" fontId="4" fillId="0" borderId="72" xfId="4" applyNumberFormat="1" applyFont="1" applyBorder="1"/>
    <xf numFmtId="0" fontId="4" fillId="0" borderId="68" xfId="4" applyFont="1" applyBorder="1" applyAlignment="1"/>
    <xf numFmtId="167" fontId="0" fillId="0" borderId="0" xfId="21" applyNumberFormat="1" applyFont="1"/>
    <xf numFmtId="0" fontId="4" fillId="0" borderId="0" xfId="4" applyFont="1" applyBorder="1"/>
    <xf numFmtId="167" fontId="0" fillId="0" borderId="0" xfId="21" applyNumberFormat="1" applyFont="1" applyBorder="1"/>
    <xf numFmtId="0" fontId="4" fillId="0" borderId="15" xfId="4" applyFont="1" applyBorder="1"/>
    <xf numFmtId="167" fontId="0" fillId="0" borderId="15" xfId="21" applyNumberFormat="1" applyFont="1" applyBorder="1"/>
    <xf numFmtId="0" fontId="82" fillId="0" borderId="0" xfId="4" applyFont="1"/>
    <xf numFmtId="10" fontId="83" fillId="0" borderId="0" xfId="14" applyNumberFormat="1" applyFont="1" applyAlignment="1">
      <alignment horizontal="center"/>
    </xf>
    <xf numFmtId="10" fontId="83" fillId="0" borderId="0" xfId="14" applyNumberFormat="1" applyFont="1" applyBorder="1" applyAlignment="1">
      <alignment horizontal="center"/>
    </xf>
    <xf numFmtId="0" fontId="83" fillId="0" borderId="0" xfId="4" applyFont="1"/>
    <xf numFmtId="0" fontId="83" fillId="0" borderId="0" xfId="4" applyFont="1" applyBorder="1"/>
    <xf numFmtId="167" fontId="83" fillId="0" borderId="0" xfId="21" applyNumberFormat="1" applyFont="1"/>
    <xf numFmtId="0" fontId="82" fillId="0" borderId="69" xfId="4" applyFont="1" applyBorder="1"/>
    <xf numFmtId="0" fontId="82" fillId="0" borderId="67" xfId="4" applyFont="1" applyBorder="1"/>
    <xf numFmtId="10" fontId="83" fillId="0" borderId="69" xfId="14" applyNumberFormat="1" applyFont="1" applyBorder="1"/>
    <xf numFmtId="10" fontId="83" fillId="0" borderId="67" xfId="14" applyNumberFormat="1" applyFont="1" applyBorder="1"/>
    <xf numFmtId="0" fontId="77" fillId="0" borderId="20" xfId="4" applyFont="1" applyFill="1" applyBorder="1"/>
    <xf numFmtId="0" fontId="77" fillId="0" borderId="41" xfId="4" applyFont="1" applyFill="1" applyBorder="1" applyAlignment="1">
      <alignment horizontal="center"/>
    </xf>
    <xf numFmtId="0" fontId="77" fillId="0" borderId="17" xfId="4" applyFont="1" applyFill="1" applyBorder="1" applyAlignment="1">
      <alignment horizontal="center"/>
    </xf>
    <xf numFmtId="10" fontId="77" fillId="0" borderId="35" xfId="14" applyNumberFormat="1" applyFont="1" applyFill="1" applyBorder="1" applyAlignment="1">
      <alignment horizontal="center" wrapText="1"/>
    </xf>
    <xf numFmtId="10" fontId="77" fillId="0" borderId="0" xfId="14" applyNumberFormat="1" applyFont="1" applyFill="1" applyBorder="1" applyAlignment="1">
      <alignment horizontal="center" wrapText="1"/>
    </xf>
    <xf numFmtId="0" fontId="77" fillId="0" borderId="0" xfId="4" applyFont="1" applyFill="1" applyBorder="1" applyAlignment="1">
      <alignment horizontal="center" wrapText="1"/>
    </xf>
    <xf numFmtId="167" fontId="83" fillId="0" borderId="0" xfId="21" applyNumberFormat="1" applyFont="1" applyAlignment="1">
      <alignment wrapText="1"/>
    </xf>
    <xf numFmtId="0" fontId="77" fillId="0" borderId="68" xfId="4" applyFont="1" applyFill="1" applyBorder="1"/>
    <xf numFmtId="0" fontId="77" fillId="0" borderId="67" xfId="4" applyFont="1" applyFill="1" applyBorder="1"/>
    <xf numFmtId="0" fontId="77" fillId="0" borderId="67" xfId="4" applyFont="1" applyFill="1" applyBorder="1" applyAlignment="1">
      <alignment horizontal="center"/>
    </xf>
    <xf numFmtId="0" fontId="77" fillId="0" borderId="68" xfId="4" applyFont="1" applyFill="1" applyBorder="1" applyAlignment="1">
      <alignment horizontal="center" wrapText="1"/>
    </xf>
    <xf numFmtId="10" fontId="77" fillId="0" borderId="68" xfId="14" applyNumberFormat="1" applyFont="1" applyFill="1" applyBorder="1" applyAlignment="1">
      <alignment horizontal="center" wrapText="1"/>
    </xf>
    <xf numFmtId="10" fontId="77" fillId="0" borderId="67" xfId="14" applyNumberFormat="1" applyFont="1" applyFill="1" applyBorder="1" applyAlignment="1">
      <alignment horizontal="center" wrapText="1"/>
    </xf>
    <xf numFmtId="0" fontId="77" fillId="0" borderId="67" xfId="4" applyFont="1" applyFill="1" applyBorder="1" applyAlignment="1">
      <alignment horizontal="center" wrapText="1"/>
    </xf>
    <xf numFmtId="0" fontId="83" fillId="0" borderId="71" xfId="4" applyFont="1" applyFill="1" applyBorder="1"/>
    <xf numFmtId="0" fontId="77" fillId="0" borderId="71" xfId="4" applyFont="1" applyFill="1" applyBorder="1"/>
    <xf numFmtId="0" fontId="77" fillId="0" borderId="71" xfId="4" applyFont="1" applyFill="1" applyBorder="1" applyAlignment="1">
      <alignment horizontal="center"/>
    </xf>
    <xf numFmtId="10" fontId="77" fillId="0" borderId="71" xfId="14" applyNumberFormat="1" applyFont="1" applyFill="1" applyBorder="1" applyAlignment="1">
      <alignment horizontal="center" wrapText="1"/>
    </xf>
    <xf numFmtId="0" fontId="77" fillId="0" borderId="71" xfId="4" applyFont="1" applyFill="1" applyBorder="1" applyAlignment="1">
      <alignment horizontal="center" wrapText="1"/>
    </xf>
    <xf numFmtId="0" fontId="83" fillId="0" borderId="53" xfId="4" applyFont="1" applyBorder="1"/>
    <xf numFmtId="0" fontId="81" fillId="0" borderId="53" xfId="4" applyFont="1" applyBorder="1" applyAlignment="1">
      <alignment horizontal="right" vertical="center"/>
    </xf>
    <xf numFmtId="172" fontId="81" fillId="0" borderId="53" xfId="4" applyNumberFormat="1" applyFont="1" applyBorder="1" applyAlignment="1">
      <alignment horizontal="right" vertical="center"/>
    </xf>
    <xf numFmtId="10" fontId="83" fillId="0" borderId="53" xfId="14" applyNumberFormat="1" applyFont="1" applyBorder="1" applyAlignment="1">
      <alignment horizontal="center"/>
    </xf>
    <xf numFmtId="10" fontId="83" fillId="0" borderId="65" xfId="14" applyNumberFormat="1" applyFont="1" applyBorder="1" applyAlignment="1">
      <alignment horizontal="center"/>
    </xf>
    <xf numFmtId="172" fontId="83" fillId="0" borderId="53" xfId="4" applyNumberFormat="1" applyFont="1" applyBorder="1"/>
    <xf numFmtId="172" fontId="83" fillId="0" borderId="65" xfId="4" applyNumberFormat="1" applyFont="1" applyBorder="1"/>
    <xf numFmtId="10" fontId="83" fillId="0" borderId="0" xfId="14" applyNumberFormat="1" applyFont="1"/>
    <xf numFmtId="167" fontId="83" fillId="0" borderId="0" xfId="4" applyNumberFormat="1" applyFont="1"/>
    <xf numFmtId="167" fontId="83" fillId="0" borderId="15" xfId="4" applyNumberFormat="1" applyFont="1" applyBorder="1"/>
    <xf numFmtId="0" fontId="83" fillId="0" borderId="68" xfId="4" applyFont="1" applyBorder="1"/>
    <xf numFmtId="0" fontId="81" fillId="0" borderId="68" xfId="4" applyFont="1" applyBorder="1" applyAlignment="1">
      <alignment horizontal="right" vertical="center"/>
    </xf>
    <xf numFmtId="172" fontId="81" fillId="0" borderId="71" xfId="4" applyNumberFormat="1" applyFont="1" applyBorder="1" applyAlignment="1">
      <alignment horizontal="right" vertical="center"/>
    </xf>
    <xf numFmtId="10" fontId="83" fillId="0" borderId="68" xfId="14" applyNumberFormat="1" applyFont="1" applyBorder="1" applyAlignment="1">
      <alignment horizontal="center"/>
    </xf>
    <xf numFmtId="10" fontId="83" fillId="0" borderId="67" xfId="14" applyNumberFormat="1" applyFont="1" applyBorder="1" applyAlignment="1">
      <alignment horizontal="center"/>
    </xf>
    <xf numFmtId="172" fontId="83" fillId="0" borderId="68" xfId="4" applyNumberFormat="1" applyFont="1" applyBorder="1"/>
    <xf numFmtId="172" fontId="83" fillId="0" borderId="67" xfId="4" applyNumberFormat="1" applyFont="1" applyBorder="1"/>
    <xf numFmtId="167" fontId="83" fillId="0" borderId="0" xfId="21" applyNumberFormat="1" applyFont="1" applyBorder="1"/>
    <xf numFmtId="167" fontId="83" fillId="0" borderId="0" xfId="4" applyNumberFormat="1" applyFont="1" applyBorder="1"/>
    <xf numFmtId="0" fontId="83" fillId="0" borderId="69" xfId="4" applyFont="1" applyBorder="1"/>
    <xf numFmtId="0" fontId="81" fillId="0" borderId="69" xfId="4" applyFont="1" applyBorder="1" applyAlignment="1">
      <alignment horizontal="right" vertical="center"/>
    </xf>
    <xf numFmtId="0" fontId="83" fillId="0" borderId="70" xfId="4" applyFont="1" applyBorder="1"/>
    <xf numFmtId="172" fontId="81" fillId="0" borderId="69" xfId="4" applyNumberFormat="1" applyFont="1" applyBorder="1" applyAlignment="1">
      <alignment horizontal="right" vertical="center"/>
    </xf>
    <xf numFmtId="10" fontId="83" fillId="0" borderId="73" xfId="14" applyNumberFormat="1" applyFont="1" applyBorder="1" applyAlignment="1">
      <alignment horizontal="center"/>
    </xf>
    <xf numFmtId="172" fontId="83" fillId="0" borderId="69" xfId="4" applyNumberFormat="1" applyFont="1" applyBorder="1"/>
    <xf numFmtId="10" fontId="83" fillId="0" borderId="69" xfId="14" applyNumberFormat="1" applyFont="1" applyBorder="1" applyAlignment="1">
      <alignment horizontal="center"/>
    </xf>
    <xf numFmtId="7" fontId="83" fillId="0" borderId="68" xfId="4" applyNumberFormat="1" applyFont="1" applyBorder="1"/>
    <xf numFmtId="10" fontId="83" fillId="0" borderId="68" xfId="14" applyNumberFormat="1" applyFont="1" applyBorder="1"/>
    <xf numFmtId="0" fontId="83" fillId="0" borderId="67" xfId="4" applyFont="1" applyBorder="1"/>
    <xf numFmtId="172" fontId="82" fillId="0" borderId="67" xfId="4" applyNumberFormat="1" applyFont="1" applyBorder="1"/>
    <xf numFmtId="7" fontId="83" fillId="0" borderId="0" xfId="4" applyNumberFormat="1" applyFont="1"/>
    <xf numFmtId="10" fontId="83" fillId="0" borderId="0" xfId="14" applyNumberFormat="1" applyFont="1" applyBorder="1"/>
    <xf numFmtId="170" fontId="83" fillId="0" borderId="0" xfId="4" applyNumberFormat="1" applyFont="1"/>
    <xf numFmtId="170" fontId="83" fillId="0" borderId="0" xfId="4" applyNumberFormat="1" applyFont="1" applyAlignment="1">
      <alignment wrapText="1"/>
    </xf>
    <xf numFmtId="170" fontId="83" fillId="0" borderId="0" xfId="4" applyNumberFormat="1" applyFont="1" applyBorder="1"/>
    <xf numFmtId="10" fontId="83" fillId="0" borderId="0" xfId="6" applyNumberFormat="1" applyFont="1"/>
    <xf numFmtId="172" fontId="83" fillId="0" borderId="0" xfId="4" applyNumberFormat="1" applyFont="1"/>
    <xf numFmtId="10" fontId="84" fillId="0" borderId="0" xfId="6" applyNumberFormat="1" applyFont="1"/>
    <xf numFmtId="172" fontId="84" fillId="0" borderId="0" xfId="4" applyNumberFormat="1" applyFont="1"/>
    <xf numFmtId="10" fontId="83" fillId="0" borderId="0" xfId="4" applyNumberFormat="1" applyFont="1"/>
    <xf numFmtId="167" fontId="84" fillId="0" borderId="0" xfId="21" applyNumberFormat="1" applyFont="1"/>
    <xf numFmtId="172" fontId="84" fillId="0" borderId="15" xfId="4" applyNumberFormat="1" applyFont="1" applyBorder="1"/>
    <xf numFmtId="172" fontId="83" fillId="0" borderId="0" xfId="4" applyNumberFormat="1" applyFont="1" applyBorder="1"/>
    <xf numFmtId="172" fontId="83" fillId="0" borderId="15" xfId="4" applyNumberFormat="1" applyFont="1" applyBorder="1"/>
    <xf numFmtId="10" fontId="83" fillId="0" borderId="0" xfId="6" applyNumberFormat="1" applyFont="1" applyBorder="1"/>
    <xf numFmtId="0" fontId="83" fillId="0" borderId="75" xfId="4" applyFont="1" applyBorder="1"/>
    <xf numFmtId="0" fontId="83" fillId="0" borderId="76" xfId="4" applyFont="1" applyBorder="1"/>
    <xf numFmtId="7" fontId="83" fillId="0" borderId="77" xfId="4" applyNumberFormat="1" applyFont="1" applyBorder="1"/>
    <xf numFmtId="167" fontId="82" fillId="0" borderId="0" xfId="21" applyNumberFormat="1" applyFont="1"/>
    <xf numFmtId="167" fontId="82" fillId="0" borderId="0" xfId="4" applyNumberFormat="1" applyFont="1"/>
    <xf numFmtId="10" fontId="4" fillId="0" borderId="0" xfId="4" applyNumberFormat="1" applyFont="1"/>
    <xf numFmtId="167" fontId="4" fillId="0" borderId="0" xfId="4" applyNumberFormat="1" applyFont="1"/>
    <xf numFmtId="172" fontId="4" fillId="0" borderId="15" xfId="4" applyNumberFormat="1" applyFont="1" applyBorder="1"/>
    <xf numFmtId="167" fontId="77" fillId="0" borderId="35" xfId="21" applyNumberFormat="1" applyFont="1" applyBorder="1" applyAlignment="1">
      <alignment wrapText="1"/>
    </xf>
    <xf numFmtId="10" fontId="83" fillId="0" borderId="71" xfId="14" applyNumberFormat="1" applyFont="1" applyBorder="1"/>
    <xf numFmtId="172" fontId="83" fillId="17" borderId="0" xfId="4" applyNumberFormat="1" applyFont="1" applyFill="1"/>
    <xf numFmtId="172" fontId="83" fillId="17" borderId="53" xfId="4" applyNumberFormat="1" applyFont="1" applyFill="1" applyBorder="1"/>
    <xf numFmtId="172" fontId="4" fillId="29" borderId="0" xfId="4" applyNumberFormat="1" applyFont="1" applyFill="1"/>
    <xf numFmtId="172" fontId="76" fillId="29" borderId="67" xfId="4" applyNumberFormat="1" applyFont="1" applyFill="1" applyBorder="1"/>
    <xf numFmtId="170" fontId="0" fillId="0" borderId="53" xfId="0" applyNumberFormat="1" applyFill="1" applyBorder="1"/>
    <xf numFmtId="44" fontId="20" fillId="0" borderId="41" xfId="1" applyNumberFormat="1" applyFont="1" applyBorder="1"/>
    <xf numFmtId="0" fontId="63" fillId="0" borderId="0" xfId="0" applyFont="1"/>
    <xf numFmtId="0" fontId="63" fillId="0" borderId="0" xfId="0" applyFont="1" applyAlignment="1">
      <alignment horizontal="center"/>
    </xf>
    <xf numFmtId="44" fontId="4" fillId="4" borderId="0" xfId="1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/>
    <xf numFmtId="9" fontId="20" fillId="0" borderId="0" xfId="0" applyNumberFormat="1" applyFont="1" applyFill="1" applyBorder="1" applyAlignment="1">
      <alignment horizontal="center"/>
    </xf>
    <xf numFmtId="0" fontId="9" fillId="0" borderId="49" xfId="0" applyFont="1" applyFill="1" applyBorder="1"/>
    <xf numFmtId="0" fontId="20" fillId="0" borderId="11" xfId="0" applyFont="1" applyFill="1" applyBorder="1" applyAlignment="1">
      <alignment horizontal="center"/>
    </xf>
    <xf numFmtId="10" fontId="20" fillId="0" borderId="11" xfId="0" applyNumberFormat="1" applyFont="1" applyFill="1" applyBorder="1"/>
    <xf numFmtId="44" fontId="20" fillId="0" borderId="11" xfId="1" applyFont="1" applyFill="1" applyBorder="1"/>
    <xf numFmtId="167" fontId="20" fillId="0" borderId="40" xfId="0" applyNumberFormat="1" applyFont="1" applyFill="1" applyBorder="1"/>
    <xf numFmtId="0" fontId="77" fillId="0" borderId="0" xfId="4" applyFont="1"/>
    <xf numFmtId="10" fontId="85" fillId="0" borderId="0" xfId="14" applyNumberFormat="1" applyFont="1" applyAlignment="1">
      <alignment horizontal="center"/>
    </xf>
    <xf numFmtId="10" fontId="85" fillId="0" borderId="0" xfId="14" applyNumberFormat="1" applyFont="1" applyBorder="1" applyAlignment="1">
      <alignment horizontal="center"/>
    </xf>
    <xf numFmtId="0" fontId="85" fillId="0" borderId="0" xfId="4" applyFont="1"/>
    <xf numFmtId="0" fontId="77" fillId="0" borderId="69" xfId="4" applyFont="1" applyBorder="1"/>
    <xf numFmtId="10" fontId="85" fillId="0" borderId="69" xfId="14" applyNumberFormat="1" applyFont="1" applyBorder="1"/>
    <xf numFmtId="10" fontId="85" fillId="0" borderId="67" xfId="14" applyNumberFormat="1" applyFont="1" applyBorder="1"/>
    <xf numFmtId="0" fontId="85" fillId="0" borderId="71" xfId="4" applyFont="1" applyFill="1" applyBorder="1"/>
    <xf numFmtId="0" fontId="85" fillId="0" borderId="53" xfId="4" applyFont="1" applyBorder="1"/>
    <xf numFmtId="0" fontId="86" fillId="0" borderId="53" xfId="4" applyFont="1" applyBorder="1" applyAlignment="1">
      <alignment horizontal="right" vertical="center"/>
    </xf>
    <xf numFmtId="172" fontId="86" fillId="0" borderId="53" xfId="4" applyNumberFormat="1" applyFont="1" applyBorder="1" applyAlignment="1">
      <alignment horizontal="right" vertical="center"/>
    </xf>
    <xf numFmtId="10" fontId="85" fillId="0" borderId="53" xfId="14" applyNumberFormat="1" applyFont="1" applyBorder="1" applyAlignment="1">
      <alignment horizontal="center"/>
    </xf>
    <xf numFmtId="10" fontId="85" fillId="0" borderId="65" xfId="14" applyNumberFormat="1" applyFont="1" applyBorder="1" applyAlignment="1">
      <alignment horizontal="center"/>
    </xf>
    <xf numFmtId="0" fontId="85" fillId="0" borderId="68" xfId="4" applyFont="1" applyBorder="1"/>
    <xf numFmtId="0" fontId="86" fillId="0" borderId="68" xfId="4" applyFont="1" applyBorder="1" applyAlignment="1">
      <alignment horizontal="right" vertical="center"/>
    </xf>
    <xf numFmtId="172" fontId="86" fillId="0" borderId="71" xfId="4" applyNumberFormat="1" applyFont="1" applyBorder="1" applyAlignment="1">
      <alignment horizontal="right" vertical="center"/>
    </xf>
    <xf numFmtId="10" fontId="85" fillId="0" borderId="68" xfId="14" applyNumberFormat="1" applyFont="1" applyBorder="1" applyAlignment="1">
      <alignment horizontal="center"/>
    </xf>
    <xf numFmtId="10" fontId="85" fillId="0" borderId="67" xfId="14" applyNumberFormat="1" applyFont="1" applyBorder="1" applyAlignment="1">
      <alignment horizontal="center"/>
    </xf>
    <xf numFmtId="0" fontId="85" fillId="0" borderId="0" xfId="4" applyFont="1" applyBorder="1"/>
    <xf numFmtId="0" fontId="85" fillId="0" borderId="69" xfId="4" applyFont="1" applyBorder="1"/>
    <xf numFmtId="0" fontId="86" fillId="0" borderId="69" xfId="4" applyFont="1" applyBorder="1" applyAlignment="1">
      <alignment horizontal="right" vertical="center"/>
    </xf>
    <xf numFmtId="0" fontId="85" fillId="0" borderId="70" xfId="4" applyFont="1" applyBorder="1"/>
    <xf numFmtId="172" fontId="86" fillId="0" borderId="69" xfId="4" applyNumberFormat="1" applyFont="1" applyBorder="1" applyAlignment="1">
      <alignment horizontal="right" vertical="center"/>
    </xf>
    <xf numFmtId="10" fontId="85" fillId="0" borderId="73" xfId="14" applyNumberFormat="1" applyFont="1" applyBorder="1" applyAlignment="1">
      <alignment horizontal="center"/>
    </xf>
    <xf numFmtId="172" fontId="85" fillId="0" borderId="53" xfId="4" applyNumberFormat="1" applyFont="1" applyBorder="1"/>
    <xf numFmtId="0" fontId="85" fillId="0" borderId="53" xfId="4" applyFont="1" applyFill="1" applyBorder="1"/>
    <xf numFmtId="172" fontId="85" fillId="0" borderId="53" xfId="4" applyNumberFormat="1" applyFont="1" applyFill="1" applyBorder="1"/>
    <xf numFmtId="10" fontId="85" fillId="0" borderId="53" xfId="14" applyNumberFormat="1" applyFont="1" applyFill="1" applyBorder="1" applyAlignment="1">
      <alignment horizontal="center"/>
    </xf>
    <xf numFmtId="10" fontId="85" fillId="0" borderId="65" xfId="14" applyNumberFormat="1" applyFont="1" applyFill="1" applyBorder="1" applyAlignment="1">
      <alignment horizontal="center"/>
    </xf>
    <xf numFmtId="172" fontId="85" fillId="0" borderId="68" xfId="4" applyNumberFormat="1" applyFont="1" applyBorder="1"/>
    <xf numFmtId="172" fontId="85" fillId="0" borderId="69" xfId="4" applyNumberFormat="1" applyFont="1" applyBorder="1"/>
    <xf numFmtId="10" fontId="85" fillId="0" borderId="69" xfId="14" applyNumberFormat="1" applyFont="1" applyBorder="1" applyAlignment="1">
      <alignment horizontal="center"/>
    </xf>
    <xf numFmtId="170" fontId="85" fillId="0" borderId="0" xfId="4" applyNumberFormat="1" applyFont="1"/>
    <xf numFmtId="7" fontId="85" fillId="0" borderId="68" xfId="4" applyNumberFormat="1" applyFont="1" applyBorder="1"/>
    <xf numFmtId="10" fontId="85" fillId="0" borderId="68" xfId="14" applyNumberFormat="1" applyFont="1" applyBorder="1"/>
    <xf numFmtId="0" fontId="85" fillId="0" borderId="75" xfId="4" applyFont="1" applyBorder="1"/>
    <xf numFmtId="0" fontId="85" fillId="0" borderId="76" xfId="4" applyFont="1" applyBorder="1"/>
    <xf numFmtId="7" fontId="85" fillId="0" borderId="77" xfId="4" applyNumberFormat="1" applyFont="1" applyBorder="1"/>
    <xf numFmtId="10" fontId="85" fillId="0" borderId="71" xfId="14" applyNumberFormat="1" applyFont="1" applyBorder="1"/>
    <xf numFmtId="7" fontId="85" fillId="0" borderId="0" xfId="4" applyNumberFormat="1" applyFont="1"/>
    <xf numFmtId="10" fontId="85" fillId="0" borderId="0" xfId="14" applyNumberFormat="1" applyFont="1"/>
    <xf numFmtId="10" fontId="85" fillId="0" borderId="0" xfId="14" applyNumberFormat="1" applyFont="1" applyBorder="1"/>
    <xf numFmtId="10" fontId="77" fillId="0" borderId="78" xfId="14" applyNumberFormat="1" applyFont="1" applyFill="1" applyBorder="1" applyAlignment="1">
      <alignment horizontal="center" wrapText="1"/>
    </xf>
    <xf numFmtId="10" fontId="77" fillId="0" borderId="77" xfId="14" applyNumberFormat="1" applyFont="1" applyFill="1" applyBorder="1" applyAlignment="1">
      <alignment horizontal="center" wrapText="1"/>
    </xf>
    <xf numFmtId="0" fontId="77" fillId="0" borderId="34" xfId="4" applyFont="1" applyFill="1" applyBorder="1"/>
    <xf numFmtId="0" fontId="77" fillId="0" borderId="46" xfId="4" applyFont="1" applyFill="1" applyBorder="1" applyAlignment="1">
      <alignment horizontal="center"/>
    </xf>
    <xf numFmtId="0" fontId="77" fillId="0" borderId="51" xfId="4" applyFont="1" applyFill="1" applyBorder="1" applyAlignment="1">
      <alignment horizontal="center"/>
    </xf>
    <xf numFmtId="0" fontId="77" fillId="0" borderId="79" xfId="4" applyFont="1" applyFill="1" applyBorder="1"/>
    <xf numFmtId="0" fontId="77" fillId="0" borderId="79" xfId="4" applyFont="1" applyFill="1" applyBorder="1" applyAlignment="1">
      <alignment horizontal="center"/>
    </xf>
    <xf numFmtId="0" fontId="77" fillId="0" borderId="80" xfId="4" applyFont="1" applyFill="1" applyBorder="1" applyAlignment="1">
      <alignment horizontal="center"/>
    </xf>
    <xf numFmtId="0" fontId="87" fillId="0" borderId="0" xfId="0" applyFont="1"/>
    <xf numFmtId="43" fontId="87" fillId="0" borderId="0" xfId="0" applyNumberFormat="1" applyFont="1"/>
    <xf numFmtId="0" fontId="88" fillId="30" borderId="53" xfId="0" applyFont="1" applyFill="1" applyBorder="1" applyAlignment="1">
      <alignment horizontal="center"/>
    </xf>
    <xf numFmtId="43" fontId="88" fillId="31" borderId="53" xfId="0" applyNumberFormat="1" applyFont="1" applyFill="1" applyBorder="1" applyAlignment="1">
      <alignment horizontal="center" wrapText="1"/>
    </xf>
    <xf numFmtId="0" fontId="87" fillId="0" borderId="53" xfId="0" applyFont="1" applyBorder="1"/>
    <xf numFmtId="172" fontId="87" fillId="0" borderId="53" xfId="0" applyNumberFormat="1" applyFont="1" applyBorder="1"/>
    <xf numFmtId="0" fontId="88" fillId="30" borderId="53" xfId="0" applyFont="1" applyFill="1" applyBorder="1"/>
    <xf numFmtId="172" fontId="88" fillId="30" borderId="53" xfId="0" applyNumberFormat="1" applyFont="1" applyFill="1" applyBorder="1"/>
    <xf numFmtId="172" fontId="87" fillId="0" borderId="0" xfId="0" applyNumberFormat="1" applyFont="1"/>
    <xf numFmtId="0" fontId="88" fillId="0" borderId="0" xfId="0" applyFont="1"/>
    <xf numFmtId="10" fontId="20" fillId="0" borderId="0" xfId="0" applyNumberFormat="1" applyFont="1" applyFill="1" applyBorder="1"/>
    <xf numFmtId="3" fontId="21" fillId="0" borderId="0" xfId="0" applyNumberFormat="1" applyFont="1" applyBorder="1"/>
    <xf numFmtId="42" fontId="20" fillId="0" borderId="0" xfId="0" applyNumberFormat="1" applyFont="1" applyBorder="1"/>
    <xf numFmtId="167" fontId="20" fillId="0" borderId="0" xfId="1" applyNumberFormat="1" applyFont="1" applyBorder="1"/>
    <xf numFmtId="167" fontId="9" fillId="0" borderId="20" xfId="1" applyNumberFormat="1" applyFont="1" applyFill="1" applyBorder="1"/>
    <xf numFmtId="168" fontId="4" fillId="0" borderId="49" xfId="0" applyNumberFormat="1" applyFont="1" applyFill="1" applyBorder="1" applyAlignment="1"/>
    <xf numFmtId="9" fontId="4" fillId="0" borderId="11" xfId="0" applyNumberFormat="1" applyFont="1" applyFill="1" applyBorder="1" applyAlignment="1"/>
    <xf numFmtId="164" fontId="4" fillId="0" borderId="11" xfId="0" applyNumberFormat="1" applyFont="1" applyFill="1" applyBorder="1" applyAlignment="1"/>
    <xf numFmtId="44" fontId="4" fillId="0" borderId="11" xfId="1" applyFont="1" applyFill="1" applyBorder="1" applyAlignment="1"/>
    <xf numFmtId="167" fontId="4" fillId="0" borderId="43" xfId="1" applyNumberFormat="1" applyFont="1" applyFill="1" applyBorder="1" applyAlignment="1"/>
    <xf numFmtId="0" fontId="3" fillId="0" borderId="17" xfId="0" applyFont="1" applyFill="1" applyBorder="1" applyAlignment="1"/>
    <xf numFmtId="0" fontId="5" fillId="0" borderId="17" xfId="0" applyFont="1" applyFill="1" applyBorder="1" applyAlignment="1"/>
    <xf numFmtId="0" fontId="21" fillId="0" borderId="49" xfId="0" applyFont="1" applyFill="1" applyBorder="1"/>
    <xf numFmtId="0" fontId="21" fillId="0" borderId="11" xfId="0" applyFont="1" applyFill="1" applyBorder="1"/>
    <xf numFmtId="4" fontId="21" fillId="0" borderId="11" xfId="0" applyNumberFormat="1" applyFont="1" applyFill="1" applyBorder="1"/>
    <xf numFmtId="42" fontId="21" fillId="0" borderId="11" xfId="0" applyNumberFormat="1" applyFont="1" applyFill="1" applyBorder="1"/>
    <xf numFmtId="0" fontId="21" fillId="0" borderId="17" xfId="0" applyFont="1" applyFill="1" applyBorder="1"/>
    <xf numFmtId="10" fontId="22" fillId="0" borderId="0" xfId="0" applyNumberFormat="1" applyFont="1" applyFill="1" applyBorder="1"/>
    <xf numFmtId="44" fontId="21" fillId="0" borderId="11" xfId="0" applyNumberFormat="1" applyFont="1" applyFill="1" applyBorder="1"/>
    <xf numFmtId="42" fontId="20" fillId="0" borderId="41" xfId="0" applyNumberFormat="1" applyFont="1" applyFill="1" applyBorder="1"/>
    <xf numFmtId="42" fontId="21" fillId="0" borderId="41" xfId="0" applyNumberFormat="1" applyFont="1" applyFill="1" applyBorder="1"/>
    <xf numFmtId="0" fontId="20" fillId="0" borderId="41" xfId="0" applyFont="1" applyFill="1" applyBorder="1"/>
    <xf numFmtId="44" fontId="20" fillId="0" borderId="41" xfId="0" applyNumberFormat="1" applyFont="1" applyFill="1" applyBorder="1"/>
    <xf numFmtId="44" fontId="21" fillId="0" borderId="1" xfId="0" applyNumberFormat="1" applyFont="1" applyFill="1" applyBorder="1"/>
    <xf numFmtId="0" fontId="20" fillId="0" borderId="15" xfId="0" applyFont="1" applyFill="1" applyBorder="1"/>
    <xf numFmtId="42" fontId="21" fillId="0" borderId="15" xfId="0" applyNumberFormat="1" applyFont="1" applyFill="1" applyBorder="1"/>
    <xf numFmtId="42" fontId="21" fillId="0" borderId="45" xfId="0" applyNumberFormat="1" applyFont="1" applyFill="1" applyBorder="1"/>
    <xf numFmtId="167" fontId="20" fillId="0" borderId="41" xfId="1" applyNumberFormat="1" applyFont="1" applyFill="1" applyBorder="1"/>
    <xf numFmtId="0" fontId="21" fillId="0" borderId="50" xfId="0" applyFont="1" applyFill="1" applyBorder="1"/>
    <xf numFmtId="10" fontId="23" fillId="0" borderId="0" xfId="0" applyNumberFormat="1" applyFont="1" applyFill="1" applyBorder="1"/>
    <xf numFmtId="167" fontId="20" fillId="0" borderId="20" xfId="1" applyNumberFormat="1" applyFont="1" applyFill="1" applyBorder="1"/>
    <xf numFmtId="167" fontId="9" fillId="0" borderId="41" xfId="1" applyNumberFormat="1" applyFont="1" applyFill="1" applyBorder="1"/>
    <xf numFmtId="9" fontId="20" fillId="0" borderId="0" xfId="6" applyFont="1" applyFill="1" applyBorder="1"/>
    <xf numFmtId="3" fontId="21" fillId="0" borderId="5" xfId="0" applyNumberFormat="1" applyFont="1" applyBorder="1"/>
    <xf numFmtId="0" fontId="21" fillId="0" borderId="6" xfId="0" applyFont="1" applyBorder="1"/>
    <xf numFmtId="0" fontId="21" fillId="0" borderId="5" xfId="0" applyFont="1" applyBorder="1" applyAlignment="1">
      <alignment horizontal="center"/>
    </xf>
    <xf numFmtId="0" fontId="3" fillId="0" borderId="22" xfId="0" applyFont="1" applyBorder="1" applyAlignment="1"/>
    <xf numFmtId="42" fontId="20" fillId="0" borderId="5" xfId="0" applyNumberFormat="1" applyFont="1" applyBorder="1"/>
    <xf numFmtId="0" fontId="4" fillId="0" borderId="6" xfId="0" applyFont="1" applyBorder="1" applyAlignment="1">
      <alignment wrapText="1"/>
    </xf>
    <xf numFmtId="0" fontId="21" fillId="0" borderId="81" xfId="0" applyFont="1" applyBorder="1"/>
    <xf numFmtId="42" fontId="21" fillId="0" borderId="5" xfId="0" applyNumberFormat="1" applyFont="1" applyBorder="1"/>
    <xf numFmtId="0" fontId="21" fillId="0" borderId="82" xfId="0" applyFont="1" applyBorder="1"/>
    <xf numFmtId="167" fontId="20" fillId="0" borderId="5" xfId="1" applyNumberFormat="1" applyFont="1" applyBorder="1"/>
    <xf numFmtId="0" fontId="24" fillId="0" borderId="5" xfId="0" applyFont="1" applyBorder="1" applyAlignment="1">
      <alignment horizontal="right"/>
    </xf>
    <xf numFmtId="167" fontId="4" fillId="0" borderId="5" xfId="1" applyNumberFormat="1" applyFont="1" applyFill="1" applyBorder="1"/>
    <xf numFmtId="0" fontId="9" fillId="0" borderId="83" xfId="0" applyFont="1" applyFill="1" applyBorder="1"/>
    <xf numFmtId="0" fontId="20" fillId="0" borderId="84" xfId="0" applyFont="1" applyFill="1" applyBorder="1"/>
    <xf numFmtId="10" fontId="20" fillId="0" borderId="84" xfId="0" applyNumberFormat="1" applyFont="1" applyFill="1" applyBorder="1"/>
    <xf numFmtId="44" fontId="20" fillId="0" borderId="84" xfId="1" applyFont="1" applyFill="1" applyBorder="1"/>
    <xf numFmtId="0" fontId="21" fillId="0" borderId="8" xfId="0" applyFont="1" applyBorder="1" applyAlignment="1">
      <alignment horizontal="center"/>
    </xf>
    <xf numFmtId="42" fontId="21" fillId="0" borderId="85" xfId="0" applyNumberFormat="1" applyFont="1" applyBorder="1"/>
    <xf numFmtId="167" fontId="20" fillId="0" borderId="5" xfId="0" applyNumberFormat="1" applyFont="1" applyBorder="1"/>
    <xf numFmtId="42" fontId="21" fillId="0" borderId="86" xfId="0" applyNumberFormat="1" applyFont="1" applyBorder="1"/>
    <xf numFmtId="44" fontId="20" fillId="0" borderId="5" xfId="1" applyFont="1" applyBorder="1"/>
    <xf numFmtId="0" fontId="9" fillId="0" borderId="4" xfId="0" applyFont="1" applyFill="1" applyBorder="1"/>
    <xf numFmtId="44" fontId="20" fillId="0" borderId="5" xfId="1" applyFont="1" applyFill="1" applyBorder="1"/>
    <xf numFmtId="168" fontId="4" fillId="0" borderId="83" xfId="0" applyNumberFormat="1" applyFont="1" applyFill="1" applyBorder="1" applyAlignment="1"/>
    <xf numFmtId="9" fontId="4" fillId="0" borderId="84" xfId="0" applyNumberFormat="1" applyFont="1" applyFill="1" applyBorder="1" applyAlignment="1"/>
    <xf numFmtId="164" fontId="4" fillId="0" borderId="84" xfId="0" applyNumberFormat="1" applyFont="1" applyFill="1" applyBorder="1" applyAlignment="1"/>
    <xf numFmtId="44" fontId="4" fillId="0" borderId="84" xfId="1" applyFont="1" applyFill="1" applyBorder="1" applyAlignment="1"/>
    <xf numFmtId="164" fontId="4" fillId="0" borderId="88" xfId="0" applyNumberFormat="1" applyFont="1" applyFill="1" applyBorder="1" applyAlignment="1"/>
    <xf numFmtId="44" fontId="4" fillId="0" borderId="88" xfId="1" applyFont="1" applyFill="1" applyBorder="1" applyAlignment="1"/>
    <xf numFmtId="44" fontId="4" fillId="0" borderId="21" xfId="1" applyNumberFormat="1" applyFont="1" applyFill="1" applyBorder="1" applyAlignment="1"/>
    <xf numFmtId="42" fontId="41" fillId="0" borderId="0" xfId="0" applyNumberFormat="1" applyFont="1" applyBorder="1"/>
    <xf numFmtId="10" fontId="49" fillId="0" borderId="0" xfId="0" applyNumberFormat="1" applyFont="1" applyBorder="1"/>
    <xf numFmtId="44" fontId="10" fillId="17" borderId="35" xfId="0" applyNumberFormat="1" applyFont="1" applyFill="1" applyBorder="1"/>
    <xf numFmtId="42" fontId="10" fillId="0" borderId="5" xfId="0" applyNumberFormat="1" applyFont="1" applyBorder="1"/>
    <xf numFmtId="167" fontId="20" fillId="0" borderId="91" xfId="1" applyNumberFormat="1" applyFont="1" applyFill="1" applyBorder="1"/>
    <xf numFmtId="167" fontId="20" fillId="0" borderId="92" xfId="1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44" fontId="20" fillId="0" borderId="84" xfId="0" applyNumberFormat="1" applyFont="1" applyFill="1" applyBorder="1"/>
    <xf numFmtId="44" fontId="10" fillId="17" borderId="78" xfId="0" applyNumberFormat="1" applyFont="1" applyFill="1" applyBorder="1"/>
    <xf numFmtId="44" fontId="4" fillId="0" borderId="78" xfId="1" applyFont="1" applyFill="1" applyBorder="1" applyAlignment="1"/>
    <xf numFmtId="44" fontId="20" fillId="0" borderId="78" xfId="1" applyFont="1" applyFill="1" applyBorder="1"/>
    <xf numFmtId="172" fontId="20" fillId="0" borderId="5" xfId="0" applyNumberFormat="1" applyFont="1" applyBorder="1"/>
    <xf numFmtId="44" fontId="39" fillId="0" borderId="84" xfId="1" applyFont="1" applyFill="1" applyBorder="1"/>
    <xf numFmtId="10" fontId="39" fillId="0" borderId="84" xfId="1" applyNumberFormat="1" applyFont="1" applyFill="1" applyBorder="1"/>
    <xf numFmtId="44" fontId="48" fillId="0" borderId="84" xfId="1" applyFont="1" applyFill="1" applyBorder="1"/>
    <xf numFmtId="44" fontId="48" fillId="0" borderId="0" xfId="1" applyFont="1" applyFill="1" applyBorder="1"/>
    <xf numFmtId="0" fontId="0" fillId="0" borderId="2" xfId="0" applyBorder="1"/>
    <xf numFmtId="0" fontId="0" fillId="0" borderId="12" xfId="0" applyBorder="1"/>
    <xf numFmtId="0" fontId="10" fillId="0" borderId="89" xfId="0" applyFont="1" applyBorder="1"/>
    <xf numFmtId="0" fontId="9" fillId="0" borderId="90" xfId="0" applyFont="1" applyBorder="1"/>
    <xf numFmtId="0" fontId="39" fillId="0" borderId="6" xfId="0" applyFont="1" applyBorder="1"/>
    <xf numFmtId="0" fontId="39" fillId="0" borderId="90" xfId="0" applyFont="1" applyBorder="1"/>
    <xf numFmtId="0" fontId="39" fillId="0" borderId="4" xfId="0" applyFont="1" applyBorder="1"/>
    <xf numFmtId="44" fontId="41" fillId="0" borderId="0" xfId="1" applyFont="1" applyBorder="1"/>
    <xf numFmtId="0" fontId="48" fillId="0" borderId="4" xfId="0" applyFont="1" applyBorder="1"/>
    <xf numFmtId="44" fontId="48" fillId="0" borderId="0" xfId="1" applyFont="1" applyBorder="1"/>
    <xf numFmtId="0" fontId="48" fillId="0" borderId="0" xfId="0" applyFont="1" applyBorder="1"/>
    <xf numFmtId="0" fontId="48" fillId="0" borderId="82" xfId="0" applyFont="1" applyBorder="1"/>
    <xf numFmtId="0" fontId="24" fillId="0" borderId="0" xfId="0" applyFont="1" applyBorder="1"/>
    <xf numFmtId="44" fontId="39" fillId="0" borderId="4" xfId="1" applyFont="1" applyBorder="1"/>
    <xf numFmtId="44" fontId="10" fillId="17" borderId="35" xfId="1" applyFont="1" applyFill="1" applyBorder="1"/>
    <xf numFmtId="0" fontId="11" fillId="0" borderId="0" xfId="0" applyFont="1" applyBorder="1"/>
    <xf numFmtId="44" fontId="56" fillId="0" borderId="0" xfId="0" applyNumberFormat="1" applyFont="1" applyFill="1" applyBorder="1"/>
    <xf numFmtId="0" fontId="56" fillId="0" borderId="0" xfId="0" applyFont="1" applyFill="1" applyBorder="1"/>
    <xf numFmtId="0" fontId="56" fillId="0" borderId="89" xfId="0" applyFont="1" applyBorder="1"/>
    <xf numFmtId="0" fontId="56" fillId="0" borderId="90" xfId="0" applyFont="1" applyBorder="1"/>
    <xf numFmtId="9" fontId="56" fillId="0" borderId="90" xfId="6" applyFont="1" applyBorder="1"/>
    <xf numFmtId="44" fontId="56" fillId="0" borderId="90" xfId="1" applyFont="1" applyFill="1" applyBorder="1"/>
    <xf numFmtId="44" fontId="57" fillId="17" borderId="35" xfId="0" applyNumberFormat="1" applyFont="1" applyFill="1" applyBorder="1"/>
    <xf numFmtId="0" fontId="10" fillId="0" borderId="7" xfId="0" applyFont="1" applyBorder="1" applyAlignment="1">
      <alignment horizontal="center"/>
    </xf>
    <xf numFmtId="44" fontId="3" fillId="0" borderId="0" xfId="1" applyFont="1" applyFill="1" applyBorder="1" applyAlignment="1"/>
    <xf numFmtId="10" fontId="3" fillId="0" borderId="0" xfId="6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3" fontId="21" fillId="0" borderId="0" xfId="0" applyNumberFormat="1" applyFont="1" applyFill="1" applyBorder="1"/>
    <xf numFmtId="42" fontId="20" fillId="0" borderId="5" xfId="0" applyNumberFormat="1" applyFont="1" applyFill="1" applyBorder="1"/>
    <xf numFmtId="42" fontId="21" fillId="0" borderId="85" xfId="0" applyNumberFormat="1" applyFont="1" applyFill="1" applyBorder="1"/>
    <xf numFmtId="0" fontId="21" fillId="0" borderId="4" xfId="0" applyFont="1" applyFill="1" applyBorder="1"/>
    <xf numFmtId="167" fontId="20" fillId="0" borderId="5" xfId="0" applyNumberFormat="1" applyFont="1" applyFill="1" applyBorder="1"/>
    <xf numFmtId="0" fontId="21" fillId="0" borderId="81" xfId="0" applyFont="1" applyFill="1" applyBorder="1"/>
    <xf numFmtId="42" fontId="21" fillId="0" borderId="86" xfId="0" applyNumberFormat="1" applyFont="1" applyFill="1" applyBorder="1"/>
    <xf numFmtId="167" fontId="20" fillId="0" borderId="5" xfId="1" applyNumberFormat="1" applyFont="1" applyFill="1" applyBorder="1"/>
    <xf numFmtId="0" fontId="24" fillId="0" borderId="5" xfId="0" applyFont="1" applyFill="1" applyBorder="1" applyAlignment="1">
      <alignment horizontal="right"/>
    </xf>
    <xf numFmtId="44" fontId="3" fillId="0" borderId="78" xfId="1" applyFont="1" applyFill="1" applyBorder="1" applyAlignment="1"/>
    <xf numFmtId="0" fontId="3" fillId="0" borderId="2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0" fontId="3" fillId="0" borderId="0" xfId="0" applyFont="1" applyFill="1" applyAlignment="1">
      <alignment horizontal="left"/>
    </xf>
    <xf numFmtId="0" fontId="20" fillId="0" borderId="40" xfId="0" applyFont="1" applyFill="1" applyBorder="1"/>
    <xf numFmtId="0" fontId="3" fillId="0" borderId="0" xfId="0" applyFont="1" applyFill="1" applyBorder="1" applyAlignment="1">
      <alignment horizontal="left"/>
    </xf>
    <xf numFmtId="3" fontId="21" fillId="0" borderId="5" xfId="0" applyNumberFormat="1" applyFont="1" applyFill="1" applyBorder="1"/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1" fillId="0" borderId="6" xfId="0" applyFont="1" applyFill="1" applyBorder="1"/>
    <xf numFmtId="0" fontId="21" fillId="0" borderId="8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2" xfId="0" applyFont="1" applyFill="1" applyBorder="1" applyAlignment="1"/>
    <xf numFmtId="0" fontId="25" fillId="0" borderId="5" xfId="0" applyFont="1" applyFill="1" applyBorder="1"/>
    <xf numFmtId="0" fontId="11" fillId="0" borderId="0" xfId="0" applyNumberFormat="1" applyFont="1" applyFill="1" applyBorder="1"/>
    <xf numFmtId="0" fontId="25" fillId="0" borderId="0" xfId="0" applyNumberFormat="1" applyFont="1" applyFill="1" applyBorder="1"/>
    <xf numFmtId="0" fontId="21" fillId="0" borderId="15" xfId="0" applyFont="1" applyFill="1" applyBorder="1"/>
    <xf numFmtId="0" fontId="21" fillId="0" borderId="82" xfId="0" applyFont="1" applyFill="1" applyBorder="1"/>
    <xf numFmtId="10" fontId="23" fillId="0" borderId="0" xfId="0" applyNumberFormat="1" applyFont="1" applyFill="1"/>
    <xf numFmtId="0" fontId="13" fillId="0" borderId="0" xfId="0" applyFont="1" applyFill="1"/>
    <xf numFmtId="10" fontId="20" fillId="0" borderId="0" xfId="0" applyNumberFormat="1" applyFont="1" applyFill="1"/>
    <xf numFmtId="44" fontId="20" fillId="0" borderId="41" xfId="1" applyFont="1" applyFill="1" applyBorder="1"/>
    <xf numFmtId="168" fontId="4" fillId="0" borderId="16" xfId="0" applyNumberFormat="1" applyFont="1" applyFill="1" applyBorder="1" applyAlignment="1"/>
    <xf numFmtId="9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44" fontId="20" fillId="0" borderId="47" xfId="0" applyNumberFormat="1" applyFont="1" applyFill="1" applyBorder="1"/>
    <xf numFmtId="10" fontId="25" fillId="0" borderId="0" xfId="6" applyNumberFormat="1" applyFont="1" applyFill="1" applyBorder="1"/>
    <xf numFmtId="44" fontId="20" fillId="0" borderId="42" xfId="0" applyNumberFormat="1" applyFont="1" applyFill="1" applyBorder="1"/>
    <xf numFmtId="0" fontId="20" fillId="0" borderId="14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10" fontId="23" fillId="0" borderId="10" xfId="6" applyNumberFormat="1" applyFont="1" applyFill="1" applyBorder="1"/>
    <xf numFmtId="0" fontId="20" fillId="0" borderId="13" xfId="0" applyFont="1" applyFill="1" applyBorder="1"/>
    <xf numFmtId="0" fontId="23" fillId="0" borderId="0" xfId="0" applyFont="1" applyFill="1" applyAlignment="1"/>
    <xf numFmtId="0" fontId="22" fillId="0" borderId="0" xfId="0" applyFont="1" applyFill="1" applyAlignment="1">
      <alignment horizontal="left"/>
    </xf>
    <xf numFmtId="0" fontId="4" fillId="0" borderId="0" xfId="0" applyFont="1" applyFill="1" applyAlignment="1"/>
    <xf numFmtId="0" fontId="24" fillId="0" borderId="0" xfId="0" applyFont="1" applyFill="1"/>
    <xf numFmtId="0" fontId="11" fillId="0" borderId="0" xfId="0" quotePrefix="1" applyFont="1" applyFill="1" applyAlignment="1"/>
    <xf numFmtId="0" fontId="11" fillId="0" borderId="0" xfId="0" applyFont="1" applyFill="1" applyAlignment="1"/>
    <xf numFmtId="0" fontId="13" fillId="0" borderId="0" xfId="0" quotePrefix="1" applyFont="1" applyFill="1" applyAlignment="1"/>
    <xf numFmtId="168" fontId="4" fillId="0" borderId="87" xfId="0" applyNumberFormat="1" applyFont="1" applyFill="1" applyBorder="1" applyAlignment="1"/>
    <xf numFmtId="9" fontId="4" fillId="0" borderId="88" xfId="0" applyNumberFormat="1" applyFont="1" applyFill="1" applyBorder="1" applyAlignment="1"/>
    <xf numFmtId="44" fontId="3" fillId="0" borderId="35" xfId="1" applyFont="1" applyFill="1" applyBorder="1" applyAlignment="1"/>
    <xf numFmtId="44" fontId="4" fillId="0" borderId="35" xfId="1" applyFont="1" applyFill="1" applyBorder="1" applyAlignment="1"/>
    <xf numFmtId="171" fontId="20" fillId="0" borderId="0" xfId="0" applyNumberFormat="1" applyFont="1" applyFill="1"/>
    <xf numFmtId="44" fontId="10" fillId="0" borderId="0" xfId="0" applyNumberFormat="1" applyFont="1" applyFill="1" applyBorder="1"/>
    <xf numFmtId="167" fontId="10" fillId="0" borderId="0" xfId="1" applyNumberFormat="1" applyFont="1" applyFill="1" applyBorder="1"/>
    <xf numFmtId="172" fontId="20" fillId="0" borderId="0" xfId="0" applyNumberFormat="1" applyFont="1" applyFill="1" applyBorder="1"/>
    <xf numFmtId="44" fontId="57" fillId="0" borderId="0" xfId="0" applyNumberFormat="1" applyFont="1" applyFill="1" applyBorder="1"/>
    <xf numFmtId="44" fontId="56" fillId="0" borderId="0" xfId="0" applyNumberFormat="1" applyFont="1" applyBorder="1"/>
    <xf numFmtId="8" fontId="20" fillId="3" borderId="0" xfId="0" applyNumberFormat="1" applyFont="1" applyFill="1" applyBorder="1"/>
    <xf numFmtId="168" fontId="4" fillId="0" borderId="22" xfId="0" applyNumberFormat="1" applyFont="1" applyBorder="1" applyAlignment="1"/>
    <xf numFmtId="0" fontId="69" fillId="0" borderId="0" xfId="0" applyFont="1" applyBorder="1" applyAlignment="1">
      <alignment horizontal="right"/>
    </xf>
    <xf numFmtId="0" fontId="69" fillId="0" borderId="0" xfId="0" applyFont="1" applyFill="1" applyBorder="1" applyAlignment="1">
      <alignment horizontal="right"/>
    </xf>
    <xf numFmtId="44" fontId="4" fillId="0" borderId="19" xfId="1" applyFont="1" applyFill="1" applyBorder="1" applyAlignment="1"/>
    <xf numFmtId="168" fontId="4" fillId="0" borderId="87" xfId="0" applyNumberFormat="1" applyFont="1" applyBorder="1" applyAlignment="1"/>
    <xf numFmtId="44" fontId="4" fillId="0" borderId="10" xfId="1" applyFont="1" applyFill="1" applyBorder="1" applyAlignment="1"/>
    <xf numFmtId="44" fontId="58" fillId="0" borderId="90" xfId="1" applyFont="1" applyFill="1" applyBorder="1"/>
    <xf numFmtId="44" fontId="4" fillId="0" borderId="90" xfId="1" applyFont="1" applyFill="1" applyBorder="1"/>
    <xf numFmtId="168" fontId="4" fillId="0" borderId="83" xfId="0" applyNumberFormat="1" applyFont="1" applyBorder="1" applyAlignment="1"/>
    <xf numFmtId="9" fontId="4" fillId="0" borderId="84" xfId="0" applyNumberFormat="1" applyFont="1" applyBorder="1" applyAlignment="1"/>
    <xf numFmtId="44" fontId="4" fillId="0" borderId="94" xfId="1" applyFont="1" applyFill="1" applyBorder="1" applyAlignment="1"/>
    <xf numFmtId="0" fontId="20" fillId="0" borderId="22" xfId="0" applyFont="1" applyBorder="1"/>
    <xf numFmtId="0" fontId="9" fillId="0" borderId="9" xfId="0" applyFont="1" applyFill="1" applyBorder="1"/>
    <xf numFmtId="10" fontId="20" fillId="0" borderId="10" xfId="0" applyNumberFormat="1" applyFont="1" applyFill="1" applyBorder="1"/>
    <xf numFmtId="44" fontId="20" fillId="0" borderId="10" xfId="1" applyFont="1" applyFill="1" applyBorder="1"/>
    <xf numFmtId="44" fontId="3" fillId="17" borderId="35" xfId="1" applyFont="1" applyFill="1" applyBorder="1" applyAlignment="1"/>
    <xf numFmtId="0" fontId="25" fillId="0" borderId="0" xfId="0" applyFont="1" applyFill="1" applyAlignment="1"/>
    <xf numFmtId="43" fontId="20" fillId="0" borderId="0" xfId="0" applyNumberFormat="1" applyFont="1" applyFill="1"/>
    <xf numFmtId="167" fontId="22" fillId="0" borderId="0" xfId="1" applyNumberFormat="1" applyFont="1" applyFill="1" applyBorder="1" applyAlignment="1">
      <alignment horizontal="left"/>
    </xf>
    <xf numFmtId="167" fontId="22" fillId="0" borderId="0" xfId="1" applyNumberFormat="1" applyFont="1" applyFill="1" applyBorder="1"/>
    <xf numFmtId="9" fontId="20" fillId="0" borderId="10" xfId="0" applyNumberFormat="1" applyFont="1" applyBorder="1"/>
    <xf numFmtId="44" fontId="4" fillId="0" borderId="10" xfId="1" applyFont="1" applyBorder="1" applyAlignment="1"/>
    <xf numFmtId="44" fontId="4" fillId="0" borderId="13" xfId="1" applyFont="1" applyBorder="1" applyAlignment="1"/>
    <xf numFmtId="0" fontId="3" fillId="0" borderId="0" xfId="0" applyFont="1" applyFill="1" applyBorder="1"/>
    <xf numFmtId="0" fontId="20" fillId="0" borderId="20" xfId="0" applyFont="1" applyFill="1" applyBorder="1"/>
    <xf numFmtId="0" fontId="4" fillId="0" borderId="0" xfId="0" applyFont="1" applyFill="1" applyBorder="1"/>
    <xf numFmtId="0" fontId="4" fillId="0" borderId="20" xfId="0" applyFont="1" applyFill="1" applyBorder="1"/>
    <xf numFmtId="0" fontId="21" fillId="0" borderId="21" xfId="0" applyFont="1" applyFill="1" applyBorder="1" applyAlignment="1">
      <alignment horizontal="center"/>
    </xf>
    <xf numFmtId="4" fontId="23" fillId="0" borderId="1" xfId="0" applyNumberFormat="1" applyFont="1" applyFill="1" applyBorder="1"/>
    <xf numFmtId="42" fontId="4" fillId="0" borderId="20" xfId="0" applyNumberFormat="1" applyFont="1" applyFill="1" applyBorder="1"/>
    <xf numFmtId="4" fontId="23" fillId="0" borderId="7" xfId="0" applyNumberFormat="1" applyFont="1" applyFill="1" applyBorder="1"/>
    <xf numFmtId="4" fontId="4" fillId="0" borderId="18" xfId="0" applyNumberFormat="1" applyFont="1" applyFill="1" applyBorder="1"/>
    <xf numFmtId="4" fontId="21" fillId="0" borderId="7" xfId="0" applyNumberFormat="1" applyFont="1" applyFill="1" applyBorder="1"/>
    <xf numFmtId="42" fontId="21" fillId="0" borderId="43" xfId="0" applyNumberFormat="1" applyFont="1" applyFill="1" applyBorder="1"/>
    <xf numFmtId="4" fontId="3" fillId="0" borderId="7" xfId="0" applyNumberFormat="1" applyFont="1" applyFill="1" applyBorder="1"/>
    <xf numFmtId="42" fontId="3" fillId="0" borderId="43" xfId="0" applyNumberFormat="1" applyFont="1" applyFill="1" applyBorder="1"/>
    <xf numFmtId="44" fontId="3" fillId="0" borderId="11" xfId="0" applyNumberFormat="1" applyFont="1" applyFill="1" applyBorder="1"/>
    <xf numFmtId="167" fontId="20" fillId="0" borderId="20" xfId="0" applyNumberFormat="1" applyFont="1" applyFill="1" applyBorder="1"/>
    <xf numFmtId="44" fontId="4" fillId="0" borderId="0" xfId="0" applyNumberFormat="1" applyFont="1" applyFill="1" applyBorder="1"/>
    <xf numFmtId="167" fontId="4" fillId="0" borderId="20" xfId="0" applyNumberFormat="1" applyFont="1" applyFill="1" applyBorder="1"/>
    <xf numFmtId="44" fontId="3" fillId="0" borderId="1" xfId="0" applyNumberFormat="1" applyFont="1" applyFill="1" applyBorder="1"/>
    <xf numFmtId="0" fontId="3" fillId="0" borderId="11" xfId="0" applyFont="1" applyFill="1" applyBorder="1"/>
    <xf numFmtId="42" fontId="21" fillId="0" borderId="44" xfId="0" applyNumberFormat="1" applyFont="1" applyFill="1" applyBorder="1"/>
    <xf numFmtId="0" fontId="4" fillId="0" borderId="15" xfId="0" applyFont="1" applyFill="1" applyBorder="1"/>
    <xf numFmtId="42" fontId="3" fillId="0" borderId="44" xfId="0" applyNumberFormat="1" applyFont="1" applyFill="1" applyBorder="1"/>
    <xf numFmtId="167" fontId="4" fillId="0" borderId="20" xfId="1" applyNumberFormat="1" applyFont="1" applyFill="1" applyBorder="1"/>
    <xf numFmtId="0" fontId="24" fillId="0" borderId="20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44" fontId="20" fillId="0" borderId="20" xfId="1" applyFont="1" applyFill="1" applyBorder="1"/>
    <xf numFmtId="4" fontId="4" fillId="0" borderId="53" xfId="0" applyNumberFormat="1" applyFont="1" applyFill="1" applyBorder="1"/>
    <xf numFmtId="0" fontId="21" fillId="0" borderId="2" xfId="0" applyFont="1" applyFill="1" applyBorder="1"/>
    <xf numFmtId="0" fontId="3" fillId="0" borderId="12" xfId="0" applyFont="1" applyFill="1" applyBorder="1" applyAlignment="1">
      <alignment horizontal="left"/>
    </xf>
    <xf numFmtId="0" fontId="21" fillId="0" borderId="12" xfId="0" applyFont="1" applyFill="1" applyBorder="1"/>
    <xf numFmtId="3" fontId="21" fillId="0" borderId="34" xfId="0" applyNumberFormat="1" applyFont="1" applyFill="1" applyBorder="1"/>
    <xf numFmtId="0" fontId="3" fillId="0" borderId="12" xfId="0" applyFont="1" applyFill="1" applyBorder="1"/>
    <xf numFmtId="3" fontId="3" fillId="0" borderId="3" xfId="0" applyNumberFormat="1" applyFont="1" applyFill="1" applyBorder="1"/>
    <xf numFmtId="0" fontId="4" fillId="0" borderId="5" xfId="0" applyFont="1" applyFill="1" applyBorder="1"/>
    <xf numFmtId="0" fontId="3" fillId="0" borderId="8" xfId="0" applyFont="1" applyFill="1" applyBorder="1" applyAlignment="1">
      <alignment horizontal="center"/>
    </xf>
    <xf numFmtId="42" fontId="4" fillId="0" borderId="5" xfId="0" applyNumberFormat="1" applyFont="1" applyFill="1" applyBorder="1"/>
    <xf numFmtId="42" fontId="3" fillId="0" borderId="85" xfId="0" applyNumberFormat="1" applyFont="1" applyFill="1" applyBorder="1"/>
    <xf numFmtId="167" fontId="4" fillId="0" borderId="5" xfId="0" applyNumberFormat="1" applyFont="1" applyFill="1" applyBorder="1"/>
    <xf numFmtId="42" fontId="3" fillId="0" borderId="86" xfId="0" applyNumberFormat="1" applyFont="1" applyFill="1" applyBorder="1"/>
    <xf numFmtId="0" fontId="6" fillId="0" borderId="5" xfId="0" applyFont="1" applyFill="1" applyBorder="1" applyAlignment="1">
      <alignment horizontal="right"/>
    </xf>
    <xf numFmtId="44" fontId="4" fillId="0" borderId="5" xfId="1" applyFont="1" applyFill="1" applyBorder="1"/>
    <xf numFmtId="168" fontId="4" fillId="0" borderId="22" xfId="0" applyNumberFormat="1" applyFont="1" applyFill="1" applyBorder="1" applyAlignment="1"/>
    <xf numFmtId="9" fontId="20" fillId="0" borderId="10" xfId="0" applyNumberFormat="1" applyFont="1" applyFill="1" applyBorder="1"/>
    <xf numFmtId="44" fontId="4" fillId="0" borderId="52" xfId="1" applyFont="1" applyFill="1" applyBorder="1" applyAlignment="1"/>
    <xf numFmtId="44" fontId="4" fillId="0" borderId="13" xfId="1" applyFont="1" applyFill="1" applyBorder="1" applyAlignment="1"/>
    <xf numFmtId="44" fontId="58" fillId="0" borderId="10" xfId="1" applyFont="1" applyFill="1" applyBorder="1" applyAlignment="1"/>
    <xf numFmtId="44" fontId="58" fillId="0" borderId="13" xfId="1" applyFont="1" applyFill="1" applyBorder="1" applyAlignment="1"/>
    <xf numFmtId="4" fontId="4" fillId="0" borderId="1" xfId="0" applyNumberFormat="1" applyFont="1" applyFill="1" applyBorder="1"/>
    <xf numFmtId="4" fontId="3" fillId="0" borderId="11" xfId="0" applyNumberFormat="1" applyFont="1" applyFill="1" applyBorder="1"/>
    <xf numFmtId="4" fontId="4" fillId="0" borderId="41" xfId="0" applyNumberFormat="1" applyFont="1" applyFill="1" applyBorder="1"/>
    <xf numFmtId="4" fontId="4" fillId="0" borderId="42" xfId="0" applyNumberFormat="1" applyFont="1" applyFill="1" applyBorder="1"/>
    <xf numFmtId="42" fontId="4" fillId="0" borderId="41" xfId="0" applyNumberFormat="1" applyFont="1" applyFill="1" applyBorder="1"/>
    <xf numFmtId="42" fontId="22" fillId="0" borderId="20" xfId="0" applyNumberFormat="1" applyFont="1" applyFill="1" applyBorder="1"/>
    <xf numFmtId="44" fontId="20" fillId="0" borderId="21" xfId="1" applyFont="1" applyFill="1" applyBorder="1"/>
    <xf numFmtId="44" fontId="4" fillId="0" borderId="40" xfId="1" applyFont="1" applyFill="1" applyBorder="1" applyAlignment="1"/>
    <xf numFmtId="44" fontId="4" fillId="0" borderId="89" xfId="1" applyFont="1" applyFill="1" applyBorder="1" applyAlignment="1"/>
    <xf numFmtId="44" fontId="4" fillId="0" borderId="16" xfId="1" applyFont="1" applyFill="1" applyBorder="1" applyAlignment="1"/>
    <xf numFmtId="4" fontId="4" fillId="0" borderId="43" xfId="0" applyNumberFormat="1" applyFont="1" applyFill="1" applyBorder="1"/>
    <xf numFmtId="4" fontId="4" fillId="0" borderId="7" xfId="0" applyNumberFormat="1" applyFont="1" applyFill="1" applyBorder="1"/>
    <xf numFmtId="4" fontId="4" fillId="0" borderId="49" xfId="0" applyNumberFormat="1" applyFont="1" applyFill="1" applyBorder="1"/>
    <xf numFmtId="42" fontId="9" fillId="0" borderId="20" xfId="0" applyNumberFormat="1" applyFont="1" applyFill="1" applyBorder="1"/>
    <xf numFmtId="44" fontId="3" fillId="17" borderId="35" xfId="2" applyFont="1" applyFill="1" applyBorder="1" applyAlignment="1"/>
    <xf numFmtId="3" fontId="10" fillId="0" borderId="5" xfId="0" applyNumberFormat="1" applyFont="1" applyBorder="1"/>
    <xf numFmtId="0" fontId="10" fillId="0" borderId="6" xfId="0" applyFont="1" applyBorder="1"/>
    <xf numFmtId="0" fontId="10" fillId="0" borderId="8" xfId="0" applyFont="1" applyBorder="1" applyAlignment="1">
      <alignment horizontal="center"/>
    </xf>
    <xf numFmtId="42" fontId="9" fillId="0" borderId="5" xfId="0" applyNumberFormat="1" applyFont="1" applyBorder="1"/>
    <xf numFmtId="0" fontId="10" fillId="0" borderId="81" xfId="0" applyFont="1" applyBorder="1"/>
    <xf numFmtId="42" fontId="10" fillId="0" borderId="85" xfId="0" applyNumberFormat="1" applyFont="1" applyBorder="1"/>
    <xf numFmtId="167" fontId="9" fillId="0" borderId="5" xfId="0" applyNumberFormat="1" applyFont="1" applyBorder="1"/>
    <xf numFmtId="0" fontId="10" fillId="0" borderId="82" xfId="0" applyFont="1" applyBorder="1"/>
    <xf numFmtId="42" fontId="10" fillId="0" borderId="86" xfId="0" applyNumberFormat="1" applyFont="1" applyBorder="1"/>
    <xf numFmtId="167" fontId="9" fillId="0" borderId="5" xfId="2" applyNumberFormat="1" applyFont="1" applyBorder="1"/>
    <xf numFmtId="44" fontId="9" fillId="0" borderId="0" xfId="2" applyFont="1" applyBorder="1"/>
    <xf numFmtId="44" fontId="9" fillId="0" borderId="5" xfId="2" applyFont="1" applyBorder="1"/>
    <xf numFmtId="10" fontId="9" fillId="0" borderId="0" xfId="0" applyNumberFormat="1" applyFont="1" applyFill="1" applyBorder="1"/>
    <xf numFmtId="44" fontId="9" fillId="0" borderId="0" xfId="2" applyFont="1" applyFill="1" applyBorder="1"/>
    <xf numFmtId="44" fontId="9" fillId="0" borderId="5" xfId="2" applyFont="1" applyFill="1" applyBorder="1"/>
    <xf numFmtId="3" fontId="10" fillId="0" borderId="0" xfId="0" applyNumberFormat="1" applyFont="1" applyFill="1" applyBorder="1"/>
    <xf numFmtId="44" fontId="3" fillId="0" borderId="0" xfId="2" applyFont="1" applyFill="1" applyBorder="1" applyAlignment="1"/>
    <xf numFmtId="172" fontId="0" fillId="0" borderId="53" xfId="0" applyNumberFormat="1" applyFill="1" applyBorder="1"/>
    <xf numFmtId="0" fontId="0" fillId="0" borderId="53" xfId="0" applyFill="1" applyBorder="1" applyAlignment="1">
      <alignment wrapText="1"/>
    </xf>
    <xf numFmtId="9" fontId="0" fillId="0" borderId="0" xfId="23" applyFont="1" applyFill="1"/>
    <xf numFmtId="0" fontId="68" fillId="0" borderId="0" xfId="0" applyFont="1" applyFill="1" applyAlignment="1">
      <alignment horizontal="center" wrapText="1"/>
    </xf>
    <xf numFmtId="0" fontId="68" fillId="0" borderId="0" xfId="0" applyFont="1" applyFill="1" applyAlignment="1">
      <alignment wrapText="1"/>
    </xf>
    <xf numFmtId="9" fontId="68" fillId="0" borderId="0" xfId="23" applyFont="1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10" fontId="0" fillId="0" borderId="53" xfId="23" applyNumberFormat="1" applyFont="1" applyFill="1" applyBorder="1" applyAlignment="1">
      <alignment horizontal="center"/>
    </xf>
    <xf numFmtId="10" fontId="0" fillId="0" borderId="53" xfId="6" applyNumberFormat="1" applyFont="1" applyFill="1" applyBorder="1" applyAlignment="1">
      <alignment horizontal="center"/>
    </xf>
    <xf numFmtId="0" fontId="0" fillId="0" borderId="53" xfId="0" applyFill="1" applyBorder="1" applyAlignment="1">
      <alignment horizontal="center" wrapText="1"/>
    </xf>
    <xf numFmtId="170" fontId="0" fillId="0" borderId="53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72" fontId="0" fillId="0" borderId="53" xfId="0" applyNumberFormat="1" applyFill="1" applyBorder="1" applyAlignment="1">
      <alignment horizontal="center"/>
    </xf>
    <xf numFmtId="170" fontId="0" fillId="0" borderId="5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9" fillId="0" borderId="0" xfId="0" applyFont="1"/>
    <xf numFmtId="10" fontId="0" fillId="0" borderId="0" xfId="0" applyNumberFormat="1" applyFill="1"/>
    <xf numFmtId="0" fontId="76" fillId="0" borderId="96" xfId="0" applyFont="1" applyBorder="1" applyAlignment="1">
      <alignment horizontal="center"/>
    </xf>
    <xf numFmtId="0" fontId="76" fillId="0" borderId="97" xfId="0" applyFont="1" applyBorder="1" applyAlignment="1">
      <alignment horizontal="center"/>
    </xf>
    <xf numFmtId="0" fontId="92" fillId="0" borderId="46" xfId="0" applyFont="1" applyFill="1" applyBorder="1" applyAlignment="1">
      <alignment horizontal="center"/>
    </xf>
    <xf numFmtId="167" fontId="94" fillId="34" borderId="20" xfId="22" applyNumberFormat="1" applyFont="1" applyFill="1" applyBorder="1" applyAlignment="1"/>
    <xf numFmtId="0" fontId="0" fillId="34" borderId="5" xfId="0" applyFont="1" applyFill="1" applyBorder="1" applyAlignment="1"/>
    <xf numFmtId="10" fontId="94" fillId="34" borderId="20" xfId="0" applyNumberFormat="1" applyFont="1" applyFill="1" applyBorder="1" applyAlignment="1"/>
    <xf numFmtId="0" fontId="0" fillId="34" borderId="5" xfId="0" applyFill="1" applyBorder="1" applyAlignment="1"/>
    <xf numFmtId="10" fontId="94" fillId="34" borderId="52" xfId="23" applyNumberFormat="1" applyFont="1" applyFill="1" applyBorder="1" applyAlignment="1"/>
    <xf numFmtId="0" fontId="0" fillId="34" borderId="13" xfId="0" applyFill="1" applyBorder="1" applyAlignment="1"/>
    <xf numFmtId="0" fontId="76" fillId="0" borderId="98" xfId="0" applyFont="1" applyBorder="1" applyAlignment="1">
      <alignment horizontal="center"/>
    </xf>
    <xf numFmtId="0" fontId="0" fillId="0" borderId="2" xfId="0" applyFill="1" applyBorder="1"/>
    <xf numFmtId="0" fontId="46" fillId="0" borderId="3" xfId="0" applyFont="1" applyFill="1" applyBorder="1" applyAlignment="1">
      <alignment horizontal="center" vertical="center"/>
    </xf>
    <xf numFmtId="10" fontId="94" fillId="34" borderId="20" xfId="23" applyNumberFormat="1" applyFont="1" applyFill="1" applyBorder="1" applyAlignment="1"/>
    <xf numFmtId="164" fontId="93" fillId="34" borderId="99" xfId="0" applyNumberFormat="1" applyFont="1" applyFill="1" applyBorder="1" applyAlignment="1"/>
    <xf numFmtId="0" fontId="93" fillId="34" borderId="100" xfId="0" applyFont="1" applyFill="1" applyBorder="1" applyAlignment="1"/>
    <xf numFmtId="0" fontId="93" fillId="34" borderId="101" xfId="0" applyFont="1" applyFill="1" applyBorder="1" applyAlignment="1"/>
    <xf numFmtId="0" fontId="93" fillId="34" borderId="102" xfId="0" applyFont="1" applyFill="1" applyBorder="1" applyAlignment="1"/>
    <xf numFmtId="172" fontId="64" fillId="0" borderId="53" xfId="0" applyNumberFormat="1" applyFont="1" applyBorder="1" applyAlignment="1">
      <alignment horizontal="center"/>
    </xf>
    <xf numFmtId="172" fontId="0" fillId="0" borderId="53" xfId="0" applyNumberFormat="1" applyFont="1" applyBorder="1" applyAlignment="1">
      <alignment horizontal="center"/>
    </xf>
    <xf numFmtId="0" fontId="64" fillId="0" borderId="53" xfId="0" applyFont="1" applyBorder="1" applyAlignment="1">
      <alignment horizontal="right"/>
    </xf>
    <xf numFmtId="172" fontId="0" fillId="0" borderId="53" xfId="22" applyNumberFormat="1" applyFont="1" applyBorder="1" applyAlignment="1">
      <alignment horizontal="center"/>
    </xf>
    <xf numFmtId="0" fontId="64" fillId="34" borderId="53" xfId="0" applyFont="1" applyFill="1" applyBorder="1" applyAlignment="1">
      <alignment horizontal="right"/>
    </xf>
    <xf numFmtId="172" fontId="64" fillId="34" borderId="53" xfId="0" applyNumberFormat="1" applyFont="1" applyFill="1" applyBorder="1" applyAlignment="1">
      <alignment horizontal="center"/>
    </xf>
    <xf numFmtId="0" fontId="90" fillId="32" borderId="53" xfId="0" applyFont="1" applyFill="1" applyBorder="1" applyAlignment="1">
      <alignment horizontal="right"/>
    </xf>
    <xf numFmtId="39" fontId="90" fillId="32" borderId="53" xfId="19" applyNumberFormat="1" applyFont="1" applyFill="1" applyBorder="1" applyAlignment="1">
      <alignment horizontal="center" vertical="center"/>
    </xf>
    <xf numFmtId="39" fontId="76" fillId="32" borderId="53" xfId="19" applyNumberFormat="1" applyFont="1" applyFill="1" applyBorder="1" applyAlignment="1">
      <alignment horizontal="center" vertical="center"/>
    </xf>
    <xf numFmtId="170" fontId="90" fillId="32" borderId="53" xfId="0" applyNumberFormat="1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44" fontId="0" fillId="0" borderId="0" xfId="1" applyFont="1"/>
    <xf numFmtId="0" fontId="89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42" fontId="9" fillId="0" borderId="0" xfId="0" applyNumberFormat="1" applyFont="1" applyFill="1" applyBorder="1" applyAlignment="1">
      <alignment horizontal="center" wrapText="1"/>
    </xf>
    <xf numFmtId="3" fontId="10" fillId="0" borderId="34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42" fontId="21" fillId="0" borderId="20" xfId="0" applyNumberFormat="1" applyFont="1" applyBorder="1"/>
    <xf numFmtId="44" fontId="20" fillId="0" borderId="20" xfId="0" applyNumberFormat="1" applyFont="1" applyBorder="1"/>
    <xf numFmtId="0" fontId="24" fillId="0" borderId="20" xfId="0" applyFont="1" applyBorder="1" applyAlignment="1">
      <alignment horizontal="center" wrapText="1"/>
    </xf>
    <xf numFmtId="0" fontId="10" fillId="0" borderId="81" xfId="0" applyFont="1" applyFill="1" applyBorder="1"/>
    <xf numFmtId="168" fontId="4" fillId="0" borderId="81" xfId="0" applyNumberFormat="1" applyFont="1" applyFill="1" applyBorder="1" applyAlignment="1"/>
    <xf numFmtId="10" fontId="4" fillId="0" borderId="0" xfId="1" applyNumberFormat="1" applyFont="1" applyFill="1" applyBorder="1" applyAlignment="1"/>
    <xf numFmtId="4" fontId="21" fillId="0" borderId="0" xfId="0" applyNumberFormat="1" applyFont="1" applyFill="1" applyBorder="1"/>
    <xf numFmtId="44" fontId="21" fillId="0" borderId="0" xfId="0" applyNumberFormat="1" applyFont="1" applyFill="1" applyBorder="1"/>
    <xf numFmtId="44" fontId="3" fillId="0" borderId="11" xfId="1" applyFont="1" applyFill="1" applyBorder="1" applyAlignment="1"/>
    <xf numFmtId="44" fontId="3" fillId="17" borderId="103" xfId="1" applyFont="1" applyFill="1" applyBorder="1" applyAlignment="1"/>
    <xf numFmtId="167" fontId="10" fillId="17" borderId="35" xfId="0" applyNumberFormat="1" applyFont="1" applyFill="1" applyBorder="1"/>
    <xf numFmtId="44" fontId="3" fillId="0" borderId="85" xfId="1" applyFont="1" applyFill="1" applyBorder="1" applyAlignment="1"/>
    <xf numFmtId="0" fontId="10" fillId="0" borderId="49" xfId="0" applyFont="1" applyFill="1" applyBorder="1"/>
    <xf numFmtId="0" fontId="10" fillId="0" borderId="11" xfId="0" applyFont="1" applyFill="1" applyBorder="1" applyAlignment="1">
      <alignment horizontal="center"/>
    </xf>
    <xf numFmtId="10" fontId="10" fillId="0" borderId="11" xfId="0" applyNumberFormat="1" applyFont="1" applyFill="1" applyBorder="1"/>
    <xf numFmtId="44" fontId="10" fillId="0" borderId="11" xfId="1" applyFont="1" applyFill="1" applyBorder="1"/>
    <xf numFmtId="0" fontId="10" fillId="0" borderId="87" xfId="0" applyFont="1" applyFill="1" applyBorder="1"/>
    <xf numFmtId="0" fontId="10" fillId="0" borderId="88" xfId="0" applyFont="1" applyFill="1" applyBorder="1" applyAlignment="1">
      <alignment horizontal="center"/>
    </xf>
    <xf numFmtId="10" fontId="10" fillId="0" borderId="88" xfId="0" applyNumberFormat="1" applyFont="1" applyFill="1" applyBorder="1"/>
    <xf numFmtId="44" fontId="3" fillId="0" borderId="88" xfId="1" applyFont="1" applyFill="1" applyBorder="1" applyAlignment="1"/>
    <xf numFmtId="167" fontId="3" fillId="0" borderId="78" xfId="1" applyNumberFormat="1" applyFont="1" applyFill="1" applyBorder="1"/>
    <xf numFmtId="167" fontId="3" fillId="17" borderId="88" xfId="1" applyNumberFormat="1" applyFont="1" applyFill="1" applyBorder="1" applyAlignment="1"/>
    <xf numFmtId="44" fontId="3" fillId="17" borderId="78" xfId="1" applyFont="1" applyFill="1" applyBorder="1" applyAlignment="1"/>
    <xf numFmtId="0" fontId="10" fillId="0" borderId="83" xfId="0" applyFont="1" applyFill="1" applyBorder="1"/>
    <xf numFmtId="0" fontId="10" fillId="0" borderId="84" xfId="0" applyFont="1" applyFill="1" applyBorder="1" applyAlignment="1">
      <alignment horizontal="center"/>
    </xf>
    <xf numFmtId="10" fontId="10" fillId="0" borderId="84" xfId="0" applyNumberFormat="1" applyFont="1" applyFill="1" applyBorder="1"/>
    <xf numFmtId="44" fontId="10" fillId="0" borderId="35" xfId="0" applyNumberFormat="1" applyFont="1" applyFill="1" applyBorder="1"/>
    <xf numFmtId="44" fontId="10" fillId="0" borderId="35" xfId="1" applyFont="1" applyFill="1" applyBorder="1"/>
    <xf numFmtId="44" fontId="57" fillId="0" borderId="35" xfId="0" applyNumberFormat="1" applyFont="1" applyFill="1" applyBorder="1"/>
    <xf numFmtId="44" fontId="3" fillId="0" borderId="35" xfId="0" applyNumberFormat="1" applyFont="1" applyFill="1" applyBorder="1"/>
    <xf numFmtId="44" fontId="3" fillId="0" borderId="95" xfId="0" applyNumberFormat="1" applyFont="1" applyFill="1" applyBorder="1"/>
    <xf numFmtId="0" fontId="20" fillId="0" borderId="84" xfId="0" applyFont="1" applyBorder="1"/>
    <xf numFmtId="44" fontId="3" fillId="0" borderId="1" xfId="1" applyFont="1" applyFill="1" applyBorder="1" applyAlignment="1"/>
    <xf numFmtId="0" fontId="10" fillId="0" borderId="9" xfId="0" applyFont="1" applyFill="1" applyBorder="1"/>
    <xf numFmtId="44" fontId="3" fillId="0" borderId="104" xfId="1" applyFont="1" applyFill="1" applyBorder="1" applyAlignment="1"/>
    <xf numFmtId="44" fontId="4" fillId="0" borderId="84" xfId="1" applyFont="1" applyBorder="1" applyAlignment="1"/>
    <xf numFmtId="44" fontId="10" fillId="0" borderId="36" xfId="1" applyFont="1" applyFill="1" applyBorder="1"/>
    <xf numFmtId="44" fontId="3" fillId="0" borderId="36" xfId="1" applyFont="1" applyFill="1" applyBorder="1" applyAlignment="1"/>
    <xf numFmtId="44" fontId="3" fillId="0" borderId="40" xfId="1" applyFont="1" applyFill="1" applyBorder="1" applyAlignment="1"/>
    <xf numFmtId="44" fontId="3" fillId="0" borderId="19" xfId="1" applyFont="1" applyFill="1" applyBorder="1" applyAlignment="1"/>
    <xf numFmtId="44" fontId="58" fillId="0" borderId="84" xfId="1" applyFont="1" applyFill="1" applyBorder="1" applyAlignment="1"/>
    <xf numFmtId="44" fontId="4" fillId="0" borderId="49" xfId="1" applyFont="1" applyFill="1" applyBorder="1" applyAlignment="1"/>
    <xf numFmtId="44" fontId="9" fillId="0" borderId="84" xfId="2" applyFont="1" applyFill="1" applyBorder="1"/>
    <xf numFmtId="44" fontId="20" fillId="0" borderId="93" xfId="1" applyFont="1" applyFill="1" applyBorder="1"/>
    <xf numFmtId="10" fontId="20" fillId="0" borderId="84" xfId="6" applyNumberFormat="1" applyFont="1" applyBorder="1"/>
    <xf numFmtId="44" fontId="20" fillId="0" borderId="42" xfId="1" applyFont="1" applyFill="1" applyBorder="1"/>
    <xf numFmtId="44" fontId="10" fillId="17" borderId="38" xfId="1" applyFont="1" applyFill="1" applyBorder="1"/>
    <xf numFmtId="10" fontId="20" fillId="0" borderId="10" xfId="6" applyNumberFormat="1" applyFont="1" applyBorder="1"/>
    <xf numFmtId="44" fontId="20" fillId="0" borderId="53" xfId="1" applyFont="1" applyFill="1" applyBorder="1"/>
    <xf numFmtId="44" fontId="4" fillId="0" borderId="1" xfId="2" applyFont="1" applyFill="1" applyBorder="1" applyAlignment="1"/>
    <xf numFmtId="44" fontId="3" fillId="0" borderId="40" xfId="2" applyFont="1" applyFill="1" applyBorder="1" applyAlignment="1"/>
    <xf numFmtId="44" fontId="4" fillId="0" borderId="84" xfId="2" applyFont="1" applyFill="1" applyBorder="1" applyAlignment="1"/>
    <xf numFmtId="170" fontId="10" fillId="17" borderId="35" xfId="0" applyNumberFormat="1" applyFont="1" applyFill="1" applyBorder="1" applyAlignment="1">
      <alignment horizontal="center"/>
    </xf>
    <xf numFmtId="0" fontId="56" fillId="0" borderId="36" xfId="0" applyFont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167" fontId="10" fillId="0" borderId="35" xfId="1" applyNumberFormat="1" applyFont="1" applyFill="1" applyBorder="1"/>
    <xf numFmtId="167" fontId="10" fillId="0" borderId="93" xfId="1" applyNumberFormat="1" applyFont="1" applyFill="1" applyBorder="1"/>
    <xf numFmtId="0" fontId="54" fillId="34" borderId="90" xfId="0" applyFont="1" applyFill="1" applyBorder="1" applyAlignment="1">
      <alignment horizontal="left"/>
    </xf>
    <xf numFmtId="0" fontId="54" fillId="34" borderId="90" xfId="0" applyFont="1" applyFill="1" applyBorder="1"/>
    <xf numFmtId="0" fontId="3" fillId="0" borderId="10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3" fillId="9" borderId="12" xfId="10" applyFont="1" applyFill="1" applyBorder="1" applyAlignment="1">
      <alignment horizontal="left"/>
    </xf>
    <xf numFmtId="0" fontId="53" fillId="9" borderId="3" xfId="10" applyFont="1" applyFill="1" applyBorder="1" applyAlignment="1">
      <alignment horizontal="left"/>
    </xf>
    <xf numFmtId="0" fontId="4" fillId="0" borderId="0" xfId="10" applyAlignment="1">
      <alignment horizontal="center" wrapText="1"/>
    </xf>
    <xf numFmtId="0" fontId="83" fillId="0" borderId="69" xfId="4" quotePrefix="1" applyFont="1" applyBorder="1" applyAlignment="1">
      <alignment horizontal="center"/>
    </xf>
    <xf numFmtId="0" fontId="83" fillId="0" borderId="69" xfId="4" applyFont="1" applyBorder="1" applyAlignment="1">
      <alignment horizontal="center"/>
    </xf>
    <xf numFmtId="0" fontId="83" fillId="0" borderId="67" xfId="4" applyFont="1" applyBorder="1" applyAlignment="1">
      <alignment horizontal="center"/>
    </xf>
    <xf numFmtId="5" fontId="82" fillId="0" borderId="74" xfId="4" applyNumberFormat="1" applyFont="1" applyBorder="1" applyAlignment="1">
      <alignment horizontal="right"/>
    </xf>
    <xf numFmtId="5" fontId="82" fillId="0" borderId="65" xfId="4" applyNumberFormat="1" applyFont="1" applyBorder="1" applyAlignment="1">
      <alignment horizontal="right"/>
    </xf>
    <xf numFmtId="5" fontId="82" fillId="0" borderId="66" xfId="4" applyNumberFormat="1" applyFont="1" applyBorder="1" applyAlignment="1">
      <alignment horizontal="right"/>
    </xf>
    <xf numFmtId="0" fontId="68" fillId="0" borderId="0" xfId="0" applyFont="1" applyAlignment="1">
      <alignment horizontal="left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 wrapText="1"/>
    </xf>
    <xf numFmtId="0" fontId="10" fillId="19" borderId="10" xfId="0" applyFont="1" applyFill="1" applyBorder="1" applyAlignment="1">
      <alignment horizontal="center"/>
    </xf>
    <xf numFmtId="5" fontId="77" fillId="0" borderId="74" xfId="4" applyNumberFormat="1" applyFont="1" applyBorder="1" applyAlignment="1">
      <alignment horizontal="right"/>
    </xf>
    <xf numFmtId="5" fontId="77" fillId="0" borderId="65" xfId="4" applyNumberFormat="1" applyFont="1" applyBorder="1" applyAlignment="1">
      <alignment horizontal="right"/>
    </xf>
    <xf numFmtId="5" fontId="77" fillId="0" borderId="66" xfId="4" applyNumberFormat="1" applyFont="1" applyBorder="1" applyAlignment="1">
      <alignment horizontal="right"/>
    </xf>
    <xf numFmtId="0" fontId="77" fillId="0" borderId="2" xfId="4" applyFont="1" applyFill="1" applyBorder="1" applyAlignment="1">
      <alignment horizontal="left"/>
    </xf>
    <xf numFmtId="0" fontId="77" fillId="0" borderId="9" xfId="4" applyFont="1" applyFill="1" applyBorder="1" applyAlignment="1">
      <alignment horizontal="left"/>
    </xf>
    <xf numFmtId="0" fontId="77" fillId="0" borderId="36" xfId="4" applyFont="1" applyFill="1" applyBorder="1" applyAlignment="1">
      <alignment horizontal="center" wrapText="1"/>
    </xf>
    <xf numFmtId="0" fontId="77" fillId="0" borderId="38" xfId="4" applyFont="1" applyFill="1" applyBorder="1" applyAlignment="1">
      <alignment horizontal="center" wrapText="1"/>
    </xf>
    <xf numFmtId="0" fontId="90" fillId="32" borderId="83" xfId="0" applyFont="1" applyFill="1" applyBorder="1" applyAlignment="1">
      <alignment horizontal="center"/>
    </xf>
    <xf numFmtId="0" fontId="90" fillId="32" borderId="84" xfId="0" applyFont="1" applyFill="1" applyBorder="1" applyAlignment="1">
      <alignment horizontal="center"/>
    </xf>
    <xf numFmtId="0" fontId="90" fillId="32" borderId="78" xfId="0" applyFont="1" applyFill="1" applyBorder="1" applyAlignment="1">
      <alignment horizontal="center"/>
    </xf>
    <xf numFmtId="0" fontId="91" fillId="35" borderId="83" xfId="0" applyFont="1" applyFill="1" applyBorder="1" applyAlignment="1">
      <alignment horizontal="center" vertical="center"/>
    </xf>
    <xf numFmtId="0" fontId="91" fillId="35" borderId="84" xfId="0" applyFont="1" applyFill="1" applyBorder="1" applyAlignment="1">
      <alignment horizontal="center" vertical="center"/>
    </xf>
    <xf numFmtId="0" fontId="91" fillId="35" borderId="78" xfId="0" applyFont="1" applyFill="1" applyBorder="1" applyAlignment="1">
      <alignment horizontal="center" vertical="center"/>
    </xf>
    <xf numFmtId="0" fontId="92" fillId="33" borderId="83" xfId="0" applyFont="1" applyFill="1" applyBorder="1" applyAlignment="1">
      <alignment horizontal="center"/>
    </xf>
    <xf numFmtId="0" fontId="92" fillId="33" borderId="84" xfId="0" applyFont="1" applyFill="1" applyBorder="1" applyAlignment="1">
      <alignment horizontal="center"/>
    </xf>
    <xf numFmtId="0" fontId="92" fillId="33" borderId="7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wrapText="1"/>
    </xf>
    <xf numFmtId="0" fontId="10" fillId="20" borderId="52" xfId="0" applyFont="1" applyFill="1" applyBorder="1" applyAlignment="1">
      <alignment horizontal="center" wrapText="1"/>
    </xf>
    <xf numFmtId="0" fontId="10" fillId="20" borderId="0" xfId="0" applyFont="1" applyFill="1" applyBorder="1" applyAlignment="1">
      <alignment horizontal="center" wrapText="1"/>
    </xf>
    <xf numFmtId="0" fontId="10" fillId="20" borderId="10" xfId="0" applyFont="1" applyFill="1" applyBorder="1" applyAlignment="1">
      <alignment horizontal="center" wrapText="1"/>
    </xf>
    <xf numFmtId="0" fontId="10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>
      <alignment horizontal="center" vertical="center"/>
    </xf>
    <xf numFmtId="0" fontId="10" fillId="23" borderId="10" xfId="0" applyFont="1" applyFill="1" applyBorder="1" applyAlignment="1">
      <alignment horizontal="center" vertical="center"/>
    </xf>
    <xf numFmtId="0" fontId="10" fillId="23" borderId="10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wrapText="1"/>
    </xf>
    <xf numFmtId="0" fontId="10" fillId="19" borderId="10" xfId="0" applyFont="1" applyFill="1" applyBorder="1" applyAlignment="1">
      <alignment horizontal="center" wrapText="1"/>
    </xf>
    <xf numFmtId="0" fontId="10" fillId="20" borderId="12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 wrapText="1"/>
    </xf>
    <xf numFmtId="0" fontId="10" fillId="19" borderId="1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/>
    </xf>
    <xf numFmtId="0" fontId="21" fillId="23" borderId="0" xfId="0" applyFont="1" applyFill="1" applyBorder="1" applyAlignment="1">
      <alignment horizontal="center" vertical="center"/>
    </xf>
    <xf numFmtId="0" fontId="21" fillId="23" borderId="10" xfId="0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horizontal="center" vertical="center" wrapText="1"/>
    </xf>
    <xf numFmtId="0" fontId="21" fillId="23" borderId="12" xfId="0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center" vertical="center"/>
    </xf>
    <xf numFmtId="0" fontId="10" fillId="20" borderId="19" xfId="0" applyFont="1" applyFill="1" applyBorder="1" applyAlignment="1">
      <alignment horizontal="center" wrapText="1"/>
    </xf>
    <xf numFmtId="0" fontId="10" fillId="25" borderId="12" xfId="0" quotePrefix="1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5" borderId="1" xfId="0" quotePrefix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/>
    </xf>
    <xf numFmtId="0" fontId="10" fillId="11" borderId="0" xfId="0" applyFont="1" applyFill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1" fillId="4" borderId="83" xfId="0" applyFont="1" applyFill="1" applyBorder="1" applyAlignment="1">
      <alignment horizontal="center"/>
    </xf>
    <xf numFmtId="0" fontId="21" fillId="4" borderId="84" xfId="0" applyFont="1" applyFill="1" applyBorder="1" applyAlignment="1">
      <alignment horizontal="center"/>
    </xf>
    <xf numFmtId="0" fontId="21" fillId="4" borderId="7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7" fillId="19" borderId="0" xfId="0" applyFont="1" applyFill="1" applyBorder="1" applyAlignment="1">
      <alignment horizontal="center" wrapText="1"/>
    </xf>
    <xf numFmtId="0" fontId="57" fillId="19" borderId="10" xfId="0" applyFont="1" applyFill="1" applyBorder="1" applyAlignment="1">
      <alignment horizontal="center"/>
    </xf>
    <xf numFmtId="0" fontId="10" fillId="4" borderId="8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54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center" wrapText="1"/>
    </xf>
    <xf numFmtId="0" fontId="3" fillId="24" borderId="17" xfId="0" applyFont="1" applyFill="1" applyBorder="1" applyAlignment="1">
      <alignment horizontal="center" wrapText="1"/>
    </xf>
    <xf numFmtId="0" fontId="3" fillId="24" borderId="0" xfId="0" applyFont="1" applyFill="1" applyBorder="1" applyAlignment="1">
      <alignment horizontal="center" wrapText="1"/>
    </xf>
    <xf numFmtId="0" fontId="3" fillId="24" borderId="54" xfId="0" applyFont="1" applyFill="1" applyBorder="1" applyAlignment="1">
      <alignment horizontal="center" wrapText="1"/>
    </xf>
    <xf numFmtId="0" fontId="3" fillId="24" borderId="10" xfId="0" applyFont="1" applyFill="1" applyBorder="1" applyAlignment="1">
      <alignment horizontal="center" wrapText="1"/>
    </xf>
    <xf numFmtId="0" fontId="10" fillId="4" borderId="84" xfId="0" applyFont="1" applyFill="1" applyBorder="1" applyAlignment="1">
      <alignment horizontal="center"/>
    </xf>
    <xf numFmtId="0" fontId="10" fillId="4" borderId="78" xfId="0" applyFont="1" applyFill="1" applyBorder="1" applyAlignment="1">
      <alignment horizontal="center"/>
    </xf>
  </cellXfs>
  <cellStyles count="24">
    <cellStyle name="Comma" xfId="19" builtinId="3"/>
    <cellStyle name="Currency" xfId="1" builtinId="4"/>
    <cellStyle name="Currency 2" xfId="2"/>
    <cellStyle name="Currency 3" xfId="3"/>
    <cellStyle name="Currency 4" xfId="21"/>
    <cellStyle name="Currency 5" xfId="22"/>
    <cellStyle name="Normal" xfId="0" builtinId="0"/>
    <cellStyle name="Normal 2" xfId="4"/>
    <cellStyle name="Normal 2 2" xfId="12"/>
    <cellStyle name="Normal 2 3" xfId="15"/>
    <cellStyle name="Normal 3" xfId="5"/>
    <cellStyle name="Normal 4" xfId="9"/>
    <cellStyle name="Normal 4 2" xfId="10"/>
    <cellStyle name="Normal 5" xfId="13"/>
    <cellStyle name="Normal 5 2" xfId="16"/>
    <cellStyle name="Normal 6" xfId="17"/>
    <cellStyle name="Normal_CAF Spring 2015" xfId="20"/>
    <cellStyle name="Note 2" xfId="18"/>
    <cellStyle name="Percent" xfId="6" builtinId="5"/>
    <cellStyle name="Percent 2" xfId="7"/>
    <cellStyle name="Percent 2 2" xfId="14"/>
    <cellStyle name="Percent 3" xfId="8"/>
    <cellStyle name="Percent 4" xfId="11"/>
    <cellStyle name="Percent 5" xfId="23"/>
  </cellStyles>
  <dxfs count="0"/>
  <tableStyles count="0" defaultTableStyle="TableStyleMedium9" defaultPivotStyle="PivotStyleLight16"/>
  <colors>
    <mruColors>
      <color rgb="FFFFFF00"/>
      <color rgb="FFC0E399"/>
      <color rgb="FF99FF99"/>
      <color rgb="FF0066CC"/>
      <color rgb="FFFFFFCC"/>
      <color rgb="FFFFFF99"/>
      <color rgb="FFFFE4C9"/>
      <color rgb="FFFAD2D2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1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304807</xdr:colOff>
      <xdr:row>52</xdr:row>
      <xdr:rowOff>98614</xdr:rowOff>
    </xdr:from>
    <xdr:to>
      <xdr:col>12</xdr:col>
      <xdr:colOff>618573</xdr:colOff>
      <xdr:row>65</xdr:row>
      <xdr:rowOff>100988</xdr:rowOff>
    </xdr:to>
    <xdr:sp macro="" textlink="">
      <xdr:nvSpPr>
        <xdr:cNvPr id="2" name="TextBox 1"/>
        <xdr:cNvSpPr txBox="1"/>
      </xdr:nvSpPr>
      <xdr:spPr>
        <a:xfrm>
          <a:off x="6924108" y="8930469"/>
          <a:ext cx="5216272" cy="21598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Rate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review CAF applied to previous rate: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2.04% increase, or $11.04</a:t>
          </a:r>
          <a:endParaRPr lang="en-US" sz="1100">
            <a:latin typeface="Calibri"/>
          </a:endParaRP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latin typeface="Calibri"/>
            </a:rPr>
            <a:t>• Nursing increased to 1</a:t>
          </a:r>
          <a:r>
            <a:rPr lang="en-US" sz="1100" baseline="0">
              <a:latin typeface="Calibri"/>
            </a:rPr>
            <a:t> nurse on at all times. For co-located programs, nurse on overnight shift is shared. 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Relief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added for nursing.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increase from added nursing: $19.41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Peer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mentor added, 1 FTE, salary benchmarked to Direct Care Staff: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$8.89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Administrative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allocation adjusted to match other Caring Together models: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$12.66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Tax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Fringe brought from 26% to 23.42%, consistent with CIRT. 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-$11.19</a:t>
          </a: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Monthly accommodation rate calculated for reference. 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increase $40.81 / 7.5%</a:t>
          </a:r>
        </a:p>
        <a:p>
          <a:endParaRPr lang="en-US" sz="1100"/>
        </a:p>
      </xdr:txBody>
    </xdr:sp>
    <xdr:clientData/>
  </xdr:twoCellAnchor>
  <xdr:twoCellAnchor>
    <xdr:from>
      <xdr:col>14</xdr:col>
      <xdr:colOff>340034</xdr:colOff>
      <xdr:row>52</xdr:row>
      <xdr:rowOff>94771</xdr:rowOff>
    </xdr:from>
    <xdr:to>
      <xdr:col>19</xdr:col>
      <xdr:colOff>666605</xdr:colOff>
      <xdr:row>65</xdr:row>
      <xdr:rowOff>82626</xdr:rowOff>
    </xdr:to>
    <xdr:sp macro="" textlink="">
      <xdr:nvSpPr>
        <xdr:cNvPr id="4" name="TextBox 3"/>
        <xdr:cNvSpPr txBox="1"/>
      </xdr:nvSpPr>
      <xdr:spPr>
        <a:xfrm>
          <a:off x="13367480" y="8926626"/>
          <a:ext cx="5229077" cy="214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0"/>
            </a:spcBef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All changes as in co-located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except for sharing of overnight nurse. </a:t>
          </a:r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endParaRPr lang="en-US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Bef>
              <a:spcPts val="0"/>
            </a:spcBef>
            <a:spcAft>
              <a:spcPts val="300"/>
            </a:spcAft>
          </a:pP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increase $56.07 / 10.3%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Blended%20-%20STARR-G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Nutrition%20revenue_updated_01_11_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YITS%20Spring%202011%20CAF%20calc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DMH%20continuum%20FY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DCF%20follow%20along%20FY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Outliers%20FY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Unnamed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3%20Projects/Youth%20Intermediate%20Term%20Stabilization/DCF%20DMH%20joint%20procurement/Rate%20Development/All%20Rates%20through%20FY14/Analysis%2001%20-%20IRTP%20FY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3%20Projects/Youth%20Intermediate%20Term%20Stabilization/DCF%20DMH%20joint%20procurement/Rate%20Development/All%20Rates%20through%20FY14/YITS%20Spring%202011%20CAF%20cal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outh%20Intermediate%20DCF-DMH/4.%20Post-Hearing/Final%20Post%20PH%202016%20CT%20models%20and%20fiscal%20impac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CIRT%20FY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outh%20Intermediate%20DCF-DMH/July%202016/5.%20Final%20Documents/Caring%20Together%202016%20review%20pre-PH%20model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STARR%20FY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Teen%20FY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POS\Year%203%20Projects\Youth%20Intermediate%20Term%20Stabilization\DCF%20DMH%20joint%20procurement\Rate%20Development\All%20Rates%20through%20FY14\Analysis%20-%20Group%20Home%20FY1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ate Options-STARR"/>
      <sheetName val="Rate Options-GH"/>
      <sheetName val="data"/>
    </sheetNames>
    <sheetDataSet>
      <sheetData sheetId="0" refreshError="1">
        <row r="4">
          <cell r="C4">
            <v>52305.406251052875</v>
          </cell>
        </row>
        <row r="11">
          <cell r="C11">
            <v>42189.221412467887</v>
          </cell>
        </row>
        <row r="12">
          <cell r="C12">
            <v>36304.547622226877</v>
          </cell>
        </row>
        <row r="18">
          <cell r="C18">
            <v>0.23424901786252411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6">
          <cell r="F26">
            <v>1.9951315068493152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2011 CPI"/>
    </sheetNames>
    <sheetDataSet>
      <sheetData sheetId="0" refreshError="1">
        <row r="28">
          <cell r="J28">
            <v>5.3904190379097106E-2</v>
          </cell>
        </row>
        <row r="37">
          <cell r="J37">
            <v>2.4800378941670066E-2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ended rates"/>
      <sheetName val="Rate Options"/>
      <sheetName val="Avg Expenses"/>
      <sheetName val="Avg Salaries"/>
      <sheetName val="Per Unit Expenses"/>
      <sheetName val="Per Unit FTE, Sal"/>
      <sheetName val="Transportation"/>
      <sheetName val="Rate Comparisons"/>
    </sheetNames>
    <sheetDataSet>
      <sheetData sheetId="0" refreshError="1"/>
      <sheetData sheetId="1">
        <row r="31">
          <cell r="I31">
            <v>30</v>
          </cell>
        </row>
        <row r="32">
          <cell r="I32">
            <v>2</v>
          </cell>
          <cell r="K32">
            <v>1.75</v>
          </cell>
          <cell r="L32">
            <v>1.75</v>
          </cell>
        </row>
        <row r="34">
          <cell r="I34">
            <v>0.1</v>
          </cell>
          <cell r="K34">
            <v>0.1</v>
          </cell>
        </row>
        <row r="35">
          <cell r="K35">
            <v>0.25</v>
          </cell>
          <cell r="L35">
            <v>0.25</v>
          </cell>
        </row>
        <row r="36">
          <cell r="I36">
            <v>0.5</v>
          </cell>
          <cell r="K36">
            <v>0.5</v>
          </cell>
        </row>
        <row r="37">
          <cell r="I37">
            <v>1</v>
          </cell>
          <cell r="K37">
            <v>1</v>
          </cell>
          <cell r="L37">
            <v>0.5</v>
          </cell>
        </row>
        <row r="39">
          <cell r="I39">
            <v>1</v>
          </cell>
        </row>
        <row r="40">
          <cell r="I40">
            <v>4</v>
          </cell>
          <cell r="K40">
            <v>0.5</v>
          </cell>
          <cell r="L40">
            <v>1</v>
          </cell>
        </row>
        <row r="41">
          <cell r="I41">
            <v>6.5</v>
          </cell>
          <cell r="K41">
            <v>13.2</v>
          </cell>
          <cell r="L41">
            <v>11.2</v>
          </cell>
        </row>
        <row r="44">
          <cell r="I44">
            <v>0.5</v>
          </cell>
          <cell r="K44">
            <v>0.25</v>
          </cell>
          <cell r="L44">
            <v>0.25</v>
          </cell>
        </row>
      </sheetData>
      <sheetData sheetId="2">
        <row r="5">
          <cell r="H5">
            <v>3.7124163293056029</v>
          </cell>
        </row>
        <row r="12">
          <cell r="H12">
            <v>4.6569748756142024</v>
          </cell>
        </row>
      </sheetData>
      <sheetData sheetId="3">
        <row r="37">
          <cell r="L37">
            <v>35000</v>
          </cell>
        </row>
        <row r="44">
          <cell r="J44">
            <v>34963.132790158103</v>
          </cell>
        </row>
      </sheetData>
      <sheetData sheetId="4" refreshError="1"/>
      <sheetData sheetId="5" refreshError="1"/>
      <sheetData sheetId="6">
        <row r="18">
          <cell r="D18">
            <v>0.58323919752799014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 v4"/>
      <sheetName val="Rates v3"/>
      <sheetName val="Rates v2"/>
      <sheetName val="Rate Options"/>
      <sheetName val="Avg Expenses"/>
      <sheetName val="Avg Salaries"/>
      <sheetName val="Per Unit Expenses"/>
      <sheetName val="Per Unit FTE, Sal"/>
      <sheetName val="Rates from data"/>
      <sheetName val="Rate Comparisons"/>
      <sheetName val="Cap sensitivity"/>
    </sheetNames>
    <sheetDataSet>
      <sheetData sheetId="0" refreshError="1">
        <row r="31">
          <cell r="D31">
            <v>8.65</v>
          </cell>
        </row>
        <row r="42">
          <cell r="C42">
            <v>3</v>
          </cell>
          <cell r="G42">
            <v>6</v>
          </cell>
        </row>
        <row r="43">
          <cell r="C43">
            <v>0.25</v>
          </cell>
          <cell r="G43">
            <v>0.25</v>
          </cell>
        </row>
        <row r="45">
          <cell r="C45">
            <v>0.25</v>
          </cell>
        </row>
        <row r="47">
          <cell r="G47">
            <v>0.6</v>
          </cell>
        </row>
        <row r="48">
          <cell r="C48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UFR data"/>
      <sheetName val="nursing add-on"/>
      <sheetName val="Community Care"/>
      <sheetName val="Farr"/>
      <sheetName val="HLW"/>
      <sheetName val="Seven Hills"/>
      <sheetName val="Sullivan"/>
      <sheetName val="Sunshine Haven"/>
      <sheetName val="TAY"/>
      <sheetName val="MedIntense"/>
    </sheetNames>
    <sheetDataSet>
      <sheetData sheetId="0" refreshError="1"/>
      <sheetData sheetId="1" refreshError="1"/>
      <sheetData sheetId="2" refreshError="1"/>
      <sheetData sheetId="3" refreshError="1">
        <row r="18">
          <cell r="J18">
            <v>12</v>
          </cell>
        </row>
        <row r="21">
          <cell r="J21">
            <v>1</v>
          </cell>
        </row>
        <row r="22">
          <cell r="J22">
            <v>1.5</v>
          </cell>
        </row>
      </sheetData>
      <sheetData sheetId="4" refreshError="1">
        <row r="14">
          <cell r="J14">
            <v>45651.333333333336</v>
          </cell>
        </row>
        <row r="21">
          <cell r="J21">
            <v>1</v>
          </cell>
        </row>
        <row r="22">
          <cell r="J22">
            <v>1.5</v>
          </cell>
        </row>
      </sheetData>
      <sheetData sheetId="5" refreshError="1">
        <row r="12">
          <cell r="J12">
            <v>63307.44</v>
          </cell>
        </row>
        <row r="17">
          <cell r="J17">
            <v>33653.709923664122</v>
          </cell>
        </row>
        <row r="18">
          <cell r="J18">
            <v>33653.709923664122</v>
          </cell>
        </row>
        <row r="22">
          <cell r="J22">
            <v>9</v>
          </cell>
        </row>
        <row r="24">
          <cell r="J24">
            <v>0.75</v>
          </cell>
        </row>
        <row r="26">
          <cell r="J26">
            <v>0.01</v>
          </cell>
        </row>
        <row r="27">
          <cell r="J27">
            <v>0.75</v>
          </cell>
        </row>
        <row r="29">
          <cell r="J29">
            <v>1.31</v>
          </cell>
        </row>
        <row r="33">
          <cell r="J33">
            <v>0.24750786150354007</v>
          </cell>
        </row>
        <row r="35">
          <cell r="J35">
            <v>21.133942161339423</v>
          </cell>
        </row>
        <row r="36">
          <cell r="J36">
            <v>55.383257229832573</v>
          </cell>
        </row>
        <row r="39">
          <cell r="J39">
            <v>0.12259413417832843</v>
          </cell>
        </row>
      </sheetData>
      <sheetData sheetId="6" refreshError="1">
        <row r="15">
          <cell r="J15">
            <v>52083.333333333336</v>
          </cell>
        </row>
        <row r="23">
          <cell r="J23">
            <v>6</v>
          </cell>
        </row>
        <row r="25">
          <cell r="J25">
            <v>1.4299999999999997</v>
          </cell>
        </row>
        <row r="27">
          <cell r="J27">
            <v>0.13</v>
          </cell>
        </row>
        <row r="28">
          <cell r="J28">
            <v>0.12</v>
          </cell>
        </row>
        <row r="30">
          <cell r="J30">
            <v>1.2</v>
          </cell>
        </row>
        <row r="31">
          <cell r="J31">
            <v>8.5</v>
          </cell>
        </row>
        <row r="37">
          <cell r="J37">
            <v>12000</v>
          </cell>
        </row>
      </sheetData>
      <sheetData sheetId="7" refreshError="1">
        <row r="22">
          <cell r="J22">
            <v>1</v>
          </cell>
        </row>
        <row r="26">
          <cell r="J26">
            <v>6.6666666666666666E-2</v>
          </cell>
        </row>
        <row r="27">
          <cell r="J27">
            <v>7.0000000000000001E-3</v>
          </cell>
        </row>
      </sheetData>
      <sheetData sheetId="8" refreshError="1">
        <row r="15">
          <cell r="J15">
            <v>48830</v>
          </cell>
        </row>
        <row r="25">
          <cell r="J25">
            <v>9</v>
          </cell>
        </row>
        <row r="27">
          <cell r="J27">
            <v>1</v>
          </cell>
        </row>
        <row r="29">
          <cell r="J29">
            <v>1</v>
          </cell>
        </row>
        <row r="30">
          <cell r="J30">
            <v>1</v>
          </cell>
        </row>
        <row r="32">
          <cell r="J32">
            <v>0.75</v>
          </cell>
        </row>
        <row r="36">
          <cell r="J36">
            <v>0.5</v>
          </cell>
        </row>
        <row r="42">
          <cell r="J42">
            <v>28.019373776908022</v>
          </cell>
        </row>
      </sheetData>
      <sheetData sheetId="9" refreshError="1">
        <row r="28">
          <cell r="J28">
            <v>20</v>
          </cell>
          <cell r="K28">
            <v>11</v>
          </cell>
        </row>
        <row r="30">
          <cell r="J30">
            <v>1</v>
          </cell>
          <cell r="K30">
            <v>1.75</v>
          </cell>
        </row>
        <row r="32">
          <cell r="J32">
            <v>0.05</v>
          </cell>
          <cell r="K32">
            <v>0.05</v>
          </cell>
        </row>
        <row r="33">
          <cell r="J33">
            <v>0.1</v>
          </cell>
          <cell r="K33">
            <v>0.25</v>
          </cell>
        </row>
        <row r="34">
          <cell r="K34">
            <v>0.5</v>
          </cell>
        </row>
        <row r="35">
          <cell r="J35">
            <v>1</v>
          </cell>
          <cell r="K35">
            <v>1</v>
          </cell>
        </row>
        <row r="37">
          <cell r="J37">
            <v>1</v>
          </cell>
          <cell r="K37">
            <v>1</v>
          </cell>
        </row>
        <row r="38">
          <cell r="K38">
            <v>1</v>
          </cell>
        </row>
        <row r="39">
          <cell r="J39">
            <v>12</v>
          </cell>
          <cell r="K39">
            <v>13</v>
          </cell>
        </row>
        <row r="42">
          <cell r="J42">
            <v>0.25</v>
          </cell>
          <cell r="K42">
            <v>0.25</v>
          </cell>
        </row>
      </sheetData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contract data"/>
    </sheetNames>
    <sheetDataSet>
      <sheetData sheetId="0" refreshError="1"/>
      <sheetData sheetId="1">
        <row r="34">
          <cell r="D34">
            <v>0.39</v>
          </cell>
        </row>
        <row r="45">
          <cell r="D45">
            <v>0.33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Avg Expenses"/>
      <sheetName val="Avg Salaries"/>
      <sheetName val="Per Unit Expenses"/>
      <sheetName val="Per Unit FTE, Sal"/>
    </sheetNames>
    <sheetDataSet>
      <sheetData sheetId="0"/>
      <sheetData sheetId="1">
        <row r="3">
          <cell r="C3">
            <v>0.29720839024898082</v>
          </cell>
        </row>
        <row r="5">
          <cell r="H5">
            <v>10.849918306351181</v>
          </cell>
        </row>
        <row r="11">
          <cell r="H11">
            <v>25.408549439601494</v>
          </cell>
        </row>
        <row r="39">
          <cell r="C39">
            <v>9.465319377551569E-2</v>
          </cell>
        </row>
      </sheetData>
      <sheetData sheetId="2">
        <row r="3">
          <cell r="J3">
            <v>59700.570397111915</v>
          </cell>
        </row>
        <row r="6">
          <cell r="J6">
            <v>30381.418803418801</v>
          </cell>
        </row>
        <row r="14">
          <cell r="J14">
            <v>200122.62</v>
          </cell>
        </row>
        <row r="17">
          <cell r="J17">
            <v>64673.926018287602</v>
          </cell>
        </row>
        <row r="24">
          <cell r="J24">
            <v>35805.96</v>
          </cell>
        </row>
        <row r="33">
          <cell r="J33">
            <v>44297.831117021276</v>
          </cell>
        </row>
        <row r="42">
          <cell r="M42">
            <v>32000</v>
          </cell>
        </row>
        <row r="44">
          <cell r="J44">
            <v>37831.10544815466</v>
          </cell>
        </row>
        <row r="45">
          <cell r="J45">
            <v>41347.767999999996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2011 CPI"/>
    </sheetNames>
    <sheetDataSet>
      <sheetData sheetId="0">
        <row r="37">
          <cell r="J37">
            <v>2.4800378941670066E-2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Unit Summary after P.H"/>
      <sheetName val="CAF Spring 2015"/>
      <sheetName val="DCF Fiscal Impact"/>
      <sheetName val="DMH Fiscal Impact"/>
      <sheetName val="Rate summary - 2016 PH"/>
      <sheetName val="IRTP"/>
      <sheetName val="IRTP (post PH)"/>
      <sheetName val="STARR"/>
      <sheetName val="STARR (post PH)"/>
      <sheetName val="CIRT"/>
      <sheetName val="CIRT (post ph)"/>
      <sheetName val="Group Home"/>
      <sheetName val="Group Home (post PH)"/>
      <sheetName val="Teen Parent"/>
      <sheetName val="Teen Parent (post PH)"/>
      <sheetName val="TLP E-bed add-on"/>
      <sheetName val="Continuum"/>
      <sheetName val="Continuum (post PH)"/>
      <sheetName val="FA - SO"/>
      <sheetName val="SpecPgm-TAY"/>
      <sheetName val="Intensive GH with exp. Nursing"/>
      <sheetName val="Inten GH w exp. Nurs (post PH)"/>
      <sheetName val="SpecPgm-Med.Com N.GH"/>
      <sheetName val="SpecPgm-Med.Com N.GH (pos PH)"/>
      <sheetName val="SpecPgm-1t1 SL"/>
      <sheetName val="SpecPgm-1t1 SL (post PH)"/>
      <sheetName val="SpecPgm-1t2 GH"/>
      <sheetName val="SpecPgm-1t2 GH (post PH)"/>
      <sheetName val="SpecPgm-College Prep"/>
      <sheetName val="SpecPgm-TransIFC"/>
      <sheetName val="SpecPgm-Outreach Ind.Liv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4">
          <cell r="O44">
            <v>337.66646774858759</v>
          </cell>
        </row>
        <row r="88">
          <cell r="O88">
            <v>408.72565385714512</v>
          </cell>
        </row>
        <row r="133">
          <cell r="O133">
            <v>359.15190612731084</v>
          </cell>
        </row>
        <row r="176">
          <cell r="O176">
            <v>324.49013065886675</v>
          </cell>
        </row>
      </sheetData>
      <sheetData sheetId="9" refreshError="1"/>
      <sheetData sheetId="10" refreshError="1">
        <row r="47">
          <cell r="M47">
            <v>212245</v>
          </cell>
        </row>
      </sheetData>
      <sheetData sheetId="11" refreshError="1"/>
      <sheetData sheetId="12" refreshError="1">
        <row r="46">
          <cell r="L46">
            <v>335.73771594864553</v>
          </cell>
        </row>
        <row r="89">
          <cell r="L89">
            <v>282.31432186980112</v>
          </cell>
        </row>
        <row r="130">
          <cell r="L130">
            <v>241.77780133113239</v>
          </cell>
        </row>
      </sheetData>
      <sheetData sheetId="13" refreshError="1">
        <row r="42">
          <cell r="E42">
            <v>271.47106202726894</v>
          </cell>
        </row>
        <row r="82">
          <cell r="H82">
            <v>6054</v>
          </cell>
        </row>
        <row r="124">
          <cell r="H124">
            <v>6110</v>
          </cell>
        </row>
        <row r="159">
          <cell r="H159">
            <v>2828</v>
          </cell>
        </row>
      </sheetData>
      <sheetData sheetId="14" refreshError="1">
        <row r="42">
          <cell r="F42">
            <v>278.54880600548699</v>
          </cell>
        </row>
      </sheetData>
      <sheetData sheetId="15" refreshError="1"/>
      <sheetData sheetId="16" refreshError="1"/>
      <sheetData sheetId="17" refreshError="1">
        <row r="47">
          <cell r="F47">
            <v>116.15980717116577</v>
          </cell>
        </row>
        <row r="94">
          <cell r="G94">
            <v>335.73771594864553</v>
          </cell>
        </row>
        <row r="136">
          <cell r="G136">
            <v>282.31432186980112</v>
          </cell>
        </row>
      </sheetData>
      <sheetData sheetId="18" refreshError="1"/>
      <sheetData sheetId="19" refreshError="1"/>
      <sheetData sheetId="20" refreshError="1"/>
      <sheetData sheetId="21" refreshError="1">
        <row r="49">
          <cell r="F49">
            <v>387.22503293087669</v>
          </cell>
        </row>
      </sheetData>
      <sheetData sheetId="22" refreshError="1"/>
      <sheetData sheetId="23" refreshError="1">
        <row r="42">
          <cell r="L42">
            <v>461.45662288820193</v>
          </cell>
          <cell r="N42">
            <v>539.91459723812886</v>
          </cell>
        </row>
        <row r="85">
          <cell r="L85">
            <v>432.19455663262914</v>
          </cell>
          <cell r="N85">
            <v>484.90850814898613</v>
          </cell>
        </row>
        <row r="128">
          <cell r="L128">
            <v>479.94628697528367</v>
          </cell>
          <cell r="N128">
            <v>609.89230699235009</v>
          </cell>
        </row>
      </sheetData>
      <sheetData sheetId="24" refreshError="1"/>
      <sheetData sheetId="25" refreshError="1">
        <row r="40">
          <cell r="F40">
            <v>660.0135811339843</v>
          </cell>
        </row>
      </sheetData>
      <sheetData sheetId="26" refreshError="1"/>
      <sheetData sheetId="27" refreshError="1">
        <row r="44">
          <cell r="F44">
            <v>381.9624856499309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Avg Expenses"/>
      <sheetName val="Avg Salary"/>
      <sheetName val="Per Unit Expenses"/>
      <sheetName val="Per Unit FTE, Sal"/>
    </sheetNames>
    <sheetDataSet>
      <sheetData sheetId="0">
        <row r="30">
          <cell r="K30">
            <v>12</v>
          </cell>
        </row>
        <row r="32">
          <cell r="K32">
            <v>2</v>
          </cell>
        </row>
        <row r="34">
          <cell r="K34">
            <v>0.3</v>
          </cell>
        </row>
        <row r="35">
          <cell r="K35">
            <v>2.75</v>
          </cell>
        </row>
        <row r="36">
          <cell r="K36">
            <v>1</v>
          </cell>
        </row>
        <row r="37">
          <cell r="K37">
            <v>2</v>
          </cell>
        </row>
        <row r="38">
          <cell r="K38">
            <v>1</v>
          </cell>
        </row>
        <row r="40">
          <cell r="K40">
            <v>0.18</v>
          </cell>
        </row>
        <row r="41">
          <cell r="K41">
            <v>1</v>
          </cell>
        </row>
        <row r="42">
          <cell r="K42">
            <v>20.05</v>
          </cell>
        </row>
        <row r="45">
          <cell r="K45">
            <v>1.5</v>
          </cell>
        </row>
        <row r="46">
          <cell r="K46">
            <v>2</v>
          </cell>
        </row>
        <row r="47">
          <cell r="K47">
            <v>2</v>
          </cell>
        </row>
      </sheetData>
      <sheetData sheetId="1">
        <row r="12">
          <cell r="H12">
            <v>22.842465753424658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Unit Summary after P.H"/>
      <sheetName val="CAF Spring 2015"/>
      <sheetName val="Rate summary - 2016 review"/>
      <sheetName val="IRTP"/>
      <sheetName val="STARR"/>
      <sheetName val="CIRT"/>
      <sheetName val="Group Home"/>
      <sheetName val="Teen Parent"/>
      <sheetName val="TLP E-bed add-on"/>
      <sheetName val="Continuum"/>
      <sheetName val="FA - SO"/>
      <sheetName val="SpecPgm-TAY"/>
      <sheetName val="Intensive GH with exp. Nursing"/>
      <sheetName val="SpecPgm-Med.Com N.GH"/>
      <sheetName val="SpecPgm-1t1 SL"/>
      <sheetName val="SpecPgm-1t2 GH"/>
      <sheetName val="SpecPgm-College Prep"/>
      <sheetName val="SpecPgm-TransIFC"/>
      <sheetName val="SpecPgm-Outreach Ind.Living"/>
    </sheetNames>
    <sheetDataSet>
      <sheetData sheetId="0" refreshError="1"/>
      <sheetData sheetId="1">
        <row r="24">
          <cell r="BC24">
            <v>2.0354406130268236E-2</v>
          </cell>
        </row>
      </sheetData>
      <sheetData sheetId="2" refreshError="1"/>
      <sheetData sheetId="3">
        <row r="17">
          <cell r="X17">
            <v>64673.926018287602</v>
          </cell>
        </row>
        <row r="19">
          <cell r="X19">
            <v>50000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Rate Comparisons"/>
      <sheetName val="Avg Expenses"/>
      <sheetName val="Avg Salary"/>
      <sheetName val="Profit-Loss"/>
      <sheetName val="Per Unit Expenses"/>
      <sheetName val="Per Unit FTE, Sal"/>
      <sheetName val="Transportation"/>
      <sheetName val="Analysis - STARR FY14"/>
    </sheetNames>
    <sheetDataSet>
      <sheetData sheetId="0">
        <row r="23">
          <cell r="K23">
            <v>6</v>
          </cell>
          <cell r="L23">
            <v>9</v>
          </cell>
          <cell r="M23">
            <v>12</v>
          </cell>
          <cell r="N23">
            <v>15</v>
          </cell>
        </row>
        <row r="24">
          <cell r="K24">
            <v>1</v>
          </cell>
          <cell r="L24">
            <v>1.5</v>
          </cell>
          <cell r="M24">
            <v>2</v>
          </cell>
          <cell r="N24">
            <v>2</v>
          </cell>
        </row>
        <row r="26">
          <cell r="K26">
            <v>0.15</v>
          </cell>
          <cell r="L26">
            <v>0.22499999999999998</v>
          </cell>
          <cell r="M26">
            <v>0.3</v>
          </cell>
          <cell r="N26">
            <v>0.375</v>
          </cell>
        </row>
        <row r="29">
          <cell r="M29">
            <v>13.6</v>
          </cell>
          <cell r="N29">
            <v>17</v>
          </cell>
        </row>
        <row r="32">
          <cell r="K32">
            <v>0.5</v>
          </cell>
          <cell r="L32">
            <v>0.5</v>
          </cell>
          <cell r="M32">
            <v>0.5</v>
          </cell>
          <cell r="N32">
            <v>0.5</v>
          </cell>
        </row>
      </sheetData>
      <sheetData sheetId="1" refreshError="1"/>
      <sheetData sheetId="2">
        <row r="5">
          <cell r="H5">
            <v>23.285039628322924</v>
          </cell>
        </row>
        <row r="40">
          <cell r="C40">
            <v>0.11846733793705286</v>
          </cell>
        </row>
      </sheetData>
      <sheetData sheetId="3">
        <row r="6">
          <cell r="J6">
            <v>29169.595163958824</v>
          </cell>
        </row>
        <row r="44">
          <cell r="J44">
            <v>32278.105784942632</v>
          </cell>
        </row>
      </sheetData>
      <sheetData sheetId="4" refreshError="1"/>
      <sheetData sheetId="5" refreshError="1"/>
      <sheetData sheetId="6" refreshError="1"/>
      <sheetData sheetId="7">
        <row r="17">
          <cell r="C17">
            <v>2.2794520547945205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Options"/>
      <sheetName val="Rate Comparison"/>
      <sheetName val="Avg Expenses"/>
      <sheetName val="Avg Salary"/>
      <sheetName val="Charts"/>
      <sheetName val="Per Unit Expenses"/>
      <sheetName val="Per Unit FTE, Sal"/>
    </sheetNames>
    <sheetDataSet>
      <sheetData sheetId="0">
        <row r="26">
          <cell r="I26">
            <v>12</v>
          </cell>
          <cell r="J26">
            <v>10</v>
          </cell>
          <cell r="K26">
            <v>5</v>
          </cell>
          <cell r="L26">
            <v>4</v>
          </cell>
        </row>
        <row r="28">
          <cell r="I28">
            <v>1.75</v>
          </cell>
          <cell r="J28">
            <v>1</v>
          </cell>
          <cell r="K28">
            <v>1</v>
          </cell>
          <cell r="L28">
            <v>0.2</v>
          </cell>
        </row>
        <row r="30">
          <cell r="I30">
            <v>0.25</v>
          </cell>
        </row>
        <row r="31">
          <cell r="J31">
            <v>0.13</v>
          </cell>
          <cell r="K31">
            <v>0.13</v>
          </cell>
        </row>
        <row r="33">
          <cell r="I33">
            <v>1</v>
          </cell>
          <cell r="J33">
            <v>0.5</v>
          </cell>
          <cell r="K33">
            <v>0.5</v>
          </cell>
        </row>
        <row r="34">
          <cell r="I34">
            <v>2</v>
          </cell>
        </row>
        <row r="35">
          <cell r="J35">
            <v>1</v>
          </cell>
          <cell r="K35">
            <v>0.5</v>
          </cell>
          <cell r="L35">
            <v>1</v>
          </cell>
        </row>
        <row r="36">
          <cell r="I36">
            <v>11.5</v>
          </cell>
          <cell r="J36">
            <v>8</v>
          </cell>
          <cell r="K36">
            <v>3</v>
          </cell>
        </row>
        <row r="39">
          <cell r="I39">
            <v>0.25</v>
          </cell>
          <cell r="J39">
            <v>0.25</v>
          </cell>
          <cell r="K39">
            <v>0.13</v>
          </cell>
        </row>
      </sheetData>
      <sheetData sheetId="1" refreshError="1"/>
      <sheetData sheetId="2">
        <row r="5">
          <cell r="H5">
            <v>25.792696713147411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sis Close"/>
      <sheetName val="Rate Options"/>
      <sheetName val="DC salary anlys"/>
      <sheetName val="Rate Comparison"/>
      <sheetName val="Avg Expenses"/>
      <sheetName val="Avg Salary"/>
      <sheetName val="Transportation"/>
      <sheetName val="Per Unit Expenses"/>
      <sheetName val="Per Unit FTE, Sal"/>
      <sheetName val="Charts by Activity Code"/>
      <sheetName val="Charts"/>
      <sheetName val="Outliers"/>
    </sheetNames>
    <sheetDataSet>
      <sheetData sheetId="0" refreshError="1"/>
      <sheetData sheetId="1" refreshError="1">
        <row r="21">
          <cell r="J21">
            <v>28500</v>
          </cell>
        </row>
        <row r="28">
          <cell r="I28">
            <v>12</v>
          </cell>
          <cell r="J28">
            <v>12</v>
          </cell>
          <cell r="K28">
            <v>10</v>
          </cell>
          <cell r="L28">
            <v>12</v>
          </cell>
        </row>
        <row r="30">
          <cell r="I30">
            <v>1.75</v>
          </cell>
          <cell r="J30">
            <v>1.75</v>
          </cell>
          <cell r="K30">
            <v>1</v>
          </cell>
          <cell r="L30">
            <v>1</v>
          </cell>
        </row>
        <row r="32">
          <cell r="I32">
            <v>0.1</v>
          </cell>
        </row>
        <row r="33">
          <cell r="I33">
            <v>0.25</v>
          </cell>
          <cell r="J33">
            <v>0.25</v>
          </cell>
          <cell r="K33">
            <v>0.1</v>
          </cell>
        </row>
        <row r="34">
          <cell r="I34">
            <v>0.5</v>
          </cell>
        </row>
        <row r="35">
          <cell r="I35">
            <v>1</v>
          </cell>
          <cell r="J35">
            <v>0.5</v>
          </cell>
        </row>
        <row r="37">
          <cell r="K37">
            <v>0.5</v>
          </cell>
          <cell r="L37">
            <v>0.5</v>
          </cell>
        </row>
        <row r="38">
          <cell r="I38">
            <v>1</v>
          </cell>
          <cell r="J38">
            <v>1</v>
          </cell>
        </row>
        <row r="39">
          <cell r="K39">
            <v>1</v>
          </cell>
          <cell r="L39">
            <v>2</v>
          </cell>
        </row>
        <row r="40">
          <cell r="I40">
            <v>15</v>
          </cell>
          <cell r="J40">
            <v>13</v>
          </cell>
          <cell r="K40">
            <v>6</v>
          </cell>
        </row>
        <row r="43">
          <cell r="I43">
            <v>0.25</v>
          </cell>
          <cell r="J43">
            <v>0.25</v>
          </cell>
          <cell r="K43">
            <v>0.25</v>
          </cell>
          <cell r="L43">
            <v>0.25</v>
          </cell>
        </row>
      </sheetData>
      <sheetData sheetId="2" refreshError="1"/>
      <sheetData sheetId="3" refreshError="1"/>
      <sheetData sheetId="4" refreshError="1">
        <row r="5">
          <cell r="H5">
            <v>20.4634671275006</v>
          </cell>
        </row>
        <row r="11">
          <cell r="H11">
            <v>16.648815707573558</v>
          </cell>
        </row>
      </sheetData>
      <sheetData sheetId="5" refreshError="1">
        <row r="44">
          <cell r="J44">
            <v>30928.705319556066</v>
          </cell>
        </row>
      </sheetData>
      <sheetData sheetId="6" refreshError="1">
        <row r="21">
          <cell r="C21">
            <v>0.66139269406392698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HS" refreshedDate="42485.677514236108" createdVersion="4" refreshedVersion="4" minRefreshableVersion="3" recordCount="119">
  <cacheSource type="worksheet">
    <worksheetSource ref="BQ35:BQ154" sheet="CAF Spring 2015"/>
  </cacheSource>
  <cacheFields count="1">
    <cacheField name="legal_name" numFmtId="0">
      <sharedItems count="58">
        <s v="L U K CRISIS CENTER INC"/>
        <s v="NFI MASSACHUSETTS, INC."/>
        <s v="OLD COLONY Y"/>
        <s v="YWCA OF WESTERN MASS"/>
        <s v="BRANDON RESIDENTIAL TREATMENT"/>
        <s v="YOUTH VILLAGES-GERMAINE LAWRENCE INC"/>
        <s v="COMMUNITY HEALTHLINK INC"/>
        <s v="CENTER FOR HUMAN"/>
        <s v="STEVENS CHILDRENS HOME INC"/>
        <s v="GANDARA MENTAL HEALTH CENTER INC"/>
        <s v="FALL RIVER DEACONESS HOME"/>
        <s v="JUSTICE RESOURCE INSTITUTE INC"/>
        <s v="NORTHEAST BEHAVIORAL HEALTH"/>
        <s v="YOUTH VILLAGES"/>
        <s v="TEAM COORDINATINGAGENCY INC"/>
        <s v="HILLCREST EDUCATIONAL CTRS INC"/>
        <s v="THE BRIEN CENTER FOR MENTAL HEALTH"/>
        <s v="OPEN PANTRY COMMUNITY SERVICES"/>
        <s v="RFK CHILDRENS ACTION CORP INC"/>
        <s v="ITALIAN HOME FOR CHILDREN INC"/>
        <s v="PLUMMER HOME FOR BOYS"/>
        <s v="WAYSIDE YOUTH &amp; FAMILY"/>
        <s v="BECKET ACADEMY"/>
        <s v="CLINICAL &amp; SUPPORT OPTIONS INC"/>
        <s v="SPECTRUM HEALTH SYSTEMS INC"/>
        <s v="COMMUNITIES FOR  PEOPLE INC"/>
        <s v="LATHAM CENTERS INC"/>
        <s v="KEY PROGRAM INC"/>
        <s v="THE DEVEREUX FOUNDATION"/>
        <s v="BAY STATE COMMUNITY SERVICES INC"/>
        <s v="THE BRIDGE OF CENTRAL MASS INC"/>
        <s v="YOUTH OPPORTUNITIES UPHELD INC"/>
        <s v="ASCENTRIA COMMUNITY SERVICES, INC"/>
        <s v="THE SALVATION ARMY"/>
        <s v="AMERICAN TRAINING INC"/>
        <s v="GEORGE &amp; IRENE L WALKER HOME"/>
        <s v="HOME FOR LITTLE WANDERERS INC"/>
        <s v="ST MARYS CTR FOR WOMEN &amp; CHILDREN INC"/>
        <s v="ELIOT COMMUNITY HUMAN SRVCS"/>
        <s v="NORTHEAST CTR YOUTH &amp; FAMILIES"/>
        <s v="CHILD &amp; FAMILY SERVICES INC"/>
        <s v="FAMILY SER ASSN OF G B INC"/>
        <s v="EASTER SEAL NH INC"/>
        <s v="DOCTOR FRANKLIN PERKINS SCHOOL"/>
        <s v="STETSON SCHOOL INC"/>
        <s v="CHILDRENS FRIEND &amp; FAMILY SRVCS INC"/>
        <s v="DARE FAMILY SERVICES INC"/>
        <s v="UNIVERSITY OF MASS"/>
        <s v="CUTCHINS PROGRAMS"/>
        <s v="ST ANNS HOME INC"/>
        <s v="MAB COMMUNITY SERVICES INC"/>
        <s v="VOLUNTRS OF AMER OF MA INC"/>
        <s v="CENTERBOARD INC"/>
        <s v="LUTHERAN COMMUNITY SERVICES, INC"/>
        <s v="JUST A START"/>
        <s v="CATHOLIC CHARITABLE BUREAU OF"/>
        <s v="YWCA OF GREATER  LAWRENCE"/>
        <s v="RIVERSIDE COMMUNITY CARE IN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</r>
  <r>
    <x v="1"/>
  </r>
  <r>
    <x v="2"/>
  </r>
  <r>
    <x v="3"/>
  </r>
  <r>
    <x v="4"/>
  </r>
  <r>
    <x v="5"/>
  </r>
  <r>
    <x v="6"/>
  </r>
  <r>
    <x v="7"/>
  </r>
  <r>
    <x v="7"/>
  </r>
  <r>
    <x v="8"/>
  </r>
  <r>
    <x v="9"/>
  </r>
  <r>
    <x v="10"/>
  </r>
  <r>
    <x v="11"/>
  </r>
  <r>
    <x v="2"/>
  </r>
  <r>
    <x v="12"/>
  </r>
  <r>
    <x v="13"/>
  </r>
  <r>
    <x v="14"/>
  </r>
  <r>
    <x v="15"/>
  </r>
  <r>
    <x v="16"/>
  </r>
  <r>
    <x v="2"/>
  </r>
  <r>
    <x v="17"/>
  </r>
  <r>
    <x v="18"/>
  </r>
  <r>
    <x v="7"/>
  </r>
  <r>
    <x v="5"/>
  </r>
  <r>
    <x v="19"/>
  </r>
  <r>
    <x v="9"/>
  </r>
  <r>
    <x v="20"/>
  </r>
  <r>
    <x v="21"/>
  </r>
  <r>
    <x v="22"/>
  </r>
  <r>
    <x v="23"/>
  </r>
  <r>
    <x v="24"/>
  </r>
  <r>
    <x v="8"/>
  </r>
  <r>
    <x v="25"/>
  </r>
  <r>
    <x v="26"/>
  </r>
  <r>
    <x v="18"/>
  </r>
  <r>
    <x v="27"/>
  </r>
  <r>
    <x v="11"/>
  </r>
  <r>
    <x v="28"/>
  </r>
  <r>
    <x v="29"/>
  </r>
  <r>
    <x v="11"/>
  </r>
  <r>
    <x v="27"/>
  </r>
  <r>
    <x v="10"/>
  </r>
  <r>
    <x v="5"/>
  </r>
  <r>
    <x v="30"/>
  </r>
  <r>
    <x v="28"/>
  </r>
  <r>
    <x v="18"/>
  </r>
  <r>
    <x v="31"/>
  </r>
  <r>
    <x v="29"/>
  </r>
  <r>
    <x v="30"/>
  </r>
  <r>
    <x v="32"/>
  </r>
  <r>
    <x v="33"/>
  </r>
  <r>
    <x v="34"/>
  </r>
  <r>
    <x v="1"/>
  </r>
  <r>
    <x v="35"/>
  </r>
  <r>
    <x v="36"/>
  </r>
  <r>
    <x v="35"/>
  </r>
  <r>
    <x v="37"/>
  </r>
  <r>
    <x v="38"/>
  </r>
  <r>
    <x v="39"/>
  </r>
  <r>
    <x v="30"/>
  </r>
  <r>
    <x v="40"/>
  </r>
  <r>
    <x v="38"/>
  </r>
  <r>
    <x v="41"/>
  </r>
  <r>
    <x v="42"/>
  </r>
  <r>
    <x v="9"/>
  </r>
  <r>
    <x v="43"/>
  </r>
  <r>
    <x v="44"/>
  </r>
  <r>
    <x v="1"/>
  </r>
  <r>
    <x v="45"/>
  </r>
  <r>
    <x v="46"/>
  </r>
  <r>
    <x v="11"/>
  </r>
  <r>
    <x v="47"/>
  </r>
  <r>
    <x v="48"/>
  </r>
  <r>
    <x v="36"/>
  </r>
  <r>
    <x v="1"/>
  </r>
  <r>
    <x v="49"/>
  </r>
  <r>
    <x v="2"/>
  </r>
  <r>
    <x v="50"/>
  </r>
  <r>
    <x v="51"/>
  </r>
  <r>
    <x v="36"/>
  </r>
  <r>
    <x v="13"/>
  </r>
  <r>
    <x v="11"/>
  </r>
  <r>
    <x v="52"/>
  </r>
  <r>
    <x v="7"/>
  </r>
  <r>
    <x v="21"/>
  </r>
  <r>
    <x v="27"/>
  </r>
  <r>
    <x v="53"/>
  </r>
  <r>
    <x v="11"/>
  </r>
  <r>
    <x v="31"/>
  </r>
  <r>
    <x v="36"/>
  </r>
  <r>
    <x v="50"/>
  </r>
  <r>
    <x v="21"/>
  </r>
  <r>
    <x v="54"/>
  </r>
  <r>
    <x v="1"/>
  </r>
  <r>
    <x v="4"/>
  </r>
  <r>
    <x v="48"/>
  </r>
  <r>
    <x v="4"/>
  </r>
  <r>
    <x v="4"/>
  </r>
  <r>
    <x v="4"/>
  </r>
  <r>
    <x v="31"/>
  </r>
  <r>
    <x v="2"/>
  </r>
  <r>
    <x v="55"/>
  </r>
  <r>
    <x v="5"/>
  </r>
  <r>
    <x v="42"/>
  </r>
  <r>
    <x v="7"/>
  </r>
  <r>
    <x v="31"/>
  </r>
  <r>
    <x v="11"/>
  </r>
  <r>
    <x v="48"/>
  </r>
  <r>
    <x v="39"/>
  </r>
  <r>
    <x v="9"/>
  </r>
  <r>
    <x v="1"/>
  </r>
  <r>
    <x v="48"/>
  </r>
  <r>
    <x v="56"/>
  </r>
  <r>
    <x v="21"/>
  </r>
  <r>
    <x v="11"/>
  </r>
  <r>
    <x v="18"/>
  </r>
  <r>
    <x v="57"/>
  </r>
  <r>
    <x v="49"/>
  </r>
  <r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U35:BU94" firstHeaderRow="1" firstDataRow="1" firstDataCol="1"/>
  <pivotFields count="1">
    <pivotField axis="axisRow" showAll="0">
      <items count="59">
        <item x="34"/>
        <item x="32"/>
        <item x="29"/>
        <item x="22"/>
        <item x="4"/>
        <item x="55"/>
        <item x="7"/>
        <item x="52"/>
        <item x="40"/>
        <item x="45"/>
        <item x="23"/>
        <item x="25"/>
        <item x="6"/>
        <item x="48"/>
        <item x="46"/>
        <item x="43"/>
        <item x="42"/>
        <item x="38"/>
        <item x="10"/>
        <item x="41"/>
        <item x="9"/>
        <item x="35"/>
        <item x="15"/>
        <item x="36"/>
        <item x="19"/>
        <item x="54"/>
        <item x="11"/>
        <item x="27"/>
        <item x="0"/>
        <item x="26"/>
        <item x="53"/>
        <item x="50"/>
        <item x="1"/>
        <item x="12"/>
        <item x="39"/>
        <item x="2"/>
        <item x="17"/>
        <item x="20"/>
        <item x="18"/>
        <item x="57"/>
        <item x="24"/>
        <item x="49"/>
        <item x="37"/>
        <item x="44"/>
        <item x="8"/>
        <item x="14"/>
        <item x="30"/>
        <item x="16"/>
        <item x="28"/>
        <item x="33"/>
        <item x="47"/>
        <item x="51"/>
        <item x="21"/>
        <item x="31"/>
        <item x="13"/>
        <item x="5"/>
        <item x="56"/>
        <item x="3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10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10.vml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comments" Target="../comments11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comments" Target="../comments12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comments" Target="../comments14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vmlDrawing" Target="../drawings/vmlDrawing14.vml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comments" Target="../comments15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vmlDrawing" Target="../drawings/vmlDrawing15.vml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comments" Target="../comments17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vmlDrawing" Target="../drawings/vmlDrawing17.v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5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5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5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comments" Target="../comments21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vmlDrawing" Target="../drawings/vmlDrawing21.vml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6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7" Type="http://schemas.openxmlformats.org/officeDocument/2006/relationships/comments" Target="../comments23.x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vmlDrawing" Target="../drawings/vmlDrawing23.vml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7" Type="http://schemas.openxmlformats.org/officeDocument/2006/relationships/comments" Target="../comments24.xml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vmlDrawing" Target="../drawings/vmlDrawing24.vml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7" Type="http://schemas.openxmlformats.org/officeDocument/2006/relationships/comments" Target="../comments25.xml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vmlDrawing" Target="../drawings/vmlDrawing25.vml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comments" Target="../comments26.xml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vmlDrawing" Target="../drawings/vmlDrawing26.vml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41"/>
  <sheetViews>
    <sheetView topLeftCell="A4" zoomScale="80" zoomScaleNormal="80" workbookViewId="0">
      <selection activeCell="I23" sqref="I23"/>
    </sheetView>
  </sheetViews>
  <sheetFormatPr defaultRowHeight="15" x14ac:dyDescent="0.25"/>
  <cols>
    <col min="1" max="1" width="18.85546875" customWidth="1"/>
    <col min="2" max="2" width="32" customWidth="1"/>
    <col min="3" max="3" width="17.5703125" customWidth="1"/>
    <col min="4" max="4" width="18.7109375" customWidth="1"/>
    <col min="5" max="5" width="18.85546875" customWidth="1"/>
    <col min="6" max="6" width="18" customWidth="1"/>
    <col min="7" max="7" width="16.5703125" customWidth="1"/>
    <col min="8" max="8" width="13" customWidth="1"/>
    <col min="9" max="9" width="23.85546875" customWidth="1"/>
    <col min="10" max="10" width="23.7109375" customWidth="1"/>
    <col min="11" max="11" width="23.28515625" customWidth="1"/>
    <col min="12" max="12" width="29.28515625" customWidth="1"/>
    <col min="13" max="13" width="21.7109375" customWidth="1"/>
    <col min="14" max="14" width="38.85546875" customWidth="1"/>
    <col min="15" max="15" width="19" customWidth="1"/>
  </cols>
  <sheetData>
    <row r="1" spans="1:15" thickBot="1" x14ac:dyDescent="0.35">
      <c r="A1" s="1412" t="s">
        <v>357</v>
      </c>
      <c r="B1" s="1412"/>
      <c r="C1" s="1412"/>
      <c r="D1" s="1412"/>
      <c r="E1" s="1412"/>
      <c r="F1" s="1412"/>
      <c r="G1" s="1412"/>
      <c r="H1" s="1413"/>
      <c r="I1" s="1414" t="s">
        <v>307</v>
      </c>
      <c r="J1" s="1414"/>
      <c r="K1" s="1414"/>
      <c r="L1" s="1414"/>
      <c r="M1" s="1414"/>
      <c r="N1" s="1414"/>
      <c r="O1" s="291"/>
    </row>
    <row r="2" spans="1:15" ht="60" customHeight="1" thickBot="1" x14ac:dyDescent="0.35">
      <c r="A2" s="292" t="s">
        <v>316</v>
      </c>
      <c r="B2" s="314" t="s">
        <v>317</v>
      </c>
      <c r="C2" s="293" t="s">
        <v>323</v>
      </c>
      <c r="D2" s="350" t="s">
        <v>324</v>
      </c>
      <c r="E2" s="293" t="s">
        <v>325</v>
      </c>
      <c r="F2" s="350" t="s">
        <v>328</v>
      </c>
      <c r="G2" s="293" t="s">
        <v>329</v>
      </c>
      <c r="H2" s="288"/>
      <c r="I2" s="294" t="s">
        <v>314</v>
      </c>
      <c r="J2" s="294" t="s">
        <v>353</v>
      </c>
      <c r="K2" s="294" t="s">
        <v>311</v>
      </c>
      <c r="L2" s="294" t="s">
        <v>333</v>
      </c>
      <c r="M2" s="294" t="s">
        <v>312</v>
      </c>
      <c r="N2" s="348" t="s">
        <v>322</v>
      </c>
      <c r="O2" s="348" t="s">
        <v>356</v>
      </c>
    </row>
    <row r="3" spans="1:15" ht="29.45" thickBot="1" x14ac:dyDescent="0.35">
      <c r="A3" s="295" t="s">
        <v>256</v>
      </c>
      <c r="B3" s="315" t="s">
        <v>299</v>
      </c>
      <c r="C3" s="296">
        <v>488.29267006136746</v>
      </c>
      <c r="D3" s="351">
        <v>542.547411179297</v>
      </c>
      <c r="E3" s="296" t="e">
        <f>#REF!</f>
        <v>#REF!</v>
      </c>
      <c r="F3" s="351" t="e">
        <f>#REF!</f>
        <v>#REF!</v>
      </c>
      <c r="G3" s="297" t="e">
        <f>(F3-D3)/D3</f>
        <v>#REF!</v>
      </c>
      <c r="I3" s="287"/>
      <c r="J3" s="289" t="s">
        <v>315</v>
      </c>
      <c r="K3" s="287" t="s">
        <v>313</v>
      </c>
    </row>
    <row r="4" spans="1:15" thickBot="1" x14ac:dyDescent="0.35">
      <c r="A4" s="298"/>
      <c r="B4" s="316"/>
      <c r="C4" s="349" t="s">
        <v>352</v>
      </c>
      <c r="D4" s="352" t="s">
        <v>326</v>
      </c>
      <c r="E4" s="349" t="s">
        <v>352</v>
      </c>
      <c r="F4" s="352" t="s">
        <v>326</v>
      </c>
      <c r="G4" s="299"/>
      <c r="I4" s="287"/>
      <c r="J4" s="287"/>
      <c r="K4" s="287"/>
    </row>
    <row r="5" spans="1:15" ht="29.45" thickBot="1" x14ac:dyDescent="0.35">
      <c r="A5" s="295" t="s">
        <v>257</v>
      </c>
      <c r="B5" s="315" t="s">
        <v>259</v>
      </c>
      <c r="C5" s="296">
        <v>519.22319681830459</v>
      </c>
      <c r="D5" s="351">
        <v>576.91466313144952</v>
      </c>
      <c r="E5" s="296" t="e">
        <f>#REF!</f>
        <v>#REF!</v>
      </c>
      <c r="F5" s="351" t="e">
        <f>#REF!</f>
        <v>#REF!</v>
      </c>
      <c r="G5" s="297" t="e">
        <f>(F5-D5)/D5</f>
        <v>#REF!</v>
      </c>
      <c r="I5" s="287"/>
      <c r="J5" s="290" t="s">
        <v>315</v>
      </c>
      <c r="K5" s="287" t="s">
        <v>313</v>
      </c>
    </row>
    <row r="6" spans="1:15" thickBot="1" x14ac:dyDescent="0.35">
      <c r="A6" s="298"/>
      <c r="B6" s="316"/>
      <c r="C6" s="349" t="s">
        <v>352</v>
      </c>
      <c r="D6" s="352" t="s">
        <v>326</v>
      </c>
      <c r="E6" s="349" t="s">
        <v>352</v>
      </c>
      <c r="F6" s="352" t="s">
        <v>326</v>
      </c>
      <c r="G6" s="300"/>
      <c r="I6" s="287"/>
      <c r="J6" s="287"/>
      <c r="K6" s="287"/>
    </row>
    <row r="7" spans="1:15" ht="14.45" x14ac:dyDescent="0.3">
      <c r="A7" s="295" t="s">
        <v>258</v>
      </c>
      <c r="B7" s="319" t="s">
        <v>300</v>
      </c>
      <c r="C7" s="321">
        <v>278.55887904715519</v>
      </c>
      <c r="D7" s="353">
        <v>327.71632829077078</v>
      </c>
      <c r="E7" s="308" t="e">
        <f>#REF!</f>
        <v>#REF!</v>
      </c>
      <c r="F7" s="372" t="e">
        <f>#REF!</f>
        <v>#REF!</v>
      </c>
      <c r="G7" s="309" t="e">
        <f>(F7-D7)/D7</f>
        <v>#REF!</v>
      </c>
      <c r="I7" s="287" t="s">
        <v>313</v>
      </c>
      <c r="J7" s="287"/>
      <c r="K7" s="287"/>
      <c r="L7" s="322" t="s">
        <v>318</v>
      </c>
      <c r="M7" s="287" t="s">
        <v>313</v>
      </c>
    </row>
    <row r="8" spans="1:15" ht="14.45" x14ac:dyDescent="0.3">
      <c r="A8" s="301"/>
      <c r="B8" s="317" t="s">
        <v>301</v>
      </c>
      <c r="C8" s="302">
        <v>275.32917844691133</v>
      </c>
      <c r="D8" s="354">
        <v>323.91668052577802</v>
      </c>
      <c r="E8" s="302" t="e">
        <f>#REF!</f>
        <v>#REF!</v>
      </c>
      <c r="F8" s="373" t="e">
        <f>#REF!</f>
        <v>#REF!</v>
      </c>
      <c r="G8" s="303" t="e">
        <f>(F8-D8)/D8</f>
        <v>#REF!</v>
      </c>
      <c r="I8" s="287" t="s">
        <v>313</v>
      </c>
      <c r="J8" s="287"/>
      <c r="K8" s="287"/>
      <c r="L8" s="322" t="s">
        <v>319</v>
      </c>
      <c r="M8" s="287"/>
    </row>
    <row r="9" spans="1:15" ht="14.45" x14ac:dyDescent="0.3">
      <c r="A9" s="301"/>
      <c r="B9" s="317" t="s">
        <v>302</v>
      </c>
      <c r="C9" s="302">
        <v>273.71432814678934</v>
      </c>
      <c r="D9" s="354">
        <v>322.01685664328164</v>
      </c>
      <c r="E9" s="302" t="e">
        <f>#REF!</f>
        <v>#REF!</v>
      </c>
      <c r="F9" s="373" t="e">
        <f>#REF!</f>
        <v>#REF!</v>
      </c>
      <c r="G9" s="303" t="e">
        <f>(F9-D9)/D9</f>
        <v>#REF!</v>
      </c>
      <c r="I9" s="287" t="s">
        <v>313</v>
      </c>
      <c r="J9" s="287"/>
      <c r="K9" s="287"/>
      <c r="L9" s="322" t="s">
        <v>320</v>
      </c>
    </row>
    <row r="10" spans="1:15" thickBot="1" x14ac:dyDescent="0.35">
      <c r="A10" s="301"/>
      <c r="B10" s="317" t="s">
        <v>303</v>
      </c>
      <c r="C10" s="302">
        <v>265.7958198931542</v>
      </c>
      <c r="D10" s="355">
        <v>312.70096458018145</v>
      </c>
      <c r="E10" s="302" t="e">
        <f>#REF!</f>
        <v>#REF!</v>
      </c>
      <c r="F10" s="374" t="e">
        <f>#REF!</f>
        <v>#REF!</v>
      </c>
      <c r="G10" s="303" t="e">
        <f>(F10-D10)/D10</f>
        <v>#REF!</v>
      </c>
      <c r="I10" s="287" t="s">
        <v>313</v>
      </c>
      <c r="J10" s="287"/>
      <c r="K10" s="287"/>
      <c r="L10" s="322" t="s">
        <v>321</v>
      </c>
    </row>
    <row r="11" spans="1:15" ht="29.45" thickBot="1" x14ac:dyDescent="0.35">
      <c r="A11" s="301"/>
      <c r="B11" s="318"/>
      <c r="C11" s="349" t="s">
        <v>352</v>
      </c>
      <c r="D11" s="356" t="s">
        <v>327</v>
      </c>
      <c r="E11" s="349" t="s">
        <v>352</v>
      </c>
      <c r="F11" s="367" t="s">
        <v>360</v>
      </c>
      <c r="G11" s="304"/>
      <c r="I11" s="287"/>
      <c r="J11" s="287"/>
      <c r="K11" s="287"/>
      <c r="L11" s="323"/>
    </row>
    <row r="12" spans="1:15" ht="14.45" x14ac:dyDescent="0.3">
      <c r="A12" s="295" t="s">
        <v>260</v>
      </c>
      <c r="B12" s="315" t="s">
        <v>261</v>
      </c>
      <c r="C12" s="296">
        <v>289.12188811630347</v>
      </c>
      <c r="D12" s="353">
        <v>321.24654235144834</v>
      </c>
      <c r="E12" s="296" t="e">
        <f>#REF!</f>
        <v>#REF!</v>
      </c>
      <c r="F12" s="353" t="e">
        <f>#REF!</f>
        <v>#REF!</v>
      </c>
      <c r="G12" s="297" t="e">
        <f>(F12-D12)/D12</f>
        <v>#REF!</v>
      </c>
      <c r="I12" s="287" t="s">
        <v>313</v>
      </c>
      <c r="J12" s="287" t="s">
        <v>313</v>
      </c>
      <c r="K12" s="287" t="s">
        <v>313</v>
      </c>
      <c r="L12" s="324"/>
    </row>
    <row r="13" spans="1:15" ht="14.45" x14ac:dyDescent="0.3">
      <c r="A13" s="301"/>
      <c r="B13" s="317" t="s">
        <v>88</v>
      </c>
      <c r="C13" s="302">
        <v>243.60409187209115</v>
      </c>
      <c r="D13" s="354">
        <v>270.67121319121242</v>
      </c>
      <c r="E13" s="302" t="e">
        <f>#REF!</f>
        <v>#REF!</v>
      </c>
      <c r="F13" s="354" t="e">
        <f>#REF!</f>
        <v>#REF!</v>
      </c>
      <c r="G13" s="303" t="e">
        <f>(F13-D13)/D13</f>
        <v>#REF!</v>
      </c>
      <c r="I13" s="287" t="s">
        <v>313</v>
      </c>
      <c r="J13" s="287"/>
      <c r="K13" s="287" t="s">
        <v>313</v>
      </c>
    </row>
    <row r="14" spans="1:15" ht="14.45" x14ac:dyDescent="0.3">
      <c r="A14" s="301"/>
      <c r="B14" s="317" t="s">
        <v>308</v>
      </c>
      <c r="C14" s="302">
        <v>167.42807311429496</v>
      </c>
      <c r="D14" s="354">
        <v>186.03119234921664</v>
      </c>
      <c r="E14" s="302" t="e">
        <f>#REF!</f>
        <v>#REF!</v>
      </c>
      <c r="F14" s="354" t="e">
        <f>#REF!</f>
        <v>#REF!</v>
      </c>
      <c r="G14" s="303" t="e">
        <f>(F14-D14)/D14</f>
        <v>#REF!</v>
      </c>
      <c r="I14" s="287" t="s">
        <v>313</v>
      </c>
      <c r="J14" s="287"/>
      <c r="K14" s="287"/>
    </row>
    <row r="15" spans="1:15" thickBot="1" x14ac:dyDescent="0.35">
      <c r="A15" s="301"/>
      <c r="B15" s="317" t="s">
        <v>306</v>
      </c>
      <c r="C15" s="302">
        <v>91.405164643695855</v>
      </c>
      <c r="D15" s="355">
        <v>101.56129404855095</v>
      </c>
      <c r="E15" s="302" t="e">
        <f>#REF!</f>
        <v>#REF!</v>
      </c>
      <c r="F15" s="355" t="e">
        <f>#REF!</f>
        <v>#REF!</v>
      </c>
      <c r="G15" s="303" t="e">
        <f>(F15-D15)/D15</f>
        <v>#REF!</v>
      </c>
      <c r="I15" s="287"/>
      <c r="J15" s="287"/>
      <c r="K15" s="287"/>
    </row>
    <row r="16" spans="1:15" thickBot="1" x14ac:dyDescent="0.35">
      <c r="A16" s="298"/>
      <c r="B16" s="318"/>
      <c r="C16" s="349" t="s">
        <v>352</v>
      </c>
      <c r="D16" s="352" t="s">
        <v>326</v>
      </c>
      <c r="E16" s="349" t="s">
        <v>352</v>
      </c>
      <c r="F16" s="352" t="s">
        <v>326</v>
      </c>
      <c r="G16" s="304"/>
      <c r="I16" s="287"/>
      <c r="J16" s="287"/>
      <c r="K16" s="287"/>
    </row>
    <row r="17" spans="1:15" ht="14.45" x14ac:dyDescent="0.3">
      <c r="A17" s="295" t="s">
        <v>262</v>
      </c>
      <c r="B17" s="315" t="s">
        <v>263</v>
      </c>
      <c r="C17" s="321">
        <v>243.48651820727702</v>
      </c>
      <c r="D17" s="353">
        <v>270.54057578586333</v>
      </c>
      <c r="E17" s="321" t="e">
        <f>#REF!</f>
        <v>#REF!</v>
      </c>
      <c r="F17" s="353" t="e">
        <f>#REF!</f>
        <v>#REF!</v>
      </c>
      <c r="G17" s="297" t="e">
        <f>(F17-D17)/D17</f>
        <v>#REF!</v>
      </c>
      <c r="I17" s="287" t="s">
        <v>313</v>
      </c>
      <c r="J17" s="287"/>
      <c r="K17" s="287"/>
    </row>
    <row r="18" spans="1:15" ht="14.45" x14ac:dyDescent="0.3">
      <c r="A18" s="301"/>
      <c r="B18" s="317" t="s">
        <v>95</v>
      </c>
      <c r="C18" s="327">
        <v>194.16944803799879</v>
      </c>
      <c r="D18" s="354">
        <v>215.74383115333197</v>
      </c>
      <c r="E18" s="327" t="e">
        <f>#REF!</f>
        <v>#REF!</v>
      </c>
      <c r="F18" s="354" t="e">
        <f>#REF!</f>
        <v>#REF!</v>
      </c>
      <c r="G18" s="303" t="e">
        <f>(F18-D18)/D18</f>
        <v>#REF!</v>
      </c>
      <c r="I18" s="287" t="s">
        <v>313</v>
      </c>
      <c r="J18" s="287"/>
      <c r="K18" s="287" t="s">
        <v>313</v>
      </c>
    </row>
    <row r="19" spans="1:15" ht="14.45" x14ac:dyDescent="0.3">
      <c r="A19" s="301"/>
      <c r="B19" s="317" t="s">
        <v>310</v>
      </c>
      <c r="C19" s="327">
        <v>195.98092917064997</v>
      </c>
      <c r="D19" s="354">
        <v>217.75658796738887</v>
      </c>
      <c r="E19" s="327" t="e">
        <f>#REF!</f>
        <v>#REF!</v>
      </c>
      <c r="F19" s="354" t="e">
        <f>#REF!</f>
        <v>#REF!</v>
      </c>
      <c r="G19" s="303" t="e">
        <f>(F19-D19)/D19</f>
        <v>#REF!</v>
      </c>
      <c r="I19" s="287" t="s">
        <v>313</v>
      </c>
      <c r="J19" s="287"/>
      <c r="K19" s="287" t="s">
        <v>313</v>
      </c>
    </row>
    <row r="20" spans="1:15" thickBot="1" x14ac:dyDescent="0.35">
      <c r="A20" s="301"/>
      <c r="B20" s="317" t="s">
        <v>97</v>
      </c>
      <c r="C20" s="327">
        <v>91.122032647833549</v>
      </c>
      <c r="D20" s="355">
        <v>101.24670294203727</v>
      </c>
      <c r="E20" s="327" t="e">
        <f>#REF!</f>
        <v>#REF!</v>
      </c>
      <c r="F20" s="355" t="e">
        <f>#REF!</f>
        <v>#REF!</v>
      </c>
      <c r="G20" s="303" t="e">
        <f>(F20-D20)/D20</f>
        <v>#REF!</v>
      </c>
      <c r="I20" s="287"/>
      <c r="J20" s="287"/>
      <c r="K20" s="287"/>
    </row>
    <row r="21" spans="1:15" thickBot="1" x14ac:dyDescent="0.35">
      <c r="A21" s="301"/>
      <c r="B21" s="359" t="s">
        <v>355</v>
      </c>
      <c r="C21" s="360"/>
      <c r="D21" s="360"/>
      <c r="E21" s="360">
        <f>'TLP E-bed add-on (rebased)'!D24</f>
        <v>14.51052830958904</v>
      </c>
      <c r="F21" s="362">
        <f>'TLP E-bed add-on (rebased)'!E24</f>
        <v>14.51052830958904</v>
      </c>
      <c r="G21" s="361" t="s">
        <v>330</v>
      </c>
      <c r="I21" s="287"/>
      <c r="J21" s="287"/>
      <c r="K21" s="287"/>
      <c r="N21" s="287"/>
      <c r="O21" s="287" t="s">
        <v>313</v>
      </c>
    </row>
    <row r="22" spans="1:15" thickBot="1" x14ac:dyDescent="0.35">
      <c r="A22" s="298"/>
      <c r="B22" s="318"/>
      <c r="C22" s="349" t="s">
        <v>352</v>
      </c>
      <c r="D22" s="352" t="s">
        <v>326</v>
      </c>
      <c r="E22" s="349" t="s">
        <v>352</v>
      </c>
      <c r="F22" s="352" t="s">
        <v>326</v>
      </c>
      <c r="G22" s="304"/>
      <c r="I22" s="287"/>
      <c r="J22" s="287"/>
      <c r="K22" s="287"/>
    </row>
    <row r="23" spans="1:15" ht="14.45" x14ac:dyDescent="0.3">
      <c r="A23" s="295" t="s">
        <v>309</v>
      </c>
      <c r="B23" s="315" t="s">
        <v>124</v>
      </c>
      <c r="C23" s="296">
        <v>100.5570420947022</v>
      </c>
      <c r="D23" s="353">
        <v>111.73004677189132</v>
      </c>
      <c r="E23" s="296" t="e">
        <f>#REF!</f>
        <v>#REF!</v>
      </c>
      <c r="F23" s="353" t="e">
        <f>#REF!</f>
        <v>#REF!</v>
      </c>
      <c r="G23" s="297" t="e">
        <f>(F23-D23)/D23</f>
        <v>#REF!</v>
      </c>
      <c r="I23" s="287"/>
      <c r="J23" s="287" t="s">
        <v>313</v>
      </c>
      <c r="K23" s="287" t="s">
        <v>313</v>
      </c>
    </row>
    <row r="24" spans="1:15" ht="14.45" x14ac:dyDescent="0.3">
      <c r="A24" s="301"/>
      <c r="B24" s="317" t="s">
        <v>304</v>
      </c>
      <c r="C24" s="302">
        <v>261.73934709777882</v>
      </c>
      <c r="D24" s="354">
        <v>290.82149677530981</v>
      </c>
      <c r="E24" s="302" t="e">
        <f>#REF!</f>
        <v>#REF!</v>
      </c>
      <c r="F24" s="354" t="e">
        <f>#REF!</f>
        <v>#REF!</v>
      </c>
      <c r="G24" s="303" t="e">
        <f>(F24-D24)/D24</f>
        <v>#REF!</v>
      </c>
      <c r="I24" s="287" t="s">
        <v>313</v>
      </c>
      <c r="J24" s="287" t="s">
        <v>313</v>
      </c>
      <c r="K24" s="287" t="s">
        <v>313</v>
      </c>
    </row>
    <row r="25" spans="1:15" thickBot="1" x14ac:dyDescent="0.35">
      <c r="A25" s="301"/>
      <c r="B25" s="317" t="s">
        <v>264</v>
      </c>
      <c r="C25" s="302">
        <v>223.22843008622854</v>
      </c>
      <c r="D25" s="355">
        <v>248.03158898469837</v>
      </c>
      <c r="E25" s="302" t="e">
        <f>#REF!</f>
        <v>#REF!</v>
      </c>
      <c r="F25" s="355" t="e">
        <f>#REF!</f>
        <v>#REF!</v>
      </c>
      <c r="G25" s="303" t="e">
        <f>(F25-D25)/D25</f>
        <v>#REF!</v>
      </c>
      <c r="I25" s="287" t="s">
        <v>313</v>
      </c>
      <c r="J25" s="287"/>
      <c r="K25" s="287" t="s">
        <v>313</v>
      </c>
    </row>
    <row r="26" spans="1:15" thickBot="1" x14ac:dyDescent="0.35">
      <c r="A26" s="298"/>
      <c r="B26" s="318"/>
      <c r="C26" s="349" t="s">
        <v>352</v>
      </c>
      <c r="D26" s="311" t="s">
        <v>326</v>
      </c>
      <c r="E26" s="349" t="s">
        <v>352</v>
      </c>
      <c r="F26" s="311" t="s">
        <v>326</v>
      </c>
      <c r="G26" s="304"/>
      <c r="I26" s="287"/>
      <c r="J26" s="287"/>
      <c r="K26" s="287"/>
    </row>
    <row r="27" spans="1:15" ht="14.45" x14ac:dyDescent="0.3">
      <c r="A27" s="305" t="s">
        <v>136</v>
      </c>
      <c r="B27" s="357" t="s">
        <v>136</v>
      </c>
      <c r="C27" s="353">
        <v>65.356774042270089</v>
      </c>
      <c r="D27" s="321">
        <v>72.618637824744539</v>
      </c>
      <c r="E27" s="353" t="e">
        <f>#REF!</f>
        <v>#REF!</v>
      </c>
      <c r="F27" s="343" t="e">
        <f>#REF!</f>
        <v>#REF!</v>
      </c>
      <c r="G27" s="297" t="e">
        <f>(E27-C27)/C27</f>
        <v>#REF!</v>
      </c>
      <c r="I27" s="287"/>
      <c r="J27" s="287"/>
      <c r="K27" s="287" t="s">
        <v>313</v>
      </c>
    </row>
    <row r="28" spans="1:15" thickBot="1" x14ac:dyDescent="0.35">
      <c r="A28" s="306"/>
      <c r="B28" s="358" t="s">
        <v>137</v>
      </c>
      <c r="C28" s="355">
        <v>44.995860409113412</v>
      </c>
      <c r="D28" s="327">
        <v>49.995400454570451</v>
      </c>
      <c r="E28" s="355" t="e">
        <f>#REF!</f>
        <v>#REF!</v>
      </c>
      <c r="F28" s="344" t="e">
        <f>#REF!</f>
        <v>#REF!</v>
      </c>
      <c r="G28" s="303" t="e">
        <f>(F28-D28)/D28</f>
        <v>#REF!</v>
      </c>
      <c r="I28" s="287"/>
      <c r="J28" s="287"/>
      <c r="K28" s="287"/>
    </row>
    <row r="29" spans="1:15" thickBot="1" x14ac:dyDescent="0.35">
      <c r="A29" s="307"/>
      <c r="B29" s="318"/>
      <c r="C29" s="349" t="s">
        <v>352</v>
      </c>
      <c r="D29" s="352" t="s">
        <v>326</v>
      </c>
      <c r="E29" s="349" t="s">
        <v>352</v>
      </c>
      <c r="F29" s="352" t="s">
        <v>326</v>
      </c>
      <c r="G29" s="304"/>
      <c r="I29" s="287"/>
      <c r="J29" s="287"/>
      <c r="K29" s="287"/>
    </row>
    <row r="30" spans="1:15" ht="14.45" x14ac:dyDescent="0.3">
      <c r="A30" s="305" t="s">
        <v>265</v>
      </c>
      <c r="B30" s="315" t="s">
        <v>358</v>
      </c>
      <c r="C30" s="296">
        <v>136.5694078291794</v>
      </c>
      <c r="D30" s="353">
        <v>151.74378647686603</v>
      </c>
      <c r="E30" s="296" t="e">
        <f>#REF!</f>
        <v>#REF!</v>
      </c>
      <c r="F30" s="353" t="e">
        <f>#REF!</f>
        <v>#REF!</v>
      </c>
      <c r="G30" s="297" t="e">
        <f>(F30-D30)/D30</f>
        <v>#REF!</v>
      </c>
      <c r="I30" s="287" t="s">
        <v>313</v>
      </c>
      <c r="J30" s="287" t="s">
        <v>313</v>
      </c>
      <c r="K30" s="287" t="s">
        <v>313</v>
      </c>
    </row>
    <row r="31" spans="1:15" ht="14.45" x14ac:dyDescent="0.3">
      <c r="A31" s="306"/>
      <c r="B31" s="317" t="s">
        <v>359</v>
      </c>
      <c r="C31" s="302">
        <v>295.64501011805959</v>
      </c>
      <c r="D31" s="354">
        <v>328.49445568673286</v>
      </c>
      <c r="E31" s="302" t="e">
        <f>#REF!</f>
        <v>#REF!</v>
      </c>
      <c r="F31" s="354" t="e">
        <f>#REF!</f>
        <v>#REF!</v>
      </c>
      <c r="G31" s="303" t="e">
        <f>(F31-D31)/D31</f>
        <v>#REF!</v>
      </c>
      <c r="I31" s="287" t="s">
        <v>313</v>
      </c>
      <c r="J31" s="287" t="s">
        <v>313</v>
      </c>
      <c r="K31" s="287" t="s">
        <v>313</v>
      </c>
    </row>
    <row r="32" spans="1:15" ht="14.45" x14ac:dyDescent="0.3">
      <c r="A32" s="306"/>
      <c r="B32" s="358"/>
      <c r="C32" s="365" t="s">
        <v>352</v>
      </c>
      <c r="D32" s="366" t="s">
        <v>326</v>
      </c>
      <c r="E32" s="365" t="s">
        <v>352</v>
      </c>
      <c r="F32" s="366" t="s">
        <v>326</v>
      </c>
      <c r="G32" s="303"/>
      <c r="I32" s="287"/>
      <c r="J32" s="287"/>
      <c r="K32" s="287"/>
    </row>
    <row r="33" spans="1:15" ht="43.9" thickBot="1" x14ac:dyDescent="0.35">
      <c r="A33" s="306"/>
      <c r="B33" s="359" t="s">
        <v>305</v>
      </c>
      <c r="C33" s="360"/>
      <c r="D33" s="364"/>
      <c r="E33" s="360" t="e">
        <f>#REF!</f>
        <v>#REF!</v>
      </c>
      <c r="F33" s="364" t="e">
        <f>#REF!</f>
        <v>#REF!</v>
      </c>
      <c r="G33" s="361" t="s">
        <v>330</v>
      </c>
      <c r="I33" s="287" t="s">
        <v>313</v>
      </c>
      <c r="J33" s="287" t="s">
        <v>313</v>
      </c>
      <c r="K33" s="287" t="s">
        <v>313</v>
      </c>
      <c r="N33" s="290" t="s">
        <v>354</v>
      </c>
    </row>
    <row r="34" spans="1:15" ht="51" customHeight="1" thickBot="1" x14ac:dyDescent="0.35">
      <c r="A34" s="306"/>
      <c r="B34" s="326" t="s">
        <v>337</v>
      </c>
      <c r="C34" s="302">
        <v>263.77337421375773</v>
      </c>
      <c r="D34" s="351">
        <v>293.08152690417529</v>
      </c>
      <c r="E34" s="302" t="e">
        <f>#REF!</f>
        <v>#REF!</v>
      </c>
      <c r="F34" s="351" t="e">
        <f>#REF!</f>
        <v>#REF!</v>
      </c>
      <c r="G34" s="363" t="e">
        <f t="shared" ref="G34:G39" si="0">(F34-D34)/D34</f>
        <v>#REF!</v>
      </c>
      <c r="I34" s="325" t="s">
        <v>313</v>
      </c>
      <c r="J34" s="287"/>
      <c r="K34" s="287"/>
      <c r="N34" s="1415"/>
      <c r="O34" s="1415"/>
    </row>
    <row r="35" spans="1:15" thickBot="1" x14ac:dyDescent="0.35">
      <c r="A35" s="306"/>
      <c r="B35" s="358" t="s">
        <v>288</v>
      </c>
      <c r="C35" s="351">
        <v>642.5200886959841</v>
      </c>
      <c r="D35" s="302">
        <v>713.91120966220444</v>
      </c>
      <c r="E35" s="351" t="e">
        <f>#REF!</f>
        <v>#REF!</v>
      </c>
      <c r="F35" s="312" t="e">
        <f>#REF!</f>
        <v>#REF!</v>
      </c>
      <c r="G35" s="303" t="e">
        <f t="shared" si="0"/>
        <v>#REF!</v>
      </c>
      <c r="I35" s="287" t="s">
        <v>313</v>
      </c>
      <c r="J35" s="287"/>
      <c r="K35" s="287"/>
    </row>
    <row r="36" spans="1:15" thickBot="1" x14ac:dyDescent="0.35">
      <c r="A36" s="306"/>
      <c r="B36" s="317" t="s">
        <v>271</v>
      </c>
      <c r="C36" s="302">
        <v>334.02786850020249</v>
      </c>
      <c r="D36" s="351">
        <v>371.14207611133611</v>
      </c>
      <c r="E36" s="302" t="e">
        <f>#REF!</f>
        <v>#REF!</v>
      </c>
      <c r="F36" s="351" t="e">
        <f>#REF!</f>
        <v>#REF!</v>
      </c>
      <c r="G36" s="303" t="e">
        <f t="shared" si="0"/>
        <v>#REF!</v>
      </c>
      <c r="I36" s="287" t="s">
        <v>313</v>
      </c>
      <c r="J36" s="287"/>
      <c r="K36" s="287"/>
    </row>
    <row r="37" spans="1:15" thickBot="1" x14ac:dyDescent="0.35">
      <c r="A37" s="306"/>
      <c r="B37" s="358" t="s">
        <v>272</v>
      </c>
      <c r="C37" s="351">
        <v>146.72840306195548</v>
      </c>
      <c r="D37" s="302">
        <v>163.03155895772832</v>
      </c>
      <c r="E37" s="351" t="e">
        <f>#REF!</f>
        <v>#REF!</v>
      </c>
      <c r="F37" s="312" t="e">
        <f>#REF!</f>
        <v>#REF!</v>
      </c>
      <c r="G37" s="303" t="e">
        <f t="shared" si="0"/>
        <v>#REF!</v>
      </c>
      <c r="I37" s="287"/>
      <c r="J37" s="287" t="s">
        <v>313</v>
      </c>
      <c r="K37" s="287" t="s">
        <v>313</v>
      </c>
    </row>
    <row r="38" spans="1:15" thickBot="1" x14ac:dyDescent="0.35">
      <c r="A38" s="306"/>
      <c r="B38" s="317" t="s">
        <v>273</v>
      </c>
      <c r="C38" s="302">
        <v>33.445837740879078</v>
      </c>
      <c r="D38" s="351">
        <v>37.162041934310089</v>
      </c>
      <c r="E38" s="302" t="e">
        <f>#REF!</f>
        <v>#REF!</v>
      </c>
      <c r="F38" s="351" t="e">
        <f>#REF!</f>
        <v>#REF!</v>
      </c>
      <c r="G38" s="303" t="e">
        <f t="shared" si="0"/>
        <v>#REF!</v>
      </c>
      <c r="I38" s="287"/>
      <c r="J38" s="287"/>
      <c r="K38" s="287"/>
    </row>
    <row r="39" spans="1:15" ht="64.5" customHeight="1" thickBot="1" x14ac:dyDescent="0.35">
      <c r="A39" s="288"/>
      <c r="B39" s="326" t="s">
        <v>336</v>
      </c>
      <c r="C39" s="302">
        <v>59.579303942465522</v>
      </c>
      <c r="D39" s="351">
        <v>66.199226602739472</v>
      </c>
      <c r="E39" s="302" t="e">
        <f>#REF!</f>
        <v>#REF!</v>
      </c>
      <c r="F39" s="351" t="e">
        <f>#REF!</f>
        <v>#REF!</v>
      </c>
      <c r="G39" s="303" t="e">
        <f t="shared" si="0"/>
        <v>#REF!</v>
      </c>
      <c r="I39" s="287"/>
      <c r="J39" s="287"/>
      <c r="K39" s="287" t="s">
        <v>313</v>
      </c>
    </row>
    <row r="40" spans="1:15" ht="14.45" x14ac:dyDescent="0.3">
      <c r="A40" s="310"/>
      <c r="B40" s="320"/>
      <c r="C40" s="349" t="s">
        <v>352</v>
      </c>
      <c r="D40" s="313" t="s">
        <v>326</v>
      </c>
      <c r="E40" s="349" t="s">
        <v>352</v>
      </c>
      <c r="F40" s="313" t="s">
        <v>326</v>
      </c>
      <c r="G40" s="310"/>
      <c r="I40" s="287"/>
      <c r="J40" s="287"/>
      <c r="K40" s="287"/>
    </row>
    <row r="41" spans="1:15" ht="14.45" x14ac:dyDescent="0.3">
      <c r="I41" s="287"/>
      <c r="J41" s="287"/>
    </row>
  </sheetData>
  <mergeCells count="3">
    <mergeCell ref="A1:H1"/>
    <mergeCell ref="I1:N1"/>
    <mergeCell ref="N34:O34"/>
  </mergeCells>
  <phoneticPr fontId="29" type="noConversion"/>
  <pageMargins left="0.7" right="0.7" top="0.75" bottom="0.75" header="0.3" footer="0.3"/>
  <pageSetup scale="64" orientation="landscape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topLeftCell="G1" zoomScale="70" zoomScaleNormal="70" workbookViewId="0">
      <selection activeCell="W25" sqref="W25"/>
    </sheetView>
  </sheetViews>
  <sheetFormatPr defaultColWidth="9.140625" defaultRowHeight="12.75" x14ac:dyDescent="0.2"/>
  <cols>
    <col min="1" max="1" width="31.85546875" style="23" hidden="1" customWidth="1"/>
    <col min="2" max="2" width="5.7109375" style="23" hidden="1" customWidth="1"/>
    <col min="3" max="3" width="12.85546875" style="23" hidden="1" customWidth="1"/>
    <col min="4" max="4" width="10.85546875" style="23" hidden="1" customWidth="1"/>
    <col min="5" max="6" width="13.140625" style="23" hidden="1" customWidth="1"/>
    <col min="7" max="7" width="9.140625" style="23"/>
    <col min="8" max="8" width="31.85546875" style="23" customWidth="1"/>
    <col min="9" max="9" width="5.7109375" style="23" customWidth="1"/>
    <col min="10" max="10" width="12.85546875" style="23" customWidth="1"/>
    <col min="11" max="11" width="10.85546875" style="23" customWidth="1"/>
    <col min="12" max="12" width="13.140625" style="23" customWidth="1"/>
    <col min="13" max="13" width="14.7109375" style="23" customWidth="1"/>
    <col min="14" max="14" width="16.140625" style="281" customWidth="1"/>
    <col min="15" max="15" width="9.140625" style="23"/>
    <col min="16" max="16" width="31.85546875" style="23" bestFit="1" customWidth="1"/>
    <col min="17" max="17" width="10" style="23" customWidth="1"/>
    <col min="18" max="18" width="11.28515625" style="23" customWidth="1"/>
    <col min="19" max="19" width="11" style="23" customWidth="1"/>
    <col min="20" max="16384" width="9.140625" style="23"/>
  </cols>
  <sheetData>
    <row r="1" spans="1:21" ht="13.9" thickBot="1" x14ac:dyDescent="0.3">
      <c r="P1" s="1431" t="s">
        <v>8</v>
      </c>
      <c r="Q1" s="1431"/>
      <c r="R1" s="1431"/>
      <c r="S1" s="1431"/>
    </row>
    <row r="2" spans="1:21" ht="13.9" thickBot="1" x14ac:dyDescent="0.3"/>
    <row r="3" spans="1:21" ht="13.15" x14ac:dyDescent="0.25">
      <c r="P3" s="5" t="s">
        <v>9</v>
      </c>
      <c r="Q3" s="1432" t="s">
        <v>10</v>
      </c>
      <c r="R3" s="1432"/>
      <c r="S3" s="6"/>
      <c r="T3" s="24"/>
      <c r="U3" s="24"/>
    </row>
    <row r="4" spans="1:21" ht="13.15" x14ac:dyDescent="0.25">
      <c r="H4" s="29"/>
      <c r="P4" s="7"/>
      <c r="Q4" s="8" t="s">
        <v>11</v>
      </c>
      <c r="R4" s="9" t="s">
        <v>12</v>
      </c>
      <c r="S4" s="10"/>
      <c r="T4" s="24"/>
      <c r="U4" s="24"/>
    </row>
    <row r="5" spans="1:21" ht="15" customHeight="1" thickBot="1" x14ac:dyDescent="0.3">
      <c r="H5" s="1458" t="s">
        <v>786</v>
      </c>
      <c r="I5" s="1458"/>
      <c r="J5" s="1458"/>
      <c r="K5" s="1458"/>
      <c r="L5" s="1458"/>
      <c r="M5" s="1458"/>
      <c r="P5" s="11" t="s">
        <v>13</v>
      </c>
      <c r="Q5" s="12">
        <v>13</v>
      </c>
      <c r="R5" s="13">
        <f>Q5*8</f>
        <v>104</v>
      </c>
      <c r="S5" s="10"/>
      <c r="T5" s="24"/>
      <c r="U5" s="24"/>
    </row>
    <row r="6" spans="1:21" ht="14.45" customHeight="1" x14ac:dyDescent="0.2">
      <c r="A6" s="1426" t="s">
        <v>498</v>
      </c>
      <c r="B6" s="1451"/>
      <c r="C6" s="1451"/>
      <c r="D6" s="1451"/>
      <c r="E6" s="1451"/>
      <c r="F6" s="1433" t="s">
        <v>460</v>
      </c>
      <c r="H6" s="1453" t="s">
        <v>501</v>
      </c>
      <c r="I6" s="1454"/>
      <c r="J6" s="1454"/>
      <c r="K6" s="1454"/>
      <c r="L6" s="1454"/>
      <c r="M6" s="1456" t="s">
        <v>496</v>
      </c>
      <c r="N6" s="628"/>
      <c r="P6" s="11" t="s">
        <v>14</v>
      </c>
      <c r="Q6" s="12">
        <v>10</v>
      </c>
      <c r="R6" s="13">
        <f>Q6*8</f>
        <v>80</v>
      </c>
      <c r="S6" s="10"/>
      <c r="T6" s="24"/>
      <c r="U6" s="24"/>
    </row>
    <row r="7" spans="1:21" ht="15" customHeight="1" thickBot="1" x14ac:dyDescent="0.25">
      <c r="A7" s="1452"/>
      <c r="B7" s="1452"/>
      <c r="C7" s="1452"/>
      <c r="D7" s="1452"/>
      <c r="E7" s="1452"/>
      <c r="F7" s="1434"/>
      <c r="H7" s="1455"/>
      <c r="I7" s="1452"/>
      <c r="J7" s="1452"/>
      <c r="K7" s="1452"/>
      <c r="L7" s="1452"/>
      <c r="M7" s="1457"/>
      <c r="N7" s="628"/>
      <c r="P7" s="11" t="s">
        <v>15</v>
      </c>
      <c r="Q7" s="12">
        <v>11</v>
      </c>
      <c r="R7" s="13">
        <f>Q7*8</f>
        <v>88</v>
      </c>
      <c r="S7" s="10"/>
      <c r="T7" s="24"/>
      <c r="U7" s="24"/>
    </row>
    <row r="8" spans="1:21" ht="13.15" x14ac:dyDescent="0.25">
      <c r="A8" s="25" t="s">
        <v>0</v>
      </c>
      <c r="B8" s="69">
        <f>R$32</f>
        <v>12</v>
      </c>
      <c r="C8" s="25"/>
      <c r="D8" s="25" t="s">
        <v>1</v>
      </c>
      <c r="E8" s="68">
        <f>B8*365</f>
        <v>4380</v>
      </c>
      <c r="F8" s="430"/>
      <c r="H8" s="50" t="s">
        <v>0</v>
      </c>
      <c r="I8" s="566">
        <v>12</v>
      </c>
      <c r="J8" s="120"/>
      <c r="K8" s="120" t="s">
        <v>1</v>
      </c>
      <c r="L8" s="1027">
        <f>I8*365</f>
        <v>4380</v>
      </c>
      <c r="M8" s="1059"/>
      <c r="N8" s="629"/>
      <c r="P8" s="14" t="s">
        <v>16</v>
      </c>
      <c r="Q8" s="15">
        <v>5</v>
      </c>
      <c r="R8" s="16">
        <f>Q8*8</f>
        <v>40</v>
      </c>
      <c r="S8" s="17"/>
      <c r="T8" s="24"/>
      <c r="U8" s="24"/>
    </row>
    <row r="9" spans="1:21" ht="13.15" x14ac:dyDescent="0.25">
      <c r="F9" s="407"/>
      <c r="H9" s="43"/>
      <c r="I9" s="29"/>
      <c r="J9" s="29"/>
      <c r="K9" s="29"/>
      <c r="L9" s="29"/>
      <c r="M9" s="41"/>
      <c r="P9" s="11"/>
      <c r="Q9" s="18" t="s">
        <v>17</v>
      </c>
      <c r="R9" s="13">
        <f>SUM(R5:R8)</f>
        <v>312</v>
      </c>
      <c r="S9" s="19"/>
      <c r="T9" s="24"/>
      <c r="U9" s="24"/>
    </row>
    <row r="10" spans="1:21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1060"/>
      <c r="I10" s="26"/>
      <c r="J10" s="27" t="s">
        <v>2</v>
      </c>
      <c r="K10" s="27" t="s">
        <v>3</v>
      </c>
      <c r="L10" s="27" t="s">
        <v>4</v>
      </c>
      <c r="M10" s="1061"/>
      <c r="N10" s="335"/>
      <c r="P10" s="20"/>
      <c r="Q10" s="21" t="s">
        <v>18</v>
      </c>
      <c r="R10" s="22">
        <f>R9/(52*40)</f>
        <v>0.15</v>
      </c>
      <c r="S10" s="56"/>
    </row>
    <row r="11" spans="1:21" ht="13.9" thickBot="1" x14ac:dyDescent="0.3">
      <c r="A11" s="1" t="s">
        <v>19</v>
      </c>
      <c r="C11" s="30">
        <f>$R$13</f>
        <v>64308</v>
      </c>
      <c r="D11" s="35">
        <f>$R$33</f>
        <v>2</v>
      </c>
      <c r="E11" s="28">
        <f>C11*D11</f>
        <v>128616</v>
      </c>
      <c r="F11" s="407"/>
      <c r="H11" s="1062" t="s">
        <v>19</v>
      </c>
      <c r="I11" s="29"/>
      <c r="J11" s="280">
        <f>R13</f>
        <v>64308</v>
      </c>
      <c r="K11" s="46">
        <f>$R$33</f>
        <v>2</v>
      </c>
      <c r="L11" s="1028">
        <f>J11*K11</f>
        <v>128616</v>
      </c>
      <c r="M11" s="1063"/>
      <c r="N11" s="284"/>
    </row>
    <row r="12" spans="1:21" ht="13.15" x14ac:dyDescent="0.25">
      <c r="A12" s="2" t="s">
        <v>227</v>
      </c>
      <c r="C12" s="30"/>
      <c r="D12" s="35"/>
      <c r="E12" s="28"/>
      <c r="F12" s="407"/>
      <c r="H12" s="7" t="s">
        <v>227</v>
      </c>
      <c r="I12" s="29"/>
      <c r="J12" s="280">
        <f t="shared" ref="J12:J26" si="0">R14</f>
        <v>0</v>
      </c>
      <c r="K12" s="46"/>
      <c r="L12" s="1028"/>
      <c r="M12" s="1063"/>
      <c r="N12" s="284"/>
      <c r="P12" s="36"/>
      <c r="Q12" s="37"/>
      <c r="R12" s="38" t="s">
        <v>75</v>
      </c>
      <c r="S12" s="39"/>
    </row>
    <row r="13" spans="1:21" ht="13.15" x14ac:dyDescent="0.25">
      <c r="A13" s="3" t="s">
        <v>23</v>
      </c>
      <c r="C13" s="30">
        <f>$R$15</f>
        <v>209260</v>
      </c>
      <c r="D13" s="35">
        <f>$R$35</f>
        <v>0.3</v>
      </c>
      <c r="E13" s="28">
        <f t="shared" ref="E13:E24" si="1">C13*D13</f>
        <v>62778</v>
      </c>
      <c r="F13" s="407"/>
      <c r="H13" s="11" t="s">
        <v>23</v>
      </c>
      <c r="I13" s="29"/>
      <c r="J13" s="280">
        <f t="shared" si="0"/>
        <v>209260</v>
      </c>
      <c r="K13" s="46">
        <f>$R$35</f>
        <v>0.3</v>
      </c>
      <c r="L13" s="1028">
        <f t="shared" ref="L13:L15" si="2">J13*K13</f>
        <v>62778</v>
      </c>
      <c r="M13" s="1063"/>
      <c r="N13" s="284"/>
      <c r="P13" s="7" t="s">
        <v>19</v>
      </c>
      <c r="Q13" s="29"/>
      <c r="R13" s="40">
        <v>64308</v>
      </c>
      <c r="S13" s="99"/>
    </row>
    <row r="14" spans="1:21" ht="13.15" x14ac:dyDescent="0.25">
      <c r="A14" s="3" t="s">
        <v>24</v>
      </c>
      <c r="C14" s="30">
        <f>$R$16</f>
        <v>67627</v>
      </c>
      <c r="D14" s="35">
        <f>$R$36</f>
        <v>2.75</v>
      </c>
      <c r="E14" s="28">
        <f t="shared" si="1"/>
        <v>185974.25</v>
      </c>
      <c r="F14" s="407"/>
      <c r="H14" s="11" t="s">
        <v>24</v>
      </c>
      <c r="I14" s="29"/>
      <c r="J14" s="280">
        <f t="shared" si="0"/>
        <v>67627</v>
      </c>
      <c r="K14" s="46">
        <f>$R$36</f>
        <v>2.75</v>
      </c>
      <c r="L14" s="1028">
        <f t="shared" si="2"/>
        <v>185974.25</v>
      </c>
      <c r="M14" s="1063"/>
      <c r="N14" s="284"/>
      <c r="P14" s="7" t="s">
        <v>227</v>
      </c>
      <c r="Q14" s="29"/>
      <c r="R14" s="40"/>
      <c r="S14" s="99"/>
    </row>
    <row r="15" spans="1:21" ht="13.15" x14ac:dyDescent="0.25">
      <c r="A15" s="3" t="s">
        <v>25</v>
      </c>
      <c r="C15" s="30">
        <f>$R$17</f>
        <v>64543</v>
      </c>
      <c r="D15" s="35">
        <f>$R$37</f>
        <v>1</v>
      </c>
      <c r="E15" s="28">
        <f t="shared" si="1"/>
        <v>64543</v>
      </c>
      <c r="F15" s="407"/>
      <c r="H15" s="11" t="s">
        <v>25</v>
      </c>
      <c r="I15" s="29"/>
      <c r="J15" s="280">
        <f t="shared" si="0"/>
        <v>64543</v>
      </c>
      <c r="K15" s="46">
        <f>$R$37</f>
        <v>1</v>
      </c>
      <c r="L15" s="1028">
        <f t="shared" si="2"/>
        <v>64543</v>
      </c>
      <c r="M15" s="1063"/>
      <c r="N15" s="284"/>
      <c r="P15" s="11" t="s">
        <v>23</v>
      </c>
      <c r="Q15" s="29"/>
      <c r="R15" s="40">
        <v>209260</v>
      </c>
      <c r="S15" s="99"/>
    </row>
    <row r="16" spans="1:21" ht="13.15" x14ac:dyDescent="0.25">
      <c r="A16" s="3" t="s">
        <v>26</v>
      </c>
      <c r="C16" s="282">
        <f>$R$18</f>
        <v>52283</v>
      </c>
      <c r="D16" s="35">
        <f>$R$38</f>
        <v>2</v>
      </c>
      <c r="E16" s="28">
        <f t="shared" si="1"/>
        <v>104566</v>
      </c>
      <c r="F16" s="407"/>
      <c r="H16" s="11" t="s">
        <v>26</v>
      </c>
      <c r="I16" s="29"/>
      <c r="J16" s="280">
        <f t="shared" si="0"/>
        <v>52283</v>
      </c>
      <c r="K16" s="46">
        <f>$R$38</f>
        <v>2</v>
      </c>
      <c r="L16" s="1028">
        <f>J16*K16</f>
        <v>104566</v>
      </c>
      <c r="M16" s="1063"/>
      <c r="N16" s="284"/>
      <c r="P16" s="11" t="s">
        <v>24</v>
      </c>
      <c r="Q16" s="29"/>
      <c r="R16" s="280">
        <v>67627</v>
      </c>
      <c r="S16" s="99"/>
    </row>
    <row r="17" spans="1:19" ht="13.15" x14ac:dyDescent="0.25">
      <c r="A17" s="3" t="s">
        <v>27</v>
      </c>
      <c r="C17" s="30">
        <f>$R$19</f>
        <v>47578</v>
      </c>
      <c r="D17" s="35">
        <f>$R$39</f>
        <v>1</v>
      </c>
      <c r="E17" s="28">
        <f t="shared" si="1"/>
        <v>47578</v>
      </c>
      <c r="F17" s="407"/>
      <c r="H17" s="11" t="s">
        <v>27</v>
      </c>
      <c r="I17" s="29"/>
      <c r="J17" s="280">
        <f t="shared" si="0"/>
        <v>47578</v>
      </c>
      <c r="K17" s="658">
        <f>$R$39+1</f>
        <v>2</v>
      </c>
      <c r="L17" s="1028">
        <f>J17*K17</f>
        <v>95156</v>
      </c>
      <c r="M17" s="1063"/>
      <c r="N17" s="284"/>
      <c r="P17" s="11" t="s">
        <v>25</v>
      </c>
      <c r="Q17" s="29"/>
      <c r="R17" s="40">
        <v>64543</v>
      </c>
      <c r="S17" s="99" t="s">
        <v>71</v>
      </c>
    </row>
    <row r="18" spans="1:19" ht="13.15" x14ac:dyDescent="0.25">
      <c r="A18" s="2" t="s">
        <v>5</v>
      </c>
      <c r="C18" s="30"/>
      <c r="D18" s="35"/>
      <c r="E18" s="28"/>
      <c r="F18" s="407"/>
      <c r="H18" s="7" t="s">
        <v>5</v>
      </c>
      <c r="I18" s="29"/>
      <c r="J18" s="280">
        <f t="shared" si="0"/>
        <v>0</v>
      </c>
      <c r="K18" s="195"/>
      <c r="L18" s="1028"/>
      <c r="M18" s="1063"/>
      <c r="N18" s="284"/>
      <c r="P18" s="11" t="s">
        <v>26</v>
      </c>
      <c r="Q18" s="29"/>
      <c r="R18" s="280">
        <v>52283</v>
      </c>
      <c r="S18" s="99"/>
    </row>
    <row r="19" spans="1:19" ht="13.15" x14ac:dyDescent="0.25">
      <c r="A19" s="3" t="s">
        <v>28</v>
      </c>
      <c r="C19" s="30">
        <f>$R$21</f>
        <v>37441</v>
      </c>
      <c r="D19" s="35">
        <f>$R$41</f>
        <v>0.18</v>
      </c>
      <c r="E19" s="28">
        <f t="shared" si="1"/>
        <v>6739.38</v>
      </c>
      <c r="F19" s="407"/>
      <c r="H19" s="11" t="s">
        <v>28</v>
      </c>
      <c r="I19" s="29"/>
      <c r="J19" s="280">
        <f t="shared" si="0"/>
        <v>37441</v>
      </c>
      <c r="K19" s="195">
        <f>$R$41</f>
        <v>0.18</v>
      </c>
      <c r="L19" s="1028">
        <f t="shared" ref="L19:L20" si="3">J19*K19</f>
        <v>6739.38</v>
      </c>
      <c r="M19" s="1063"/>
      <c r="N19" s="284"/>
      <c r="P19" s="11" t="s">
        <v>27</v>
      </c>
      <c r="Q19" s="29"/>
      <c r="R19" s="40">
        <v>47578</v>
      </c>
      <c r="S19" s="99"/>
    </row>
    <row r="20" spans="1:19" ht="13.15" x14ac:dyDescent="0.25">
      <c r="A20" s="3" t="s">
        <v>29</v>
      </c>
      <c r="C20" s="30">
        <f>$R$22</f>
        <v>33461</v>
      </c>
      <c r="D20" s="35">
        <f>$R$42</f>
        <v>1</v>
      </c>
      <c r="E20" s="28">
        <f t="shared" si="1"/>
        <v>33461</v>
      </c>
      <c r="F20" s="407"/>
      <c r="H20" s="11" t="s">
        <v>29</v>
      </c>
      <c r="I20" s="29"/>
      <c r="J20" s="280">
        <f t="shared" si="0"/>
        <v>33461</v>
      </c>
      <c r="K20" s="195">
        <f>$R$42</f>
        <v>1</v>
      </c>
      <c r="L20" s="1028">
        <f t="shared" si="3"/>
        <v>33461</v>
      </c>
      <c r="M20" s="1063"/>
      <c r="N20" s="284"/>
      <c r="P20" s="7" t="s">
        <v>5</v>
      </c>
      <c r="Q20" s="29"/>
      <c r="R20" s="40"/>
      <c r="S20" s="99"/>
    </row>
    <row r="21" spans="1:19" ht="13.15" x14ac:dyDescent="0.25">
      <c r="A21" s="3" t="s">
        <v>30</v>
      </c>
      <c r="C21" s="30">
        <f>$R$23</f>
        <v>31769</v>
      </c>
      <c r="D21" s="35">
        <f>$R$43</f>
        <v>20.05</v>
      </c>
      <c r="E21" s="28">
        <f t="shared" si="1"/>
        <v>636968.45000000007</v>
      </c>
      <c r="F21" s="407"/>
      <c r="H21" s="11" t="s">
        <v>30</v>
      </c>
      <c r="I21" s="29"/>
      <c r="J21" s="280">
        <f t="shared" si="0"/>
        <v>31769</v>
      </c>
      <c r="K21" s="658">
        <f>$R$43+2</f>
        <v>22.05</v>
      </c>
      <c r="L21" s="1028">
        <f>J21*K21</f>
        <v>700506.45000000007</v>
      </c>
      <c r="M21" s="1063"/>
      <c r="N21" s="284"/>
      <c r="P21" s="11" t="s">
        <v>28</v>
      </c>
      <c r="Q21" s="29"/>
      <c r="R21" s="40">
        <v>37441</v>
      </c>
      <c r="S21" s="99"/>
    </row>
    <row r="22" spans="1:19" ht="13.15" x14ac:dyDescent="0.25">
      <c r="A22" s="4" t="s">
        <v>31</v>
      </c>
      <c r="C22" s="30">
        <f>$R$24</f>
        <v>31769</v>
      </c>
      <c r="D22" s="35">
        <f>$R$44</f>
        <v>3.0074999999999998</v>
      </c>
      <c r="E22" s="28">
        <f>C22*D22</f>
        <v>95545.267500000002</v>
      </c>
      <c r="F22" s="407"/>
      <c r="H22" s="42" t="s">
        <v>31</v>
      </c>
      <c r="I22" s="29"/>
      <c r="J22" s="280">
        <f t="shared" si="0"/>
        <v>31769</v>
      </c>
      <c r="K22" s="658">
        <f>K21*R10</f>
        <v>3.3075000000000001</v>
      </c>
      <c r="L22" s="1028">
        <f>J22*K22</f>
        <v>105075.9675</v>
      </c>
      <c r="M22" s="1063"/>
      <c r="N22" s="284"/>
      <c r="P22" s="11" t="s">
        <v>29</v>
      </c>
      <c r="Q22" s="29"/>
      <c r="R22" s="40">
        <v>33461</v>
      </c>
      <c r="S22" s="99"/>
    </row>
    <row r="23" spans="1:19" ht="13.15" x14ac:dyDescent="0.25">
      <c r="A23" s="2" t="s">
        <v>6</v>
      </c>
      <c r="C23" s="30"/>
      <c r="D23" s="35"/>
      <c r="E23" s="28"/>
      <c r="F23" s="407"/>
      <c r="H23" s="7" t="s">
        <v>6</v>
      </c>
      <c r="I23" s="29"/>
      <c r="J23" s="280">
        <f t="shared" si="0"/>
        <v>0</v>
      </c>
      <c r="K23" s="46"/>
      <c r="L23" s="1028"/>
      <c r="M23" s="1063"/>
      <c r="N23" s="284"/>
      <c r="P23" s="11" t="s">
        <v>30</v>
      </c>
      <c r="Q23" s="29"/>
      <c r="R23" s="40">
        <v>31769</v>
      </c>
      <c r="S23" s="99"/>
    </row>
    <row r="24" spans="1:19" ht="13.15" x14ac:dyDescent="0.25">
      <c r="A24" s="3" t="s">
        <v>32</v>
      </c>
      <c r="C24" s="30">
        <f>$R$26</f>
        <v>39558</v>
      </c>
      <c r="D24" s="35">
        <f>$R$46</f>
        <v>1.5</v>
      </c>
      <c r="E24" s="28">
        <f t="shared" si="1"/>
        <v>59337</v>
      </c>
      <c r="F24" s="407"/>
      <c r="H24" s="11" t="s">
        <v>32</v>
      </c>
      <c r="I24" s="29"/>
      <c r="J24" s="280">
        <f t="shared" si="0"/>
        <v>39558</v>
      </c>
      <c r="K24" s="46">
        <f>$R$46</f>
        <v>1.5</v>
      </c>
      <c r="L24" s="1028">
        <f t="shared" ref="L24" si="4">J24*K24</f>
        <v>59337</v>
      </c>
      <c r="M24" s="1063"/>
      <c r="N24" s="284"/>
      <c r="P24" s="42" t="s">
        <v>31</v>
      </c>
      <c r="Q24" s="29"/>
      <c r="R24" s="40">
        <v>31769</v>
      </c>
      <c r="S24" s="99"/>
    </row>
    <row r="25" spans="1:19" ht="13.15" x14ac:dyDescent="0.25">
      <c r="A25" s="757" t="s">
        <v>77</v>
      </c>
      <c r="C25" s="30">
        <f>$R$27</f>
        <v>31769</v>
      </c>
      <c r="D25" s="35">
        <f>$R$47</f>
        <v>2</v>
      </c>
      <c r="E25" s="28">
        <f>C25*D25</f>
        <v>63538</v>
      </c>
      <c r="F25" s="407"/>
      <c r="H25" s="106" t="s">
        <v>77</v>
      </c>
      <c r="I25" s="29"/>
      <c r="J25" s="280">
        <f t="shared" si="0"/>
        <v>31769</v>
      </c>
      <c r="K25" s="46">
        <f>$R$47</f>
        <v>2</v>
      </c>
      <c r="L25" s="1028">
        <f>J25*K25</f>
        <v>63538</v>
      </c>
      <c r="M25" s="1063"/>
      <c r="N25" s="284"/>
      <c r="P25" s="7" t="s">
        <v>6</v>
      </c>
      <c r="Q25" s="29"/>
      <c r="R25" s="40"/>
      <c r="S25" s="99"/>
    </row>
    <row r="26" spans="1:19" ht="13.15" x14ac:dyDescent="0.25">
      <c r="A26" s="108" t="s">
        <v>78</v>
      </c>
      <c r="C26" s="30">
        <f>$R$28</f>
        <v>31769</v>
      </c>
      <c r="D26" s="35">
        <f>$R$48</f>
        <v>2</v>
      </c>
      <c r="E26" s="28">
        <f>C26*D26</f>
        <v>63538</v>
      </c>
      <c r="F26" s="407"/>
      <c r="H26" s="1064" t="s">
        <v>78</v>
      </c>
      <c r="I26" s="29"/>
      <c r="J26" s="280">
        <f t="shared" si="0"/>
        <v>31769</v>
      </c>
      <c r="K26" s="46">
        <f>$R$48</f>
        <v>2</v>
      </c>
      <c r="L26" s="1028">
        <f>J26*K26</f>
        <v>63538</v>
      </c>
      <c r="M26" s="1063"/>
      <c r="N26" s="284"/>
      <c r="P26" s="11" t="s">
        <v>32</v>
      </c>
      <c r="Q26" s="29"/>
      <c r="R26" s="40">
        <v>39558</v>
      </c>
      <c r="S26" s="99"/>
    </row>
    <row r="27" spans="1:19" ht="13.15" x14ac:dyDescent="0.25">
      <c r="A27" s="31" t="s">
        <v>7</v>
      </c>
      <c r="B27" s="31"/>
      <c r="C27" s="31"/>
      <c r="D27" s="32">
        <f>SUM(D11:D26)</f>
        <v>38.787500000000001</v>
      </c>
      <c r="E27" s="33">
        <f>SUM(E11:E26)</f>
        <v>1553182.3475000001</v>
      </c>
      <c r="F27" s="407"/>
      <c r="H27" s="1065" t="s">
        <v>7</v>
      </c>
      <c r="I27" s="31"/>
      <c r="J27" s="31"/>
      <c r="K27" s="32">
        <f>SUM(K11:K26)</f>
        <v>42.087499999999999</v>
      </c>
      <c r="L27" s="33">
        <f>SUM(L11:L26)</f>
        <v>1673829.0475000001</v>
      </c>
      <c r="M27" s="1066"/>
      <c r="N27" s="284"/>
      <c r="P27" s="106" t="s">
        <v>77</v>
      </c>
      <c r="Q27" s="29"/>
      <c r="R27" s="40">
        <v>31769</v>
      </c>
      <c r="S27" s="99" t="s">
        <v>70</v>
      </c>
    </row>
    <row r="28" spans="1:19" ht="13.15" x14ac:dyDescent="0.25">
      <c r="F28" s="407"/>
      <c r="H28" s="43"/>
      <c r="I28" s="29"/>
      <c r="J28" s="29"/>
      <c r="K28" s="29"/>
      <c r="L28" s="29"/>
      <c r="M28" s="41"/>
      <c r="N28" s="284"/>
      <c r="P28" s="106" t="s">
        <v>78</v>
      </c>
      <c r="Q28" s="29"/>
      <c r="R28" s="40">
        <v>31769</v>
      </c>
      <c r="S28" s="99" t="s">
        <v>70</v>
      </c>
    </row>
    <row r="29" spans="1:19" ht="13.15" x14ac:dyDescent="0.25">
      <c r="A29" s="25" t="s">
        <v>21</v>
      </c>
      <c r="D29" s="25" t="s">
        <v>20</v>
      </c>
      <c r="F29" s="407"/>
      <c r="H29" s="50" t="s">
        <v>21</v>
      </c>
      <c r="I29" s="29"/>
      <c r="J29" s="29"/>
      <c r="K29" s="120" t="s">
        <v>20</v>
      </c>
      <c r="L29" s="29"/>
      <c r="M29" s="41"/>
      <c r="N29" s="284"/>
      <c r="P29" s="11"/>
      <c r="Q29" s="29"/>
      <c r="R29" s="40"/>
      <c r="S29" s="41"/>
    </row>
    <row r="30" spans="1:19" ht="13.15" x14ac:dyDescent="0.25">
      <c r="A30" s="23" t="s">
        <v>22</v>
      </c>
      <c r="C30" s="97">
        <f>$R$51</f>
        <v>0.23424901786252411</v>
      </c>
      <c r="E30" s="28">
        <f>C30*E27</f>
        <v>363831.43946328468</v>
      </c>
      <c r="F30" s="407"/>
      <c r="H30" s="43" t="s">
        <v>22</v>
      </c>
      <c r="I30" s="29"/>
      <c r="J30" s="573">
        <f>$R$51</f>
        <v>0.23424901786252411</v>
      </c>
      <c r="K30" s="29"/>
      <c r="L30" s="1028">
        <f>J30*L27</f>
        <v>392092.81044663925</v>
      </c>
      <c r="M30" s="1063"/>
      <c r="N30" s="284"/>
      <c r="P30" s="43"/>
      <c r="Q30" s="29"/>
      <c r="R30" s="44" t="s">
        <v>37</v>
      </c>
      <c r="S30" s="41"/>
    </row>
    <row r="31" spans="1:19" ht="13.15" x14ac:dyDescent="0.25">
      <c r="A31" s="31" t="s">
        <v>51</v>
      </c>
      <c r="B31" s="31"/>
      <c r="C31" s="31"/>
      <c r="D31" s="70">
        <f>E31/E8</f>
        <v>437.67438058522487</v>
      </c>
      <c r="E31" s="33">
        <f>E30+E27</f>
        <v>1917013.7869632849</v>
      </c>
      <c r="F31" s="407"/>
      <c r="H31" s="1065" t="s">
        <v>51</v>
      </c>
      <c r="I31" s="31"/>
      <c r="J31" s="31"/>
      <c r="K31" s="70">
        <f>L31/L8</f>
        <v>471.67165706544279</v>
      </c>
      <c r="L31" s="33">
        <f>L30+L27</f>
        <v>2065921.8579466394</v>
      </c>
      <c r="M31" s="1066"/>
      <c r="N31" s="284"/>
      <c r="P31" s="43" t="s">
        <v>35</v>
      </c>
      <c r="Q31" s="65"/>
      <c r="R31" s="65"/>
      <c r="S31" s="66"/>
    </row>
    <row r="32" spans="1:19" ht="13.15" x14ac:dyDescent="0.25">
      <c r="F32" s="407"/>
      <c r="H32" s="43"/>
      <c r="I32" s="29"/>
      <c r="J32" s="29"/>
      <c r="K32" s="29"/>
      <c r="L32" s="29"/>
      <c r="M32" s="41"/>
      <c r="N32" s="284"/>
      <c r="P32" s="43" t="s">
        <v>36</v>
      </c>
      <c r="Q32" s="57"/>
      <c r="R32" s="57">
        <f>'[5]Rate Options'!$K$30</f>
        <v>12</v>
      </c>
      <c r="S32" s="67"/>
    </row>
    <row r="33" spans="1:19" ht="13.15" x14ac:dyDescent="0.25">
      <c r="A33" s="23" t="s">
        <v>39</v>
      </c>
      <c r="D33" s="71">
        <f>$R$53</f>
        <v>25.125</v>
      </c>
      <c r="E33" s="105">
        <f>D33*E8</f>
        <v>110047.5</v>
      </c>
      <c r="F33" s="407"/>
      <c r="H33" s="43" t="s">
        <v>39</v>
      </c>
      <c r="I33" s="29"/>
      <c r="J33" s="29"/>
      <c r="K33" s="61">
        <f>$R$53</f>
        <v>25.125</v>
      </c>
      <c r="L33" s="752">
        <f>K33*L8</f>
        <v>110047.5</v>
      </c>
      <c r="M33" s="140"/>
      <c r="N33" s="284"/>
      <c r="P33" s="7" t="s">
        <v>19</v>
      </c>
      <c r="Q33" s="46"/>
      <c r="R33" s="195">
        <f>'[5]Rate Options'!K32</f>
        <v>2</v>
      </c>
      <c r="S33" s="47"/>
    </row>
    <row r="34" spans="1:19" ht="13.15" x14ac:dyDescent="0.25">
      <c r="A34" s="29" t="s">
        <v>40</v>
      </c>
      <c r="D34" s="71">
        <f>$R$54</f>
        <v>23.103999999999999</v>
      </c>
      <c r="E34" s="105">
        <f>D34*E8</f>
        <v>101195.51999999999</v>
      </c>
      <c r="F34" s="407"/>
      <c r="H34" s="43" t="s">
        <v>40</v>
      </c>
      <c r="I34" s="29"/>
      <c r="J34" s="29"/>
      <c r="K34" s="61">
        <f>$R$54</f>
        <v>23.103999999999999</v>
      </c>
      <c r="L34" s="752">
        <f>K34*L8</f>
        <v>101195.51999999999</v>
      </c>
      <c r="M34" s="140"/>
      <c r="N34" s="284"/>
      <c r="P34" s="7" t="s">
        <v>227</v>
      </c>
      <c r="Q34" s="46"/>
      <c r="R34" s="195"/>
      <c r="S34" s="47"/>
    </row>
    <row r="35" spans="1:19" ht="13.15" x14ac:dyDescent="0.25">
      <c r="D35" s="72">
        <f>SUM(D33:D34)</f>
        <v>48.228999999999999</v>
      </c>
      <c r="F35" s="407"/>
      <c r="H35" s="43"/>
      <c r="I35" s="29"/>
      <c r="J35" s="29"/>
      <c r="K35" s="72">
        <f>SUM(K33:K34)</f>
        <v>48.228999999999999</v>
      </c>
      <c r="L35" s="29"/>
      <c r="M35" s="41"/>
      <c r="N35" s="284"/>
      <c r="P35" s="11" t="s">
        <v>23</v>
      </c>
      <c r="Q35" s="46"/>
      <c r="R35" s="195">
        <f>'[5]Rate Options'!K34</f>
        <v>0.3</v>
      </c>
      <c r="S35" s="47"/>
    </row>
    <row r="36" spans="1:19" ht="13.15" x14ac:dyDescent="0.25">
      <c r="F36" s="407"/>
      <c r="H36" s="43"/>
      <c r="I36" s="29"/>
      <c r="J36" s="29"/>
      <c r="K36" s="29"/>
      <c r="L36" s="29"/>
      <c r="M36" s="41"/>
      <c r="P36" s="11" t="s">
        <v>24</v>
      </c>
      <c r="Q36" s="46"/>
      <c r="R36" s="195">
        <f>'[5]Rate Options'!K35</f>
        <v>2.75</v>
      </c>
      <c r="S36" s="47"/>
    </row>
    <row r="37" spans="1:19" ht="13.15" x14ac:dyDescent="0.25">
      <c r="A37" s="31" t="s">
        <v>43</v>
      </c>
      <c r="B37" s="31"/>
      <c r="C37" s="31"/>
      <c r="D37" s="31"/>
      <c r="E37" s="33">
        <f>SUM(E31:E34)</f>
        <v>2128256.806963285</v>
      </c>
      <c r="F37" s="407"/>
      <c r="H37" s="1065" t="s">
        <v>43</v>
      </c>
      <c r="I37" s="31"/>
      <c r="J37" s="31"/>
      <c r="K37" s="31"/>
      <c r="L37" s="33">
        <f>SUM(L31:L34)</f>
        <v>2277164.8779466394</v>
      </c>
      <c r="M37" s="1066"/>
      <c r="N37" s="393"/>
      <c r="P37" s="11" t="s">
        <v>25</v>
      </c>
      <c r="Q37" s="46"/>
      <c r="R37" s="195">
        <f>'[5]Rate Options'!K36</f>
        <v>1</v>
      </c>
      <c r="S37" s="47"/>
    </row>
    <row r="38" spans="1:19" ht="13.15" x14ac:dyDescent="0.25">
      <c r="F38" s="407"/>
      <c r="H38" s="43"/>
      <c r="I38" s="29"/>
      <c r="J38" s="29"/>
      <c r="K38" s="29"/>
      <c r="L38" s="29"/>
      <c r="M38" s="41"/>
      <c r="P38" s="11" t="s">
        <v>26</v>
      </c>
      <c r="Q38" s="46"/>
      <c r="R38" s="195">
        <f>'[5]Rate Options'!K37</f>
        <v>2</v>
      </c>
      <c r="S38" s="47"/>
    </row>
    <row r="39" spans="1:19" ht="13.15" x14ac:dyDescent="0.25">
      <c r="A39" s="23" t="s">
        <v>44</v>
      </c>
      <c r="C39" s="97">
        <f>$R$57</f>
        <v>9.465319377551569E-2</v>
      </c>
      <c r="E39" s="28">
        <f>C39*E37</f>
        <v>201446.30395355611</v>
      </c>
      <c r="F39" s="407"/>
      <c r="H39" s="43" t="s">
        <v>44</v>
      </c>
      <c r="I39" s="29"/>
      <c r="J39" s="817">
        <f>'STARR (rebased)'!T47</f>
        <v>0.11846733793705286</v>
      </c>
      <c r="K39" s="29"/>
      <c r="L39" s="1028">
        <f>J39*L37</f>
        <v>269769.66113409225</v>
      </c>
      <c r="M39" s="1063"/>
      <c r="N39" s="284"/>
      <c r="P39" s="11" t="s">
        <v>27</v>
      </c>
      <c r="Q39" s="46"/>
      <c r="R39" s="195">
        <f>'[5]Rate Options'!K38</f>
        <v>1</v>
      </c>
      <c r="S39" s="47"/>
    </row>
    <row r="40" spans="1:19" ht="13.15" x14ac:dyDescent="0.25">
      <c r="F40" s="407"/>
      <c r="H40" s="43"/>
      <c r="I40" s="29"/>
      <c r="J40" s="29"/>
      <c r="K40" s="29"/>
      <c r="L40" s="29"/>
      <c r="M40" s="41"/>
      <c r="P40" s="7" t="s">
        <v>5</v>
      </c>
      <c r="Q40" s="46"/>
      <c r="R40" s="195"/>
      <c r="S40" s="47"/>
    </row>
    <row r="41" spans="1:19" ht="13.9" thickBot="1" x14ac:dyDescent="0.3">
      <c r="A41" s="73" t="s">
        <v>52</v>
      </c>
      <c r="B41" s="74"/>
      <c r="C41" s="74"/>
      <c r="D41" s="74"/>
      <c r="E41" s="75">
        <f>SUM(E37:E39)</f>
        <v>2329703.1109168408</v>
      </c>
      <c r="F41" s="407"/>
      <c r="H41" s="1067" t="s">
        <v>52</v>
      </c>
      <c r="I41" s="74"/>
      <c r="J41" s="74"/>
      <c r="K41" s="74"/>
      <c r="L41" s="75">
        <f>SUM(L37:L39)</f>
        <v>2546934.5390807316</v>
      </c>
      <c r="M41" s="1066">
        <f>L41</f>
        <v>2546934.5390807316</v>
      </c>
      <c r="N41" s="393"/>
      <c r="P41" s="11" t="s">
        <v>28</v>
      </c>
      <c r="Q41" s="46"/>
      <c r="R41" s="195">
        <f>'[5]Rate Options'!K40</f>
        <v>0.18</v>
      </c>
      <c r="S41" s="47"/>
    </row>
    <row r="42" spans="1:19" ht="13.9" thickTop="1" x14ac:dyDescent="0.25">
      <c r="F42" s="407"/>
      <c r="H42" s="43"/>
      <c r="I42" s="29"/>
      <c r="J42" s="29"/>
      <c r="K42" s="29"/>
      <c r="L42" s="29"/>
      <c r="M42" s="41"/>
      <c r="P42" s="11" t="s">
        <v>29</v>
      </c>
      <c r="Q42" s="46"/>
      <c r="R42" s="195">
        <f>'[5]Rate Options'!K41</f>
        <v>1</v>
      </c>
      <c r="S42" s="47"/>
    </row>
    <row r="43" spans="1:19" ht="13.15" x14ac:dyDescent="0.25">
      <c r="A43" s="23" t="s">
        <v>53</v>
      </c>
      <c r="C43" s="98"/>
      <c r="E43" s="77">
        <f>E41*(1+C43)</f>
        <v>2329703.1109168408</v>
      </c>
      <c r="F43" s="407"/>
      <c r="H43" s="43"/>
      <c r="I43" s="29"/>
      <c r="J43" s="575"/>
      <c r="K43" s="29"/>
      <c r="L43" s="1029">
        <f>L41*(1+J43)</f>
        <v>2546934.5390807316</v>
      </c>
      <c r="M43" s="1068">
        <f>L43</f>
        <v>2546934.5390807316</v>
      </c>
      <c r="N43" s="631"/>
      <c r="P43" s="11" t="s">
        <v>30</v>
      </c>
      <c r="Q43" s="46"/>
      <c r="R43" s="195">
        <f>'[5]Rate Options'!K42</f>
        <v>20.05</v>
      </c>
      <c r="S43" s="47"/>
    </row>
    <row r="44" spans="1:19" ht="13.15" x14ac:dyDescent="0.25">
      <c r="F44" s="407"/>
      <c r="H44" s="43"/>
      <c r="I44" s="29"/>
      <c r="J44" s="29"/>
      <c r="K44" s="29"/>
      <c r="L44" s="29"/>
      <c r="M44" s="41"/>
      <c r="P44" s="42" t="s">
        <v>31</v>
      </c>
      <c r="Q44" s="46"/>
      <c r="R44" s="178">
        <f>R43*$R$10</f>
        <v>3.0074999999999998</v>
      </c>
      <c r="S44" s="47"/>
    </row>
    <row r="45" spans="1:19" ht="13.15" x14ac:dyDescent="0.25">
      <c r="E45" s="92" t="s">
        <v>56</v>
      </c>
      <c r="F45" s="407"/>
      <c r="H45" s="43"/>
      <c r="I45" s="29"/>
      <c r="J45" s="29"/>
      <c r="K45" s="29"/>
      <c r="L45" s="753" t="s">
        <v>789</v>
      </c>
      <c r="M45" s="1069"/>
      <c r="N45" s="632"/>
      <c r="P45" s="7" t="s">
        <v>6</v>
      </c>
      <c r="Q45" s="46"/>
      <c r="R45" s="195"/>
      <c r="S45" s="47"/>
    </row>
    <row r="46" spans="1:19" ht="13.9" thickBot="1" x14ac:dyDescent="0.3">
      <c r="A46" s="23" t="s">
        <v>55</v>
      </c>
      <c r="D46" s="76">
        <f>E41/E8</f>
        <v>531.89568742393624</v>
      </c>
      <c r="E46" s="76">
        <f>D46*(1+C43)</f>
        <v>531.89568742393624</v>
      </c>
      <c r="F46" s="407"/>
      <c r="H46" s="448" t="s">
        <v>55</v>
      </c>
      <c r="I46" s="162"/>
      <c r="J46" s="162"/>
      <c r="K46" s="398">
        <f>L41/L8</f>
        <v>581.49190389971045</v>
      </c>
      <c r="L46" s="398">
        <f>K46*(1+J43)</f>
        <v>581.49190389971045</v>
      </c>
      <c r="M46" s="1070">
        <f>M43/12</f>
        <v>212244.54492339431</v>
      </c>
      <c r="N46" s="633"/>
      <c r="P46" s="11" t="s">
        <v>32</v>
      </c>
      <c r="Q46" s="46"/>
      <c r="R46" s="195">
        <f>'[5]Rate Options'!K45</f>
        <v>1.5</v>
      </c>
      <c r="S46" s="47"/>
    </row>
    <row r="47" spans="1:19" ht="13.9" thickBot="1" x14ac:dyDescent="0.3">
      <c r="A47" s="377" t="s">
        <v>455</v>
      </c>
      <c r="B47" s="378"/>
      <c r="C47" s="379"/>
      <c r="D47" s="380"/>
      <c r="E47" s="380"/>
      <c r="F47" s="386">
        <f>E46*(1+C47)</f>
        <v>531.89568742393624</v>
      </c>
      <c r="H47" s="1071" t="s">
        <v>762</v>
      </c>
      <c r="I47" s="1072"/>
      <c r="J47" s="1073"/>
      <c r="K47" s="1074"/>
      <c r="L47" s="1074">
        <f>L46*(1+J47)</f>
        <v>581.49190389971045</v>
      </c>
      <c r="M47" s="1370">
        <f>ROUND(M46*(1+J47),0)</f>
        <v>212245</v>
      </c>
      <c r="N47" s="633"/>
      <c r="P47" s="106" t="s">
        <v>77</v>
      </c>
      <c r="Q47" s="46"/>
      <c r="R47" s="195">
        <f>'[5]Rate Options'!K46</f>
        <v>2</v>
      </c>
      <c r="S47" s="47"/>
    </row>
    <row r="48" spans="1:19" ht="13.9" thickBot="1" x14ac:dyDescent="0.3">
      <c r="A48" s="78" t="s">
        <v>54</v>
      </c>
      <c r="B48" s="79">
        <v>0.9</v>
      </c>
      <c r="C48" s="80"/>
      <c r="D48" s="86">
        <f>E41/(E8*B48)</f>
        <v>590.99520824881802</v>
      </c>
      <c r="E48" s="686">
        <f>D48*(1+C43)</f>
        <v>590.99520824881802</v>
      </c>
      <c r="F48" s="687">
        <f>F47/B48</f>
        <v>590.99520824881802</v>
      </c>
      <c r="H48" s="1366" t="s">
        <v>761</v>
      </c>
      <c r="I48" s="1367"/>
      <c r="J48" s="1368">
        <f>R59</f>
        <v>2.3900000000000001E-2</v>
      </c>
      <c r="K48" s="1087"/>
      <c r="L48" s="1087"/>
      <c r="M48" s="1371">
        <f>M47*(J48+1)</f>
        <v>217317.65549999999</v>
      </c>
      <c r="N48" s="389"/>
      <c r="P48" s="106" t="s">
        <v>78</v>
      </c>
      <c r="Q48" s="46"/>
      <c r="R48" s="195">
        <f>'[5]Rate Options'!K47</f>
        <v>2</v>
      </c>
      <c r="S48" s="47"/>
    </row>
    <row r="49" spans="1:20" ht="13.15" x14ac:dyDescent="0.25">
      <c r="A49" s="81"/>
      <c r="B49" s="82">
        <v>0.85</v>
      </c>
      <c r="C49" s="83"/>
      <c r="D49" s="88">
        <f>E41/(E8*B49)</f>
        <v>625.75963226345448</v>
      </c>
      <c r="E49" s="89">
        <f>D49*(1+C43)</f>
        <v>625.75963226345448</v>
      </c>
      <c r="F49" s="386"/>
      <c r="H49" s="959"/>
      <c r="I49" s="475"/>
      <c r="J49" s="476"/>
      <c r="K49" s="389"/>
      <c r="L49" s="389"/>
      <c r="M49" s="389"/>
      <c r="N49" s="389"/>
      <c r="P49" s="43"/>
      <c r="Q49" s="29"/>
      <c r="R49" s="29"/>
      <c r="S49" s="41"/>
    </row>
    <row r="50" spans="1:20" ht="13.15" x14ac:dyDescent="0.25">
      <c r="A50" s="84"/>
      <c r="B50" s="85">
        <v>0.8</v>
      </c>
      <c r="C50" s="34"/>
      <c r="D50" s="90">
        <f>E41/(E8*B50)</f>
        <v>664.86960927992038</v>
      </c>
      <c r="E50" s="91">
        <f>D50*(1+C43)</f>
        <v>664.86960927992038</v>
      </c>
      <c r="F50" s="387"/>
      <c r="H50" s="162"/>
      <c r="I50" s="415"/>
      <c r="J50" s="162"/>
      <c r="K50" s="389"/>
      <c r="L50" s="389"/>
      <c r="M50" s="389"/>
      <c r="N50" s="389"/>
      <c r="P50" s="43"/>
      <c r="Q50" s="29"/>
      <c r="R50" s="44" t="s">
        <v>38</v>
      </c>
      <c r="S50" s="41"/>
    </row>
    <row r="51" spans="1:20" x14ac:dyDescent="0.2">
      <c r="H51" s="162"/>
      <c r="I51" s="1058"/>
      <c r="J51" s="162"/>
      <c r="K51" s="162"/>
      <c r="L51" s="394"/>
      <c r="M51" s="394"/>
      <c r="N51" s="657"/>
      <c r="P51" s="43" t="s">
        <v>22</v>
      </c>
      <c r="Q51" s="29"/>
      <c r="R51" s="95">
        <f>'STARR (rebased)'!T39</f>
        <v>0.23424901786252411</v>
      </c>
      <c r="S51" s="99" t="s">
        <v>146</v>
      </c>
    </row>
    <row r="52" spans="1:20" ht="13.15" x14ac:dyDescent="0.25">
      <c r="I52" s="669"/>
      <c r="J52" s="281"/>
      <c r="K52" s="281"/>
      <c r="L52" s="657"/>
      <c r="M52" s="657"/>
      <c r="N52" s="657"/>
      <c r="P52" s="43"/>
      <c r="Q52" s="29"/>
      <c r="R52" s="48"/>
      <c r="S52" s="41"/>
    </row>
    <row r="53" spans="1:20" x14ac:dyDescent="0.2">
      <c r="I53" s="669"/>
      <c r="J53" s="281"/>
      <c r="K53" s="281"/>
      <c r="L53" s="630"/>
      <c r="M53" s="657"/>
      <c r="N53" s="657"/>
      <c r="P53" s="43" t="s">
        <v>39</v>
      </c>
      <c r="Q53" s="29"/>
      <c r="R53" s="59">
        <v>25.125</v>
      </c>
      <c r="S53" s="244" t="s">
        <v>139</v>
      </c>
    </row>
    <row r="54" spans="1:20" ht="13.15" x14ac:dyDescent="0.25">
      <c r="I54" s="669"/>
      <c r="J54" s="281"/>
      <c r="K54" s="281"/>
      <c r="L54" s="630"/>
      <c r="M54" s="657"/>
      <c r="N54" s="657"/>
      <c r="P54" s="43" t="s">
        <v>40</v>
      </c>
      <c r="Q54" s="29"/>
      <c r="R54" s="59">
        <v>23.103999999999999</v>
      </c>
      <c r="S54" s="41"/>
      <c r="T54" s="177" t="s">
        <v>274</v>
      </c>
    </row>
    <row r="55" spans="1:20" ht="13.15" x14ac:dyDescent="0.25">
      <c r="L55" s="71"/>
      <c r="P55" s="101" t="s">
        <v>43</v>
      </c>
      <c r="Q55" s="102"/>
      <c r="R55" s="103">
        <f>SUM(R53:R54)</f>
        <v>48.228999999999999</v>
      </c>
      <c r="S55" s="104"/>
    </row>
    <row r="56" spans="1:20" ht="13.15" x14ac:dyDescent="0.25">
      <c r="G56" s="71"/>
      <c r="J56" s="71"/>
      <c r="P56" s="43"/>
      <c r="Q56" s="29"/>
      <c r="R56" s="29"/>
      <c r="S56" s="41"/>
    </row>
    <row r="57" spans="1:20" ht="13.15" x14ac:dyDescent="0.25">
      <c r="J57" s="594"/>
      <c r="P57" s="43" t="s">
        <v>44</v>
      </c>
      <c r="Q57" s="29"/>
      <c r="R57" s="95">
        <f>IRTP!X57</f>
        <v>9.465319377551569E-2</v>
      </c>
      <c r="S57" s="99" t="s">
        <v>68</v>
      </c>
    </row>
    <row r="58" spans="1:20" ht="13.15" x14ac:dyDescent="0.25">
      <c r="P58" s="43"/>
      <c r="Q58" s="29"/>
      <c r="R58" s="29"/>
      <c r="S58" s="41"/>
    </row>
    <row r="59" spans="1:20" ht="13.9" thickBot="1" x14ac:dyDescent="0.3">
      <c r="P59" s="239" t="s">
        <v>824</v>
      </c>
      <c r="Q59" s="52"/>
      <c r="R59" s="96">
        <v>2.3900000000000001E-2</v>
      </c>
      <c r="S59" s="53"/>
    </row>
    <row r="60" spans="1:20" ht="13.15" x14ac:dyDescent="0.25">
      <c r="P60" s="63" t="s">
        <v>50</v>
      </c>
      <c r="Q60" s="64" t="s">
        <v>46</v>
      </c>
    </row>
    <row r="61" spans="1:20" ht="13.15" x14ac:dyDescent="0.25">
      <c r="P61" s="24" t="s">
        <v>220</v>
      </c>
    </row>
    <row r="62" spans="1:20" ht="13.15" x14ac:dyDescent="0.25">
      <c r="P62" s="23" t="s">
        <v>63</v>
      </c>
    </row>
    <row r="63" spans="1:20" ht="13.15" x14ac:dyDescent="0.25">
      <c r="P63" s="54" t="s">
        <v>48</v>
      </c>
    </row>
    <row r="65" spans="16:16" ht="13.15" x14ac:dyDescent="0.25">
      <c r="P65" s="55" t="s">
        <v>49</v>
      </c>
    </row>
    <row r="66" spans="16:16" ht="13.15" x14ac:dyDescent="0.25">
      <c r="P66" s="100" t="s">
        <v>80</v>
      </c>
    </row>
    <row r="67" spans="16:16" ht="13.15" x14ac:dyDescent="0.25">
      <c r="P67" s="100" t="s">
        <v>76</v>
      </c>
    </row>
    <row r="68" spans="16:16" ht="13.15" x14ac:dyDescent="0.25">
      <c r="P68" s="94" t="s">
        <v>79</v>
      </c>
    </row>
    <row r="69" spans="16:16" ht="13.15" x14ac:dyDescent="0.25">
      <c r="P69" s="23" t="s">
        <v>73</v>
      </c>
    </row>
    <row r="70" spans="16:16" x14ac:dyDescent="0.2">
      <c r="P70" s="94" t="s">
        <v>255</v>
      </c>
    </row>
    <row r="71" spans="16:16" x14ac:dyDescent="0.2">
      <c r="P71" s="94" t="s">
        <v>143</v>
      </c>
    </row>
    <row r="72" spans="16:16" ht="13.15" x14ac:dyDescent="0.25">
      <c r="P72" s="23" t="s">
        <v>221</v>
      </c>
    </row>
  </sheetData>
  <mergeCells count="7">
    <mergeCell ref="P1:S1"/>
    <mergeCell ref="Q3:R3"/>
    <mergeCell ref="A6:E7"/>
    <mergeCell ref="F6:F7"/>
    <mergeCell ref="H6:L7"/>
    <mergeCell ref="M6:M7"/>
    <mergeCell ref="H5:M5"/>
  </mergeCells>
  <pageMargins left="0.7" right="0.7" top="0.75" bottom="0.75" header="0.3" footer="0.3"/>
  <pageSetup scale="82" orientation="landscape" r:id="rId1"/>
  <headerFooter>
    <oddFooter>&amp;R
&amp;A
Caring Together rate review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3"/>
  <sheetViews>
    <sheetView topLeftCell="H36" zoomScale="70" zoomScaleNormal="70" zoomScaleSheetLayoutView="80" workbookViewId="0">
      <selection activeCell="I45" sqref="I45"/>
    </sheetView>
  </sheetViews>
  <sheetFormatPr defaultColWidth="9.140625" defaultRowHeight="12.75" x14ac:dyDescent="0.2"/>
  <cols>
    <col min="1" max="1" width="31.85546875" style="23" hidden="1" customWidth="1"/>
    <col min="2" max="2" width="5.7109375" style="23" hidden="1" customWidth="1"/>
    <col min="3" max="3" width="12.85546875" style="23" hidden="1" customWidth="1"/>
    <col min="4" max="4" width="10.85546875" style="23" hidden="1" customWidth="1"/>
    <col min="5" max="6" width="13.140625" style="23" hidden="1" customWidth="1"/>
    <col min="7" max="7" width="0" style="23" hidden="1" customWidth="1"/>
    <col min="8" max="8" width="31.85546875" style="23" customWidth="1"/>
    <col min="9" max="9" width="4.42578125" style="585" customWidth="1"/>
    <col min="10" max="10" width="11.5703125" style="23" customWidth="1"/>
    <col min="11" max="11" width="10.85546875" style="23" customWidth="1"/>
    <col min="12" max="13" width="12.85546875" style="23" customWidth="1"/>
    <col min="14" max="14" width="9.140625" style="23"/>
    <col min="15" max="15" width="31.85546875" style="23" customWidth="1"/>
    <col min="16" max="16" width="4.42578125" style="585" customWidth="1"/>
    <col min="17" max="17" width="11.5703125" style="23" customWidth="1"/>
    <col min="18" max="18" width="10.85546875" style="23" customWidth="1"/>
    <col min="19" max="20" width="12.85546875" style="23" customWidth="1"/>
    <col min="21" max="21" width="9.140625" style="23"/>
    <col min="22" max="22" width="31.85546875" style="23" bestFit="1" customWidth="1"/>
    <col min="23" max="23" width="10" style="23" customWidth="1"/>
    <col min="24" max="24" width="11.28515625" style="23" customWidth="1"/>
    <col min="25" max="25" width="11" style="23" customWidth="1"/>
    <col min="26" max="16384" width="9.140625" style="23"/>
  </cols>
  <sheetData>
    <row r="1" spans="1:27" ht="13.9" thickBot="1" x14ac:dyDescent="0.3">
      <c r="V1" s="1431" t="s">
        <v>8</v>
      </c>
      <c r="W1" s="1431"/>
      <c r="X1" s="1431"/>
      <c r="Y1" s="1431"/>
    </row>
    <row r="2" spans="1:27" ht="13.9" thickBot="1" x14ac:dyDescent="0.3">
      <c r="G2" s="23">
        <f>7.2*3</f>
        <v>21.6</v>
      </c>
    </row>
    <row r="3" spans="1:27" ht="13.15" x14ac:dyDescent="0.25">
      <c r="V3" s="5" t="s">
        <v>9</v>
      </c>
      <c r="W3" s="1432" t="s">
        <v>10</v>
      </c>
      <c r="X3" s="1432"/>
      <c r="Y3" s="6"/>
      <c r="Z3" s="24"/>
      <c r="AA3" s="24"/>
    </row>
    <row r="4" spans="1:27" ht="13.15" x14ac:dyDescent="0.25">
      <c r="V4" s="7"/>
      <c r="W4" s="8" t="s">
        <v>11</v>
      </c>
      <c r="X4" s="9" t="s">
        <v>12</v>
      </c>
      <c r="Y4" s="10"/>
      <c r="Z4" s="24"/>
      <c r="AA4" s="24"/>
    </row>
    <row r="5" spans="1:27" ht="13.15" x14ac:dyDescent="0.25">
      <c r="H5" s="955"/>
      <c r="I5" s="956" t="s">
        <v>758</v>
      </c>
      <c r="J5" s="955"/>
      <c r="K5" s="955"/>
      <c r="L5" s="955"/>
      <c r="M5" s="955"/>
      <c r="N5" s="955"/>
      <c r="O5" s="955"/>
      <c r="P5" s="956"/>
      <c r="Q5" s="956" t="s">
        <v>758</v>
      </c>
      <c r="R5" s="955"/>
      <c r="S5" s="955"/>
      <c r="T5" s="955"/>
      <c r="V5" s="11" t="s">
        <v>13</v>
      </c>
      <c r="W5" s="12">
        <v>13</v>
      </c>
      <c r="X5" s="13">
        <f>W5*8</f>
        <v>104</v>
      </c>
      <c r="Y5" s="10"/>
      <c r="Z5" s="24"/>
      <c r="AA5" s="24"/>
    </row>
    <row r="6" spans="1:27" ht="21.6" customHeight="1" x14ac:dyDescent="0.2">
      <c r="A6" s="1426" t="s">
        <v>491</v>
      </c>
      <c r="B6" s="1427"/>
      <c r="C6" s="1427"/>
      <c r="D6" s="1427"/>
      <c r="E6" s="1427"/>
      <c r="F6" s="1433" t="s">
        <v>460</v>
      </c>
      <c r="H6" s="1426" t="s">
        <v>759</v>
      </c>
      <c r="I6" s="1427"/>
      <c r="J6" s="1427"/>
      <c r="K6" s="1427"/>
      <c r="L6" s="1427"/>
      <c r="M6" s="1429" t="s">
        <v>496</v>
      </c>
      <c r="O6" s="1426" t="s">
        <v>760</v>
      </c>
      <c r="P6" s="1427"/>
      <c r="Q6" s="1427"/>
      <c r="R6" s="1427"/>
      <c r="S6" s="1427"/>
      <c r="T6" s="1429" t="s">
        <v>496</v>
      </c>
      <c r="V6" s="11" t="s">
        <v>14</v>
      </c>
      <c r="W6" s="12">
        <v>10</v>
      </c>
      <c r="X6" s="13">
        <f>W6*8</f>
        <v>80</v>
      </c>
      <c r="Y6" s="10"/>
      <c r="Z6" s="24"/>
      <c r="AA6" s="24">
        <f>SUM(X5:X7)/2080</f>
        <v>0.13076923076923078</v>
      </c>
    </row>
    <row r="7" spans="1:27" ht="15" customHeight="1" thickBot="1" x14ac:dyDescent="0.25">
      <c r="A7" s="1428"/>
      <c r="B7" s="1428"/>
      <c r="C7" s="1428"/>
      <c r="D7" s="1428"/>
      <c r="E7" s="1428"/>
      <c r="F7" s="1434"/>
      <c r="H7" s="1428"/>
      <c r="I7" s="1428"/>
      <c r="J7" s="1428"/>
      <c r="K7" s="1428"/>
      <c r="L7" s="1428"/>
      <c r="M7" s="1430"/>
      <c r="O7" s="1428"/>
      <c r="P7" s="1428"/>
      <c r="Q7" s="1428"/>
      <c r="R7" s="1428"/>
      <c r="S7" s="1428"/>
      <c r="T7" s="1430"/>
      <c r="V7" s="11" t="s">
        <v>15</v>
      </c>
      <c r="W7" s="12">
        <v>11</v>
      </c>
      <c r="X7" s="13">
        <f>W7*8</f>
        <v>88</v>
      </c>
      <c r="Y7" s="10"/>
      <c r="Z7" s="24"/>
      <c r="AA7" s="24"/>
    </row>
    <row r="8" spans="1:27" ht="13.15" x14ac:dyDescent="0.25">
      <c r="A8" s="25" t="s">
        <v>0</v>
      </c>
      <c r="B8" s="69">
        <f>$X$32</f>
        <v>15</v>
      </c>
      <c r="C8" s="25"/>
      <c r="D8" s="25" t="s">
        <v>1</v>
      </c>
      <c r="E8" s="68">
        <f>B8*365</f>
        <v>5475</v>
      </c>
      <c r="F8" s="427"/>
      <c r="H8" s="582" t="s">
        <v>0</v>
      </c>
      <c r="I8" s="603">
        <f>$X$32</f>
        <v>15</v>
      </c>
      <c r="J8" s="25"/>
      <c r="K8" s="25" t="s">
        <v>1</v>
      </c>
      <c r="L8" s="68">
        <f>I8*365</f>
        <v>5475</v>
      </c>
      <c r="M8" s="590" t="s">
        <v>459</v>
      </c>
      <c r="O8" s="582" t="s">
        <v>0</v>
      </c>
      <c r="P8" s="603">
        <f>$X$32</f>
        <v>15</v>
      </c>
      <c r="Q8" s="25"/>
      <c r="R8" s="25" t="s">
        <v>1</v>
      </c>
      <c r="S8" s="68">
        <f>P8*365</f>
        <v>5475</v>
      </c>
      <c r="T8" s="595" t="s">
        <v>459</v>
      </c>
      <c r="V8" s="14" t="s">
        <v>16</v>
      </c>
      <c r="W8" s="15">
        <v>5</v>
      </c>
      <c r="X8" s="16">
        <f>W8*8</f>
        <v>40</v>
      </c>
      <c r="Y8" s="17"/>
      <c r="Z8" s="24"/>
      <c r="AA8" s="24"/>
    </row>
    <row r="9" spans="1:27" ht="13.15" x14ac:dyDescent="0.25">
      <c r="F9" s="407"/>
      <c r="H9" s="131"/>
      <c r="M9" s="407"/>
      <c r="O9" s="131"/>
      <c r="T9" s="407"/>
      <c r="V9" s="11"/>
      <c r="W9" s="18" t="s">
        <v>17</v>
      </c>
      <c r="X9" s="13">
        <f>SUM(X5:X8)</f>
        <v>312</v>
      </c>
      <c r="Y9" s="19"/>
      <c r="Z9" s="24"/>
      <c r="AA9" s="24"/>
    </row>
    <row r="10" spans="1:27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567"/>
      <c r="I10" s="27"/>
      <c r="J10" s="27" t="s">
        <v>2</v>
      </c>
      <c r="K10" s="27" t="s">
        <v>3</v>
      </c>
      <c r="L10" s="27" t="s">
        <v>4</v>
      </c>
      <c r="M10" s="407"/>
      <c r="O10" s="567"/>
      <c r="P10" s="27"/>
      <c r="Q10" s="27" t="s">
        <v>2</v>
      </c>
      <c r="R10" s="27" t="s">
        <v>3</v>
      </c>
      <c r="S10" s="27" t="s">
        <v>4</v>
      </c>
      <c r="T10" s="407"/>
      <c r="V10" s="20"/>
      <c r="W10" s="21" t="s">
        <v>18</v>
      </c>
      <c r="X10" s="22">
        <f>X9/(52*40)</f>
        <v>0.15</v>
      </c>
      <c r="Y10" s="56"/>
    </row>
    <row r="11" spans="1:27" ht="13.9" thickBot="1" x14ac:dyDescent="0.3">
      <c r="A11" s="1" t="s">
        <v>19</v>
      </c>
      <c r="C11" s="30">
        <f>$X$13</f>
        <v>64308</v>
      </c>
      <c r="D11" s="35">
        <f>$X$33</f>
        <v>4.0999999999999996</v>
      </c>
      <c r="E11" s="28">
        <f>C11*D11</f>
        <v>263662.8</v>
      </c>
      <c r="F11" s="407"/>
      <c r="H11" s="568" t="s">
        <v>19</v>
      </c>
      <c r="J11" s="282">
        <f>X13</f>
        <v>64308</v>
      </c>
      <c r="K11" s="599">
        <f>$X$33</f>
        <v>4.0999999999999996</v>
      </c>
      <c r="L11" s="28">
        <f>J11*K11</f>
        <v>263662.8</v>
      </c>
      <c r="M11" s="546"/>
      <c r="O11" s="568" t="s">
        <v>19</v>
      </c>
      <c r="Q11" s="282">
        <f>X13</f>
        <v>64308</v>
      </c>
      <c r="R11" s="599">
        <f>$X$33</f>
        <v>4.0999999999999996</v>
      </c>
      <c r="S11" s="28">
        <f>Q11*R11</f>
        <v>263662.8</v>
      </c>
      <c r="T11" s="407"/>
    </row>
    <row r="12" spans="1:27" ht="13.15" x14ac:dyDescent="0.25">
      <c r="A12" s="2" t="s">
        <v>227</v>
      </c>
      <c r="C12" s="30"/>
      <c r="D12" s="35"/>
      <c r="E12" s="28"/>
      <c r="F12" s="407"/>
      <c r="H12" s="569" t="s">
        <v>227</v>
      </c>
      <c r="J12" s="282"/>
      <c r="K12" s="599"/>
      <c r="L12" s="28"/>
      <c r="M12" s="546"/>
      <c r="O12" s="569" t="s">
        <v>227</v>
      </c>
      <c r="Q12" s="282"/>
      <c r="R12" s="599"/>
      <c r="S12" s="28"/>
      <c r="T12" s="407"/>
      <c r="V12" s="36"/>
      <c r="W12" s="37"/>
      <c r="X12" s="38" t="s">
        <v>34</v>
      </c>
      <c r="Y12" s="39"/>
    </row>
    <row r="13" spans="1:27" ht="13.15" x14ac:dyDescent="0.25">
      <c r="A13" s="3" t="s">
        <v>23</v>
      </c>
      <c r="C13" s="30">
        <f>$X$15</f>
        <v>209260</v>
      </c>
      <c r="D13" s="35">
        <f>$X$35</f>
        <v>0.5</v>
      </c>
      <c r="E13" s="28">
        <f t="shared" ref="E13:E26" si="0">C13*D13</f>
        <v>104630</v>
      </c>
      <c r="F13" s="407"/>
      <c r="H13" s="570" t="s">
        <v>23</v>
      </c>
      <c r="J13" s="282">
        <f>$X$15</f>
        <v>209260</v>
      </c>
      <c r="K13" s="599">
        <f>$X$35</f>
        <v>0.5</v>
      </c>
      <c r="L13" s="28">
        <f t="shared" ref="L13" si="1">J13*K13</f>
        <v>104630</v>
      </c>
      <c r="M13" s="546"/>
      <c r="O13" s="570" t="s">
        <v>23</v>
      </c>
      <c r="Q13" s="282">
        <f>$X$15</f>
        <v>209260</v>
      </c>
      <c r="R13" s="599">
        <f>$X$35</f>
        <v>0.5</v>
      </c>
      <c r="S13" s="28">
        <f t="shared" ref="S13" si="2">Q13*R13</f>
        <v>104630</v>
      </c>
      <c r="T13" s="407"/>
      <c r="V13" s="7" t="s">
        <v>19</v>
      </c>
      <c r="W13" s="29"/>
      <c r="X13" s="40">
        <v>64308</v>
      </c>
      <c r="Y13" s="99"/>
    </row>
    <row r="14" spans="1:27" ht="13.15" x14ac:dyDescent="0.25">
      <c r="A14" s="3" t="s">
        <v>170</v>
      </c>
      <c r="C14" s="30">
        <f>$X$16</f>
        <v>77632</v>
      </c>
      <c r="D14" s="35">
        <f>$X$36</f>
        <v>1</v>
      </c>
      <c r="E14" s="28">
        <f>C14*D14</f>
        <v>77632</v>
      </c>
      <c r="F14" s="407"/>
      <c r="H14" s="570" t="s">
        <v>170</v>
      </c>
      <c r="J14" s="282">
        <f>$X$16</f>
        <v>77632</v>
      </c>
      <c r="K14" s="599">
        <f>$X$36</f>
        <v>1</v>
      </c>
      <c r="L14" s="28">
        <f>J14*K14</f>
        <v>77632</v>
      </c>
      <c r="M14" s="546"/>
      <c r="O14" s="570" t="s">
        <v>170</v>
      </c>
      <c r="Q14" s="282">
        <f>$X$16</f>
        <v>77632</v>
      </c>
      <c r="R14" s="599">
        <f>$X$36</f>
        <v>1</v>
      </c>
      <c r="S14" s="28">
        <f>Q14*R14</f>
        <v>77632</v>
      </c>
      <c r="T14" s="407"/>
      <c r="V14" s="7" t="s">
        <v>227</v>
      </c>
      <c r="W14" s="29"/>
      <c r="X14" s="40"/>
      <c r="Y14" s="99"/>
    </row>
    <row r="15" spans="1:27" ht="13.15" x14ac:dyDescent="0.25">
      <c r="A15" s="3" t="s">
        <v>24</v>
      </c>
      <c r="C15" s="30">
        <f>$X$17</f>
        <v>67627</v>
      </c>
      <c r="D15" s="46">
        <f>$X$37</f>
        <v>3</v>
      </c>
      <c r="E15" s="28">
        <f t="shared" si="0"/>
        <v>202881</v>
      </c>
      <c r="F15" s="407"/>
      <c r="H15" s="570" t="s">
        <v>24</v>
      </c>
      <c r="J15" s="282">
        <f>$X$17</f>
        <v>67627</v>
      </c>
      <c r="K15" s="819">
        <f>AK36</f>
        <v>4.0250000000000004</v>
      </c>
      <c r="L15" s="28">
        <f>J15*K15</f>
        <v>272198.67500000005</v>
      </c>
      <c r="M15" s="546"/>
      <c r="O15" s="570" t="s">
        <v>24</v>
      </c>
      <c r="Q15" s="282">
        <f>$X$17</f>
        <v>67627</v>
      </c>
      <c r="R15" s="819">
        <f>AK46</f>
        <v>4.83</v>
      </c>
      <c r="S15" s="28">
        <f>Q15*R15</f>
        <v>326638.41000000003</v>
      </c>
      <c r="T15" s="407"/>
      <c r="V15" s="11" t="s">
        <v>23</v>
      </c>
      <c r="W15" s="29"/>
      <c r="X15" s="40">
        <v>209260</v>
      </c>
      <c r="Y15" s="99"/>
      <c r="Z15" s="177"/>
    </row>
    <row r="16" spans="1:27" ht="13.15" x14ac:dyDescent="0.25">
      <c r="A16" s="3" t="s">
        <v>25</v>
      </c>
      <c r="C16" s="30">
        <f>$X$18</f>
        <v>64543</v>
      </c>
      <c r="D16" s="35">
        <f>$X$38</f>
        <v>1</v>
      </c>
      <c r="E16" s="28">
        <f t="shared" si="0"/>
        <v>64543</v>
      </c>
      <c r="F16" s="407"/>
      <c r="H16" s="570" t="s">
        <v>25</v>
      </c>
      <c r="J16" s="282">
        <f>$X$18</f>
        <v>64543</v>
      </c>
      <c r="K16" s="599">
        <f>$X$38</f>
        <v>1</v>
      </c>
      <c r="L16" s="28">
        <f>J16*K16</f>
        <v>64543</v>
      </c>
      <c r="M16" s="546"/>
      <c r="O16" s="570" t="s">
        <v>25</v>
      </c>
      <c r="Q16" s="282">
        <f>$X$18</f>
        <v>64543</v>
      </c>
      <c r="R16" s="599">
        <f>$X$38</f>
        <v>1</v>
      </c>
      <c r="S16" s="28">
        <f>Q16*R16</f>
        <v>64543</v>
      </c>
      <c r="T16" s="407"/>
      <c r="V16" s="106" t="s">
        <v>169</v>
      </c>
      <c r="W16" s="29"/>
      <c r="X16" s="40">
        <v>77632</v>
      </c>
      <c r="Y16" s="99" t="s">
        <v>61</v>
      </c>
    </row>
    <row r="17" spans="1:36" ht="13.15" x14ac:dyDescent="0.25">
      <c r="A17" s="3" t="s">
        <v>26</v>
      </c>
      <c r="C17" s="282">
        <f>$X$19</f>
        <v>52283</v>
      </c>
      <c r="D17" s="35">
        <f>$X$39</f>
        <v>1</v>
      </c>
      <c r="E17" s="28">
        <f t="shared" si="0"/>
        <v>52283</v>
      </c>
      <c r="F17" s="407"/>
      <c r="H17" s="570" t="s">
        <v>26</v>
      </c>
      <c r="J17" s="282">
        <f>$X$19</f>
        <v>52283</v>
      </c>
      <c r="K17" s="599">
        <f>$X$39</f>
        <v>1</v>
      </c>
      <c r="L17" s="28">
        <f t="shared" ref="L17:L18" si="3">J17*K17</f>
        <v>52283</v>
      </c>
      <c r="M17" s="546"/>
      <c r="O17" s="570" t="s">
        <v>26</v>
      </c>
      <c r="Q17" s="282">
        <f>$X$19</f>
        <v>52283</v>
      </c>
      <c r="R17" s="599">
        <f>$X$39</f>
        <v>1</v>
      </c>
      <c r="S17" s="28">
        <f t="shared" ref="S17:S18" si="4">Q17*R17</f>
        <v>52283</v>
      </c>
      <c r="T17" s="407"/>
      <c r="V17" s="11" t="s">
        <v>24</v>
      </c>
      <c r="W17" s="29"/>
      <c r="X17" s="40">
        <v>67627</v>
      </c>
      <c r="Y17" s="99"/>
    </row>
    <row r="18" spans="1:36" ht="13.15" x14ac:dyDescent="0.25">
      <c r="A18" s="3" t="s">
        <v>27</v>
      </c>
      <c r="C18" s="30">
        <f>$X$20</f>
        <v>47578</v>
      </c>
      <c r="D18" s="35">
        <f>$X$40</f>
        <v>1</v>
      </c>
      <c r="E18" s="28">
        <f t="shared" si="0"/>
        <v>47578</v>
      </c>
      <c r="F18" s="407"/>
      <c r="H18" s="570" t="s">
        <v>27</v>
      </c>
      <c r="J18" s="282">
        <f>X20</f>
        <v>47578</v>
      </c>
      <c r="K18" s="599">
        <f>$X$40</f>
        <v>1</v>
      </c>
      <c r="L18" s="28">
        <f t="shared" si="3"/>
        <v>47578</v>
      </c>
      <c r="M18" s="546"/>
      <c r="O18" s="570" t="s">
        <v>27</v>
      </c>
      <c r="Q18" s="282">
        <f>X20</f>
        <v>47578</v>
      </c>
      <c r="R18" s="599">
        <f>$X$40</f>
        <v>1</v>
      </c>
      <c r="S18" s="28">
        <f t="shared" si="4"/>
        <v>47578</v>
      </c>
      <c r="T18" s="407"/>
      <c r="V18" s="11" t="s">
        <v>25</v>
      </c>
      <c r="W18" s="29"/>
      <c r="X18" s="40">
        <v>64543</v>
      </c>
      <c r="Y18" s="99" t="s">
        <v>71</v>
      </c>
    </row>
    <row r="19" spans="1:36" ht="13.15" x14ac:dyDescent="0.25">
      <c r="A19" s="2" t="s">
        <v>5</v>
      </c>
      <c r="C19" s="30"/>
      <c r="D19" s="35"/>
      <c r="E19" s="28"/>
      <c r="F19" s="407"/>
      <c r="H19" s="569" t="s">
        <v>5</v>
      </c>
      <c r="J19" s="282"/>
      <c r="K19" s="599"/>
      <c r="L19" s="28"/>
      <c r="M19" s="546"/>
      <c r="O19" s="569" t="s">
        <v>5</v>
      </c>
      <c r="Q19" s="282"/>
      <c r="R19" s="599"/>
      <c r="S19" s="28"/>
      <c r="T19" s="407"/>
      <c r="V19" s="11" t="s">
        <v>26</v>
      </c>
      <c r="W19" s="29"/>
      <c r="X19" s="280">
        <v>52283</v>
      </c>
      <c r="Y19" s="99" t="s">
        <v>61</v>
      </c>
    </row>
    <row r="20" spans="1:36" ht="13.15" x14ac:dyDescent="0.25">
      <c r="A20" s="3" t="s">
        <v>28</v>
      </c>
      <c r="C20" s="30">
        <f>$X$22</f>
        <v>37441</v>
      </c>
      <c r="D20" s="35">
        <f>$X$42</f>
        <v>0.15</v>
      </c>
      <c r="E20" s="28">
        <f t="shared" si="0"/>
        <v>5616.15</v>
      </c>
      <c r="F20" s="407"/>
      <c r="H20" s="570" t="s">
        <v>28</v>
      </c>
      <c r="J20" s="282">
        <f>$X$22</f>
        <v>37441</v>
      </c>
      <c r="K20" s="599">
        <f>$X$42</f>
        <v>0.15</v>
      </c>
      <c r="L20" s="28">
        <f t="shared" ref="L20:L22" si="5">J20*K20</f>
        <v>5616.15</v>
      </c>
      <c r="M20" s="546"/>
      <c r="O20" s="570" t="s">
        <v>28</v>
      </c>
      <c r="Q20" s="30">
        <f>$X$22</f>
        <v>37441</v>
      </c>
      <c r="R20" s="599">
        <f>$X$42</f>
        <v>0.15</v>
      </c>
      <c r="S20" s="28">
        <f t="shared" ref="S20:S22" si="6">Q20*R20</f>
        <v>5616.15</v>
      </c>
      <c r="T20" s="407"/>
      <c r="V20" s="11" t="s">
        <v>27</v>
      </c>
      <c r="W20" s="29"/>
      <c r="X20" s="40">
        <v>47578</v>
      </c>
      <c r="Y20" s="99"/>
    </row>
    <row r="21" spans="1:36" ht="13.15" x14ac:dyDescent="0.25">
      <c r="A21" s="3" t="s">
        <v>29</v>
      </c>
      <c r="C21" s="30">
        <f>$X$23</f>
        <v>33461</v>
      </c>
      <c r="D21" s="35">
        <f>$X$43</f>
        <v>1</v>
      </c>
      <c r="E21" s="28">
        <f t="shared" si="0"/>
        <v>33461</v>
      </c>
      <c r="F21" s="407"/>
      <c r="H21" s="570" t="s">
        <v>29</v>
      </c>
      <c r="J21" s="30">
        <f>$X$23</f>
        <v>33461</v>
      </c>
      <c r="K21" s="599">
        <f>$X$43</f>
        <v>1</v>
      </c>
      <c r="L21" s="28">
        <f t="shared" si="5"/>
        <v>33461</v>
      </c>
      <c r="M21" s="546"/>
      <c r="O21" s="570" t="s">
        <v>29</v>
      </c>
      <c r="Q21" s="30">
        <f>$X$23</f>
        <v>33461</v>
      </c>
      <c r="R21" s="599">
        <f>$X$43</f>
        <v>1</v>
      </c>
      <c r="S21" s="28">
        <f t="shared" si="6"/>
        <v>33461</v>
      </c>
      <c r="T21" s="407"/>
      <c r="V21" s="7" t="s">
        <v>5</v>
      </c>
      <c r="W21" s="29"/>
      <c r="X21" s="40"/>
      <c r="Y21" s="99"/>
    </row>
    <row r="22" spans="1:36" ht="13.15" x14ac:dyDescent="0.25">
      <c r="A22" s="3" t="s">
        <v>30</v>
      </c>
      <c r="C22" s="30">
        <f>$X$24</f>
        <v>31769</v>
      </c>
      <c r="D22" s="35">
        <f>$X$44</f>
        <v>21.3</v>
      </c>
      <c r="E22" s="28">
        <f t="shared" si="0"/>
        <v>676679.70000000007</v>
      </c>
      <c r="F22" s="407"/>
      <c r="H22" s="570" t="s">
        <v>30</v>
      </c>
      <c r="J22" s="30">
        <f>$X$24</f>
        <v>31769</v>
      </c>
      <c r="K22" s="599">
        <f>$X$44</f>
        <v>21.3</v>
      </c>
      <c r="L22" s="28">
        <f t="shared" si="5"/>
        <v>676679.70000000007</v>
      </c>
      <c r="M22" s="546"/>
      <c r="O22" s="570" t="s">
        <v>30</v>
      </c>
      <c r="Q22" s="30">
        <f>$X$24</f>
        <v>31769</v>
      </c>
      <c r="R22" s="599">
        <f>$X$44</f>
        <v>21.3</v>
      </c>
      <c r="S22" s="28">
        <f t="shared" si="6"/>
        <v>676679.70000000007</v>
      </c>
      <c r="T22" s="407"/>
      <c r="V22" s="11" t="s">
        <v>28</v>
      </c>
      <c r="W22" s="29"/>
      <c r="X22" s="40">
        <v>37441</v>
      </c>
      <c r="Y22" s="99"/>
    </row>
    <row r="23" spans="1:36" ht="13.15" x14ac:dyDescent="0.25">
      <c r="A23" s="4" t="s">
        <v>31</v>
      </c>
      <c r="C23" s="30">
        <f>$X$25</f>
        <v>31769</v>
      </c>
      <c r="D23" s="35">
        <f>$X$45</f>
        <v>3.1949999999999998</v>
      </c>
      <c r="E23" s="28">
        <f>C23*D23</f>
        <v>101501.955</v>
      </c>
      <c r="F23" s="407"/>
      <c r="H23" s="820" t="s">
        <v>85</v>
      </c>
      <c r="I23" s="821"/>
      <c r="J23" s="282">
        <f>$X$24</f>
        <v>31769</v>
      </c>
      <c r="K23" s="822">
        <v>1</v>
      </c>
      <c r="L23" s="284">
        <f>J23*K23</f>
        <v>31769</v>
      </c>
      <c r="M23" s="546"/>
      <c r="O23" s="820" t="s">
        <v>85</v>
      </c>
      <c r="P23" s="821"/>
      <c r="Q23" s="282">
        <f>$X$24</f>
        <v>31769</v>
      </c>
      <c r="R23" s="822">
        <v>1</v>
      </c>
      <c r="S23" s="284">
        <f>Q23*R23</f>
        <v>31769</v>
      </c>
      <c r="T23" s="407"/>
      <c r="V23" s="11" t="s">
        <v>29</v>
      </c>
      <c r="W23" s="29"/>
      <c r="X23" s="40">
        <v>33461</v>
      </c>
      <c r="Y23" s="279" t="s">
        <v>64</v>
      </c>
      <c r="Z23" s="177"/>
    </row>
    <row r="24" spans="1:36" ht="13.15" x14ac:dyDescent="0.25">
      <c r="A24" s="2" t="s">
        <v>6</v>
      </c>
      <c r="C24" s="30"/>
      <c r="D24" s="35"/>
      <c r="E24" s="28"/>
      <c r="F24" s="407"/>
      <c r="H24" s="571" t="s">
        <v>31</v>
      </c>
      <c r="J24" s="30">
        <f>$X$25</f>
        <v>31769</v>
      </c>
      <c r="K24" s="599">
        <f>$X$45</f>
        <v>3.1949999999999998</v>
      </c>
      <c r="L24" s="28">
        <f>J24*K24</f>
        <v>101501.955</v>
      </c>
      <c r="M24" s="546"/>
      <c r="O24" s="571" t="s">
        <v>31</v>
      </c>
      <c r="Q24" s="30">
        <f>$X$25</f>
        <v>31769</v>
      </c>
      <c r="R24" s="599">
        <f>$X$45</f>
        <v>3.1949999999999998</v>
      </c>
      <c r="S24" s="28">
        <f>Q24*R24</f>
        <v>101501.955</v>
      </c>
      <c r="T24" s="407"/>
      <c r="V24" s="11" t="s">
        <v>30</v>
      </c>
      <c r="W24" s="29"/>
      <c r="X24" s="40">
        <v>31769</v>
      </c>
      <c r="Y24" s="99"/>
    </row>
    <row r="25" spans="1:36" ht="13.15" x14ac:dyDescent="0.25">
      <c r="A25" s="3" t="s">
        <v>32</v>
      </c>
      <c r="C25" s="30">
        <f>$X$27</f>
        <v>39558</v>
      </c>
      <c r="D25" s="35">
        <f>$X$47</f>
        <v>1.25</v>
      </c>
      <c r="E25" s="28">
        <f t="shared" si="0"/>
        <v>49447.5</v>
      </c>
      <c r="F25" s="407"/>
      <c r="H25" s="569" t="s">
        <v>6</v>
      </c>
      <c r="J25" s="30"/>
      <c r="K25" s="599"/>
      <c r="L25" s="28"/>
      <c r="M25" s="546"/>
      <c r="O25" s="569" t="s">
        <v>6</v>
      </c>
      <c r="Q25" s="30"/>
      <c r="R25" s="599"/>
      <c r="S25" s="28"/>
      <c r="T25" s="407"/>
      <c r="V25" s="42" t="s">
        <v>31</v>
      </c>
      <c r="W25" s="29"/>
      <c r="X25" s="40">
        <f>X24</f>
        <v>31769</v>
      </c>
      <c r="Y25" s="99"/>
    </row>
    <row r="26" spans="1:36" ht="13.15" x14ac:dyDescent="0.25">
      <c r="A26" s="3" t="s">
        <v>33</v>
      </c>
      <c r="C26" s="30">
        <f>$X$28</f>
        <v>33220</v>
      </c>
      <c r="D26" s="35">
        <f>$X$48</f>
        <v>4.5</v>
      </c>
      <c r="E26" s="28">
        <f t="shared" si="0"/>
        <v>149490</v>
      </c>
      <c r="F26" s="407"/>
      <c r="H26" s="570" t="s">
        <v>32</v>
      </c>
      <c r="J26" s="30">
        <f>$X$27</f>
        <v>39558</v>
      </c>
      <c r="K26" s="599">
        <f>$X$47</f>
        <v>1.25</v>
      </c>
      <c r="L26" s="28">
        <f t="shared" ref="L26:L27" si="7">J26*K26</f>
        <v>49447.5</v>
      </c>
      <c r="M26" s="546"/>
      <c r="O26" s="570" t="s">
        <v>32</v>
      </c>
      <c r="Q26" s="30">
        <f>$X$27</f>
        <v>39558</v>
      </c>
      <c r="R26" s="599">
        <f>$X$47</f>
        <v>1.25</v>
      </c>
      <c r="S26" s="28">
        <f t="shared" ref="S26:S27" si="8">Q26*R26</f>
        <v>49447.5</v>
      </c>
      <c r="T26" s="407"/>
      <c r="V26" s="7" t="s">
        <v>6</v>
      </c>
      <c r="W26" s="29"/>
      <c r="X26" s="40"/>
      <c r="Y26" s="99"/>
    </row>
    <row r="27" spans="1:36" ht="13.15" x14ac:dyDescent="0.25">
      <c r="A27" s="31" t="s">
        <v>7</v>
      </c>
      <c r="B27" s="31"/>
      <c r="C27" s="31"/>
      <c r="D27" s="32">
        <f>SUM(D11:D26)</f>
        <v>42.994999999999997</v>
      </c>
      <c r="E27" s="33">
        <f>SUM(E11:E26)</f>
        <v>1829406.1050000002</v>
      </c>
      <c r="F27" s="407"/>
      <c r="H27" s="570" t="s">
        <v>33</v>
      </c>
      <c r="J27" s="30">
        <f>$X$28</f>
        <v>33220</v>
      </c>
      <c r="K27" s="599">
        <f>$X$48</f>
        <v>4.5</v>
      </c>
      <c r="L27" s="28">
        <f t="shared" si="7"/>
        <v>149490</v>
      </c>
      <c r="M27" s="546"/>
      <c r="O27" s="570" t="s">
        <v>33</v>
      </c>
      <c r="Q27" s="30">
        <f>$X$28</f>
        <v>33220</v>
      </c>
      <c r="R27" s="599">
        <f>$X$48</f>
        <v>4.5</v>
      </c>
      <c r="S27" s="28">
        <f t="shared" si="8"/>
        <v>149490</v>
      </c>
      <c r="T27" s="407"/>
      <c r="V27" s="11" t="s">
        <v>32</v>
      </c>
      <c r="W27" s="29"/>
      <c r="X27" s="40">
        <v>39558</v>
      </c>
      <c r="Y27" s="99"/>
    </row>
    <row r="28" spans="1:36" ht="13.15" x14ac:dyDescent="0.25">
      <c r="F28" s="407"/>
      <c r="H28" s="572" t="s">
        <v>7</v>
      </c>
      <c r="I28" s="605"/>
      <c r="J28" s="31"/>
      <c r="K28" s="602">
        <f>SUM(K11:K27)</f>
        <v>45.02</v>
      </c>
      <c r="L28" s="33">
        <f>SUM(L11:L27)</f>
        <v>1930492.7800000003</v>
      </c>
      <c r="M28" s="546"/>
      <c r="O28" s="572" t="s">
        <v>7</v>
      </c>
      <c r="P28" s="605"/>
      <c r="Q28" s="31"/>
      <c r="R28" s="602">
        <f>SUM(R11:R27)</f>
        <v>45.825000000000003</v>
      </c>
      <c r="S28" s="33">
        <f>SUM(S11:S27)</f>
        <v>1984932.5150000001</v>
      </c>
      <c r="T28" s="407"/>
      <c r="V28" s="11" t="s">
        <v>33</v>
      </c>
      <c r="W28" s="29"/>
      <c r="X28" s="40">
        <v>33220</v>
      </c>
      <c r="Y28" s="99" t="s">
        <v>70</v>
      </c>
      <c r="AC28" s="584" t="s">
        <v>492</v>
      </c>
    </row>
    <row r="29" spans="1:36" ht="13.15" x14ac:dyDescent="0.25">
      <c r="A29" s="25" t="s">
        <v>21</v>
      </c>
      <c r="D29" s="25" t="s">
        <v>20</v>
      </c>
      <c r="F29" s="407"/>
      <c r="H29" s="131"/>
      <c r="M29" s="546"/>
      <c r="O29" s="131"/>
      <c r="T29" s="407"/>
      <c r="V29" s="11"/>
      <c r="W29" s="29"/>
      <c r="X29" s="40"/>
      <c r="Y29" s="41"/>
      <c r="AD29" s="586" t="s">
        <v>477</v>
      </c>
      <c r="AE29" s="586" t="s">
        <v>478</v>
      </c>
      <c r="AF29" s="586" t="s">
        <v>479</v>
      </c>
      <c r="AG29" s="586" t="s">
        <v>465</v>
      </c>
      <c r="AH29" s="586" t="s">
        <v>480</v>
      </c>
      <c r="AI29" s="586" t="s">
        <v>481</v>
      </c>
      <c r="AJ29" s="586" t="s">
        <v>468</v>
      </c>
    </row>
    <row r="30" spans="1:36" ht="13.15" x14ac:dyDescent="0.25">
      <c r="A30" s="23" t="s">
        <v>22</v>
      </c>
      <c r="C30" s="97">
        <f>$X$52</f>
        <v>0.26</v>
      </c>
      <c r="E30" s="28">
        <f>C30*E27</f>
        <v>475645.58730000007</v>
      </c>
      <c r="F30" s="407"/>
      <c r="H30" s="512" t="s">
        <v>21</v>
      </c>
      <c r="K30" s="25" t="s">
        <v>20</v>
      </c>
      <c r="M30" s="546"/>
      <c r="O30" s="512" t="s">
        <v>21</v>
      </c>
      <c r="R30" s="25" t="s">
        <v>20</v>
      </c>
      <c r="T30" s="407"/>
      <c r="V30" s="43"/>
      <c r="W30" s="29"/>
      <c r="X30" s="44" t="s">
        <v>37</v>
      </c>
      <c r="Y30" s="41"/>
      <c r="AC30" s="177" t="s">
        <v>469</v>
      </c>
      <c r="AD30" s="564">
        <v>8</v>
      </c>
      <c r="AE30" s="564">
        <v>8</v>
      </c>
      <c r="AF30" s="564">
        <v>8</v>
      </c>
      <c r="AG30" s="564">
        <v>8</v>
      </c>
      <c r="AH30" s="564">
        <v>8</v>
      </c>
      <c r="AI30" s="564">
        <v>8</v>
      </c>
      <c r="AJ30" s="564">
        <v>8</v>
      </c>
    </row>
    <row r="31" spans="1:36" ht="13.15" x14ac:dyDescent="0.25">
      <c r="A31" s="31" t="s">
        <v>51</v>
      </c>
      <c r="B31" s="31"/>
      <c r="C31" s="31"/>
      <c r="D31" s="70">
        <f>E31/E8</f>
        <v>421.01400772602744</v>
      </c>
      <c r="E31" s="33">
        <f>E30+E27</f>
        <v>2305051.6923000002</v>
      </c>
      <c r="F31" s="407"/>
      <c r="H31" s="131" t="s">
        <v>22</v>
      </c>
      <c r="J31" s="823">
        <f>'STARR (rebased)'!T39</f>
        <v>0.23424901786252411</v>
      </c>
      <c r="L31" s="28">
        <f>J31*L28</f>
        <v>452216.03770569392</v>
      </c>
      <c r="M31" s="546"/>
      <c r="O31" s="131" t="s">
        <v>22</v>
      </c>
      <c r="Q31" s="823">
        <f>'STARR (rebased)'!T39</f>
        <v>0.23424901786252411</v>
      </c>
      <c r="S31" s="28">
        <f>Q31*S28</f>
        <v>464968.49216213991</v>
      </c>
      <c r="T31" s="407"/>
      <c r="V31" s="43" t="s">
        <v>35</v>
      </c>
      <c r="W31" s="65"/>
      <c r="X31" s="65"/>
      <c r="Y31" s="66"/>
      <c r="AC31" s="177" t="s">
        <v>470</v>
      </c>
      <c r="AD31" s="564">
        <v>8</v>
      </c>
      <c r="AE31" s="564">
        <v>8</v>
      </c>
      <c r="AF31" s="564">
        <v>8</v>
      </c>
      <c r="AG31" s="564">
        <v>8</v>
      </c>
      <c r="AH31" s="564">
        <v>8</v>
      </c>
      <c r="AI31" s="564">
        <v>8</v>
      </c>
      <c r="AJ31" s="564">
        <v>8</v>
      </c>
    </row>
    <row r="32" spans="1:36" ht="13.15" x14ac:dyDescent="0.25">
      <c r="F32" s="407"/>
      <c r="H32" s="612" t="s">
        <v>51</v>
      </c>
      <c r="I32" s="605"/>
      <c r="J32" s="31"/>
      <c r="K32" s="70">
        <f>L32/L8</f>
        <v>435.19795757181629</v>
      </c>
      <c r="L32" s="33">
        <f>L31+L28</f>
        <v>2382708.8177056941</v>
      </c>
      <c r="M32" s="546"/>
      <c r="O32" s="572" t="s">
        <v>51</v>
      </c>
      <c r="P32" s="605"/>
      <c r="Q32" s="31"/>
      <c r="R32" s="70">
        <f>S32/S8</f>
        <v>447.47050359125848</v>
      </c>
      <c r="S32" s="33">
        <f>S31+S28</f>
        <v>2449901.0071621402</v>
      </c>
      <c r="T32" s="407"/>
      <c r="V32" s="43" t="s">
        <v>36</v>
      </c>
      <c r="W32" s="57"/>
      <c r="X32" s="57">
        <v>15</v>
      </c>
      <c r="Y32" s="67"/>
      <c r="AC32" s="177" t="s">
        <v>471</v>
      </c>
      <c r="AD32" s="564">
        <v>4</v>
      </c>
      <c r="AE32" s="564">
        <v>4</v>
      </c>
      <c r="AF32" s="564">
        <v>4</v>
      </c>
      <c r="AG32" s="564">
        <v>4</v>
      </c>
      <c r="AH32" s="564">
        <v>4</v>
      </c>
      <c r="AI32" s="564">
        <v>4</v>
      </c>
      <c r="AJ32" s="564">
        <v>4</v>
      </c>
    </row>
    <row r="33" spans="1:38" ht="13.15" x14ac:dyDescent="0.25">
      <c r="A33" s="23" t="s">
        <v>39</v>
      </c>
      <c r="D33" s="71">
        <f>$X$54</f>
        <v>11</v>
      </c>
      <c r="E33" s="105">
        <f>D33*E8</f>
        <v>60225</v>
      </c>
      <c r="F33" s="407"/>
      <c r="H33" s="131"/>
      <c r="M33" s="546"/>
      <c r="O33" s="131"/>
      <c r="T33" s="407"/>
      <c r="V33" s="7" t="s">
        <v>19</v>
      </c>
      <c r="W33" s="46"/>
      <c r="X33" s="195">
        <v>4.0999999999999996</v>
      </c>
      <c r="Y33" s="47"/>
      <c r="AK33" s="23">
        <f>SUM(AD30:AJ32)</f>
        <v>140</v>
      </c>
      <c r="AL33" s="177" t="s">
        <v>493</v>
      </c>
    </row>
    <row r="34" spans="1:38" ht="13.15" x14ac:dyDescent="0.25">
      <c r="A34" s="29" t="s">
        <v>40</v>
      </c>
      <c r="D34" s="71">
        <f>$X$55</f>
        <v>25.44</v>
      </c>
      <c r="E34" s="105">
        <f>D34*E8</f>
        <v>139284</v>
      </c>
      <c r="F34" s="407"/>
      <c r="H34" s="131" t="s">
        <v>39</v>
      </c>
      <c r="K34" s="71">
        <f>X54</f>
        <v>11</v>
      </c>
      <c r="L34" s="105">
        <f>K34*L8</f>
        <v>60225</v>
      </c>
      <c r="M34" s="954"/>
      <c r="O34" s="131" t="s">
        <v>39</v>
      </c>
      <c r="R34" s="71">
        <f>$X$54</f>
        <v>11</v>
      </c>
      <c r="S34" s="105">
        <f>R34*S8</f>
        <v>60225</v>
      </c>
      <c r="T34" s="407"/>
      <c r="V34" s="7" t="s">
        <v>227</v>
      </c>
      <c r="W34" s="46"/>
      <c r="X34" s="195"/>
      <c r="Y34" s="47"/>
      <c r="AK34" s="23">
        <f>AK33/40</f>
        <v>3.5</v>
      </c>
      <c r="AL34" s="177" t="s">
        <v>3</v>
      </c>
    </row>
    <row r="35" spans="1:38" ht="13.15" x14ac:dyDescent="0.25">
      <c r="D35" s="72">
        <f>SUM(D33:D34)</f>
        <v>36.44</v>
      </c>
      <c r="F35" s="407"/>
      <c r="H35" s="131" t="s">
        <v>40</v>
      </c>
      <c r="K35" s="217">
        <f>X55</f>
        <v>25.44</v>
      </c>
      <c r="L35" s="105">
        <f>K35*L8</f>
        <v>139284</v>
      </c>
      <c r="M35" s="954"/>
      <c r="O35" s="131" t="s">
        <v>40</v>
      </c>
      <c r="R35" s="71">
        <f>$X$55</f>
        <v>25.44</v>
      </c>
      <c r="S35" s="105">
        <f>R35*S8</f>
        <v>139284</v>
      </c>
      <c r="T35" s="407"/>
      <c r="V35" s="11" t="s">
        <v>23</v>
      </c>
      <c r="W35" s="46"/>
      <c r="X35" s="195">
        <v>0.5</v>
      </c>
      <c r="Y35" s="47"/>
      <c r="AK35" s="552">
        <f>AK34*X10</f>
        <v>0.52500000000000002</v>
      </c>
      <c r="AL35" s="177" t="s">
        <v>495</v>
      </c>
    </row>
    <row r="36" spans="1:38" ht="13.15" x14ac:dyDescent="0.25">
      <c r="F36" s="407"/>
      <c r="H36" s="131"/>
      <c r="K36" s="72">
        <f>SUM(K34:K35)</f>
        <v>36.44</v>
      </c>
      <c r="M36" s="546"/>
      <c r="O36" s="131"/>
      <c r="R36" s="72">
        <f>SUM(R34:R35)</f>
        <v>36.44</v>
      </c>
      <c r="T36" s="407"/>
      <c r="V36" s="106" t="s">
        <v>169</v>
      </c>
      <c r="W36" s="46"/>
      <c r="X36" s="195">
        <v>1</v>
      </c>
      <c r="Y36" s="47"/>
      <c r="AK36" s="552">
        <f>SUM(AK34:AK35)</f>
        <v>4.0250000000000004</v>
      </c>
      <c r="AL36" s="177" t="s">
        <v>523</v>
      </c>
    </row>
    <row r="37" spans="1:38" ht="13.15" x14ac:dyDescent="0.25">
      <c r="A37" s="31" t="s">
        <v>43</v>
      </c>
      <c r="B37" s="31"/>
      <c r="C37" s="31"/>
      <c r="D37" s="31"/>
      <c r="E37" s="33">
        <f>SUM(E31:E34)</f>
        <v>2504560.6923000002</v>
      </c>
      <c r="F37" s="407"/>
      <c r="H37" s="131"/>
      <c r="M37" s="546"/>
      <c r="O37" s="131"/>
      <c r="T37" s="407"/>
      <c r="V37" s="3" t="s">
        <v>24</v>
      </c>
      <c r="W37" s="46"/>
      <c r="X37" s="195">
        <v>3</v>
      </c>
      <c r="Y37" s="47"/>
    </row>
    <row r="38" spans="1:38" ht="13.15" x14ac:dyDescent="0.25">
      <c r="F38" s="407"/>
      <c r="H38" s="572" t="s">
        <v>43</v>
      </c>
      <c r="I38" s="605"/>
      <c r="J38" s="31"/>
      <c r="K38" s="31"/>
      <c r="L38" s="33">
        <f>SUM(L32:L35)</f>
        <v>2582217.8177056941</v>
      </c>
      <c r="M38" s="407"/>
      <c r="O38" s="572" t="s">
        <v>43</v>
      </c>
      <c r="P38" s="605"/>
      <c r="Q38" s="31"/>
      <c r="R38" s="31"/>
      <c r="S38" s="33">
        <f>SUM(S32:S35)</f>
        <v>2649410.0071621402</v>
      </c>
      <c r="T38" s="407"/>
      <c r="V38" s="11" t="s">
        <v>25</v>
      </c>
      <c r="W38" s="46"/>
      <c r="X38" s="195">
        <v>1</v>
      </c>
      <c r="Y38" s="47"/>
      <c r="AC38" s="584" t="s">
        <v>494</v>
      </c>
    </row>
    <row r="39" spans="1:38" ht="13.15" x14ac:dyDescent="0.25">
      <c r="A39" s="23" t="s">
        <v>44</v>
      </c>
      <c r="C39" s="97">
        <f>$X$58</f>
        <v>9.465319377551569E-2</v>
      </c>
      <c r="E39" s="28">
        <f>C39*E37</f>
        <v>237064.66853081164</v>
      </c>
      <c r="F39" s="407"/>
      <c r="H39" s="131"/>
      <c r="M39" s="407"/>
      <c r="O39" s="131"/>
      <c r="T39" s="407"/>
      <c r="V39" s="11" t="s">
        <v>26</v>
      </c>
      <c r="W39" s="46"/>
      <c r="X39" s="195">
        <v>1</v>
      </c>
      <c r="Y39" s="47"/>
      <c r="AD39" s="586" t="s">
        <v>477</v>
      </c>
      <c r="AE39" s="586" t="s">
        <v>478</v>
      </c>
      <c r="AF39" s="586" t="s">
        <v>479</v>
      </c>
      <c r="AG39" s="586" t="s">
        <v>465</v>
      </c>
      <c r="AH39" s="586" t="s">
        <v>480</v>
      </c>
      <c r="AI39" s="586" t="s">
        <v>481</v>
      </c>
      <c r="AJ39" s="586" t="s">
        <v>468</v>
      </c>
    </row>
    <row r="40" spans="1:38" ht="13.15" x14ac:dyDescent="0.25">
      <c r="F40" s="407"/>
      <c r="H40" s="131" t="s">
        <v>44</v>
      </c>
      <c r="J40" s="823">
        <f>Z58</f>
        <v>0.11846733793705286</v>
      </c>
      <c r="L40" s="28">
        <f>J40*L38</f>
        <v>305908.47083721962</v>
      </c>
      <c r="M40" s="407"/>
      <c r="O40" s="131" t="s">
        <v>44</v>
      </c>
      <c r="Q40" s="823">
        <f>Z58</f>
        <v>0.11846733793705286</v>
      </c>
      <c r="S40" s="28">
        <f>Q40*S38</f>
        <v>313868.55065228691</v>
      </c>
      <c r="T40" s="407"/>
      <c r="V40" s="11" t="s">
        <v>27</v>
      </c>
      <c r="W40" s="46"/>
      <c r="X40" s="195">
        <v>1</v>
      </c>
      <c r="Y40" s="47"/>
      <c r="AC40" s="177" t="s">
        <v>469</v>
      </c>
      <c r="AD40" s="564">
        <v>8</v>
      </c>
      <c r="AE40" s="564">
        <v>8</v>
      </c>
      <c r="AF40" s="564">
        <v>8</v>
      </c>
      <c r="AG40" s="564">
        <v>8</v>
      </c>
      <c r="AH40" s="564">
        <v>8</v>
      </c>
      <c r="AI40" s="564">
        <v>8</v>
      </c>
      <c r="AJ40" s="564">
        <v>8</v>
      </c>
    </row>
    <row r="41" spans="1:38" ht="13.9" thickBot="1" x14ac:dyDescent="0.3">
      <c r="A41" s="73" t="s">
        <v>52</v>
      </c>
      <c r="B41" s="74"/>
      <c r="C41" s="74"/>
      <c r="D41" s="74"/>
      <c r="E41" s="75">
        <f>SUM(E37:E39)</f>
        <v>2741625.3608308118</v>
      </c>
      <c r="F41" s="407"/>
      <c r="H41" s="131"/>
      <c r="M41" s="407"/>
      <c r="O41" s="131"/>
      <c r="T41" s="407"/>
      <c r="V41" s="7" t="s">
        <v>5</v>
      </c>
      <c r="W41" s="46"/>
      <c r="X41" s="195"/>
      <c r="Y41" s="47"/>
      <c r="AC41" s="177" t="s">
        <v>470</v>
      </c>
      <c r="AD41" s="564">
        <v>8</v>
      </c>
      <c r="AE41" s="564">
        <v>8</v>
      </c>
      <c r="AF41" s="564">
        <v>8</v>
      </c>
      <c r="AG41" s="564">
        <v>8</v>
      </c>
      <c r="AH41" s="564">
        <v>8</v>
      </c>
      <c r="AI41" s="564">
        <v>8</v>
      </c>
      <c r="AJ41" s="564">
        <v>8</v>
      </c>
    </row>
    <row r="42" spans="1:38" ht="14.45" thickTop="1" thickBot="1" x14ac:dyDescent="0.3">
      <c r="F42" s="407"/>
      <c r="H42" s="574" t="s">
        <v>52</v>
      </c>
      <c r="I42" s="606"/>
      <c r="J42" s="74"/>
      <c r="K42" s="74"/>
      <c r="L42" s="75">
        <f>SUM(L38:L40)</f>
        <v>2888126.2885429137</v>
      </c>
      <c r="M42" s="510">
        <f>L42</f>
        <v>2888126.2885429137</v>
      </c>
      <c r="O42" s="574" t="s">
        <v>52</v>
      </c>
      <c r="P42" s="606"/>
      <c r="Q42" s="74"/>
      <c r="R42" s="74"/>
      <c r="S42" s="75">
        <f>SUM(S38:S40)</f>
        <v>2963278.5578144272</v>
      </c>
      <c r="T42" s="510">
        <f>S42</f>
        <v>2963278.5578144272</v>
      </c>
      <c r="V42" s="11" t="s">
        <v>28</v>
      </c>
      <c r="W42" s="46"/>
      <c r="X42" s="195">
        <v>0.15</v>
      </c>
      <c r="Y42" s="47"/>
      <c r="AC42" s="177" t="s">
        <v>471</v>
      </c>
      <c r="AD42" s="564">
        <v>8</v>
      </c>
      <c r="AE42" s="564">
        <v>8</v>
      </c>
      <c r="AF42" s="564">
        <v>8</v>
      </c>
      <c r="AG42" s="564">
        <v>8</v>
      </c>
      <c r="AH42" s="564">
        <v>8</v>
      </c>
      <c r="AI42" s="564">
        <v>8</v>
      </c>
      <c r="AJ42" s="564">
        <v>8</v>
      </c>
    </row>
    <row r="43" spans="1:38" ht="13.9" thickTop="1" x14ac:dyDescent="0.25">
      <c r="A43" s="23" t="s">
        <v>53</v>
      </c>
      <c r="C43" s="98">
        <f>$X$60</f>
        <v>2.3900000000000001E-2</v>
      </c>
      <c r="E43" s="77">
        <f>E41*(1+C43)</f>
        <v>2807150.2069546683</v>
      </c>
      <c r="F43" s="407"/>
      <c r="H43" s="131"/>
      <c r="M43" s="407"/>
      <c r="O43" s="131"/>
      <c r="T43" s="407"/>
      <c r="V43" s="11" t="s">
        <v>29</v>
      </c>
      <c r="W43" s="46"/>
      <c r="X43" s="195">
        <v>1</v>
      </c>
      <c r="Y43" s="47"/>
      <c r="AK43" s="23">
        <f>SUM(AD40:AJ42)</f>
        <v>168</v>
      </c>
      <c r="AL43" s="177" t="s">
        <v>493</v>
      </c>
    </row>
    <row r="44" spans="1:38" ht="13.15" x14ac:dyDescent="0.25">
      <c r="F44" s="407"/>
      <c r="H44" s="131" t="s">
        <v>53</v>
      </c>
      <c r="J44" s="98"/>
      <c r="L44" s="77">
        <f>L42*(1+J44)</f>
        <v>2888126.2885429137</v>
      </c>
      <c r="M44" s="408">
        <f>M42*(1+J44)</f>
        <v>2888126.2885429137</v>
      </c>
      <c r="O44" s="131"/>
      <c r="Q44" s="98"/>
      <c r="S44" s="77">
        <f>S42*(1+Q44)</f>
        <v>2963278.5578144272</v>
      </c>
      <c r="T44" s="408">
        <f>T42*(1+Q44)</f>
        <v>2963278.5578144272</v>
      </c>
      <c r="V44" s="11" t="s">
        <v>30</v>
      </c>
      <c r="W44" s="46"/>
      <c r="X44" s="195">
        <v>21.3</v>
      </c>
      <c r="Y44" s="47"/>
      <c r="AK44" s="23">
        <f>AK43/40</f>
        <v>4.2</v>
      </c>
      <c r="AL44" s="177" t="s">
        <v>3</v>
      </c>
    </row>
    <row r="45" spans="1:38" ht="13.15" x14ac:dyDescent="0.25">
      <c r="E45" s="92" t="s">
        <v>56</v>
      </c>
      <c r="F45" s="407"/>
      <c r="H45" s="131"/>
      <c r="M45" s="407"/>
      <c r="O45" s="131"/>
      <c r="T45" s="407"/>
      <c r="V45" s="42" t="s">
        <v>31</v>
      </c>
      <c r="W45" s="46"/>
      <c r="X45" s="178">
        <v>3.1949999999999998</v>
      </c>
      <c r="Y45" s="47"/>
      <c r="AK45" s="23">
        <f>AK44*X10</f>
        <v>0.63</v>
      </c>
      <c r="AL45" s="177" t="s">
        <v>495</v>
      </c>
    </row>
    <row r="46" spans="1:38" ht="13.15" x14ac:dyDescent="0.25">
      <c r="A46" s="23" t="s">
        <v>55</v>
      </c>
      <c r="D46" s="76">
        <f>E41/E8</f>
        <v>500.75349056270534</v>
      </c>
      <c r="E46" s="76">
        <f>D46*(1+C43)</f>
        <v>512.72149898715406</v>
      </c>
      <c r="F46" s="407"/>
      <c r="H46" s="131"/>
      <c r="L46" s="597" t="s">
        <v>789</v>
      </c>
      <c r="M46" s="597" t="s">
        <v>789</v>
      </c>
      <c r="O46" s="131"/>
      <c r="S46" s="597" t="s">
        <v>789</v>
      </c>
      <c r="T46" s="597" t="s">
        <v>789</v>
      </c>
      <c r="V46" s="7" t="s">
        <v>6</v>
      </c>
      <c r="W46" s="46"/>
      <c r="X46" s="195"/>
      <c r="Y46" s="47"/>
      <c r="AK46" s="23">
        <f>SUM(AK44:AK45)</f>
        <v>4.83</v>
      </c>
      <c r="AL46" s="177" t="s">
        <v>523</v>
      </c>
    </row>
    <row r="47" spans="1:38" ht="13.9" thickBot="1" x14ac:dyDescent="0.3">
      <c r="A47" s="377" t="s">
        <v>455</v>
      </c>
      <c r="B47" s="378"/>
      <c r="C47" s="379">
        <f>'CAF Spring 2015'!$BC$24</f>
        <v>2.0354406130268236E-2</v>
      </c>
      <c r="D47" s="380"/>
      <c r="E47" s="380"/>
      <c r="F47" s="381">
        <f>E46*(1+C47)</f>
        <v>523.15764060925858</v>
      </c>
      <c r="H47" s="131" t="s">
        <v>55</v>
      </c>
      <c r="K47" s="76">
        <f>L42/L8</f>
        <v>527.51165087541801</v>
      </c>
      <c r="L47" s="76">
        <f>K47*(1+J44)</f>
        <v>527.51165087541801</v>
      </c>
      <c r="M47" s="408">
        <f>M44/12</f>
        <v>240677.19071190947</v>
      </c>
      <c r="O47" s="131" t="s">
        <v>55</v>
      </c>
      <c r="R47" s="76">
        <f>S42/S8</f>
        <v>541.23809275149358</v>
      </c>
      <c r="S47" s="76">
        <f>R47*(1+Q44)</f>
        <v>541.23809275149358</v>
      </c>
      <c r="T47" s="408">
        <f>T44/12</f>
        <v>246939.87981786893</v>
      </c>
      <c r="V47" s="11" t="s">
        <v>32</v>
      </c>
      <c r="W47" s="46"/>
      <c r="X47" s="195">
        <v>1.25</v>
      </c>
      <c r="Y47" s="47"/>
    </row>
    <row r="48" spans="1:38" ht="13.9" thickBot="1" x14ac:dyDescent="0.3">
      <c r="A48" s="78" t="s">
        <v>54</v>
      </c>
      <c r="B48" s="79">
        <v>0.9</v>
      </c>
      <c r="C48" s="80"/>
      <c r="D48" s="86">
        <f>E41/(E8*B48)</f>
        <v>556.39276729189487</v>
      </c>
      <c r="E48" s="384">
        <f>D48*(1+C43)</f>
        <v>569.69055443017112</v>
      </c>
      <c r="F48" s="746">
        <f>ROUND($F$47/B48,2)</f>
        <v>581.29</v>
      </c>
      <c r="H48" s="961" t="s">
        <v>762</v>
      </c>
      <c r="I48" s="962"/>
      <c r="J48" s="963"/>
      <c r="K48" s="964"/>
      <c r="L48" s="964">
        <f>L47*(1+J48)</f>
        <v>527.51165087541801</v>
      </c>
      <c r="M48" s="965">
        <f>ROUND(M47*(1+J48),0)</f>
        <v>240677</v>
      </c>
      <c r="N48" s="281"/>
      <c r="O48" s="961" t="s">
        <v>762</v>
      </c>
      <c r="P48" s="962"/>
      <c r="Q48" s="963"/>
      <c r="R48" s="964"/>
      <c r="S48" s="964">
        <f>S47*(1+Q48)</f>
        <v>541.23809275149358</v>
      </c>
      <c r="T48" s="965">
        <f>ROUND(T47*(1+Q48),0)</f>
        <v>246940</v>
      </c>
      <c r="V48" s="11" t="s">
        <v>33</v>
      </c>
      <c r="W48" s="46"/>
      <c r="X48" s="195">
        <v>4.5</v>
      </c>
      <c r="Y48" s="47"/>
    </row>
    <row r="49" spans="1:26" ht="13.9" thickBot="1" x14ac:dyDescent="0.3">
      <c r="A49" s="81"/>
      <c r="B49" s="82"/>
      <c r="C49" s="83"/>
      <c r="D49" s="88"/>
      <c r="E49" s="957"/>
      <c r="F49" s="747"/>
      <c r="H49" s="1362" t="s">
        <v>761</v>
      </c>
      <c r="I49" s="1363"/>
      <c r="J49" s="1364">
        <v>2.3900000000000001E-2</v>
      </c>
      <c r="K49" s="1365"/>
      <c r="L49" s="1365"/>
      <c r="M49" s="1360">
        <f>M48*(J49+1)</f>
        <v>246429.18030000001</v>
      </c>
      <c r="N49" s="281"/>
      <c r="O49" s="1362" t="s">
        <v>761</v>
      </c>
      <c r="P49" s="1363"/>
      <c r="Q49" s="1364">
        <v>2.3900000000000001E-2</v>
      </c>
      <c r="R49" s="964"/>
      <c r="S49" s="964"/>
      <c r="T49" s="1360">
        <f>T48*(Q49+1)</f>
        <v>252841.86600000001</v>
      </c>
      <c r="V49" s="11"/>
      <c r="W49" s="46"/>
      <c r="X49" s="195"/>
      <c r="Y49" s="47"/>
    </row>
    <row r="50" spans="1:26" ht="13.15" x14ac:dyDescent="0.25">
      <c r="A50" s="81"/>
      <c r="B50" s="82">
        <v>0.85</v>
      </c>
      <c r="C50" s="83"/>
      <c r="D50" s="88">
        <f>E41/(E8*B50)</f>
        <v>589.12175360318281</v>
      </c>
      <c r="E50" s="88">
        <f>D50*(1+C43)</f>
        <v>603.20176351429893</v>
      </c>
      <c r="F50" s="747">
        <f t="shared" ref="F50:F54" si="9">ROUND($F$47/B50,2)</f>
        <v>615.48</v>
      </c>
      <c r="H50" s="959"/>
      <c r="I50" s="958"/>
      <c r="J50" s="476"/>
      <c r="K50" s="389"/>
      <c r="L50" s="389"/>
      <c r="M50" s="394"/>
      <c r="N50" s="162"/>
      <c r="O50" s="959"/>
      <c r="P50" s="958"/>
      <c r="Q50" s="476"/>
      <c r="R50" s="389"/>
      <c r="S50" s="389"/>
      <c r="T50" s="394"/>
      <c r="V50" s="43"/>
      <c r="W50" s="29"/>
      <c r="X50" s="29"/>
      <c r="Y50" s="41"/>
    </row>
    <row r="51" spans="1:26" ht="13.15" x14ac:dyDescent="0.25">
      <c r="A51" s="84"/>
      <c r="B51" s="85">
        <v>0.8</v>
      </c>
      <c r="C51" s="34"/>
      <c r="D51" s="90">
        <f>$E$41/($E$8*B51)</f>
        <v>625.94186320338167</v>
      </c>
      <c r="E51" s="90">
        <f>D51*(1+$C$43)</f>
        <v>640.90187373394247</v>
      </c>
      <c r="F51" s="748">
        <f t="shared" si="9"/>
        <v>653.95000000000005</v>
      </c>
      <c r="H51" s="959"/>
      <c r="I51" s="958"/>
      <c r="J51" s="476"/>
      <c r="K51" s="389"/>
      <c r="L51" s="389"/>
      <c r="M51" s="394"/>
      <c r="N51" s="162"/>
      <c r="O51" s="959"/>
      <c r="P51" s="958"/>
      <c r="Q51" s="476"/>
      <c r="R51" s="389"/>
      <c r="S51" s="389"/>
      <c r="T51" s="394"/>
    </row>
    <row r="52" spans="1:26" x14ac:dyDescent="0.2">
      <c r="B52" s="383">
        <v>0.75</v>
      </c>
      <c r="D52" s="88">
        <f t="shared" ref="D52:D54" si="10">$E$41/($E$8*B52)</f>
        <v>667.67132075027382</v>
      </c>
      <c r="E52" s="88">
        <f t="shared" ref="E52:E54" si="11">D52*(1+$C$43)</f>
        <v>683.62866531620534</v>
      </c>
      <c r="F52" s="747">
        <f t="shared" si="9"/>
        <v>697.54</v>
      </c>
      <c r="H52" s="162"/>
      <c r="I52" s="960"/>
      <c r="J52" s="162"/>
      <c r="K52" s="389"/>
      <c r="L52" s="389"/>
      <c r="M52" s="394"/>
      <c r="N52" s="162"/>
      <c r="O52" s="162"/>
      <c r="P52" s="960"/>
      <c r="Q52" s="162"/>
      <c r="R52" s="389"/>
      <c r="S52" s="389"/>
      <c r="T52" s="394"/>
      <c r="V52" s="43" t="s">
        <v>22</v>
      </c>
      <c r="W52" s="29"/>
      <c r="X52" s="95">
        <f>IF('[2]Avg Expenses'!$C$3&gt;26%,26%,'[2]Avg Expenses'!$C$3)</f>
        <v>0.26</v>
      </c>
      <c r="Y52" s="99" t="s">
        <v>146</v>
      </c>
    </row>
    <row r="53" spans="1:26" ht="13.15" x14ac:dyDescent="0.25">
      <c r="B53" s="383">
        <v>0.7</v>
      </c>
      <c r="D53" s="88">
        <f t="shared" si="10"/>
        <v>715.36212937529342</v>
      </c>
      <c r="E53" s="88">
        <f t="shared" si="11"/>
        <v>732.45928426736293</v>
      </c>
      <c r="F53" s="747">
        <f t="shared" si="9"/>
        <v>747.37</v>
      </c>
      <c r="I53" s="611"/>
      <c r="M53" s="394"/>
      <c r="P53" s="611"/>
      <c r="T53" s="394"/>
      <c r="V53" s="43"/>
      <c r="W53" s="29"/>
      <c r="X53" s="48"/>
      <c r="Y53" s="41"/>
    </row>
    <row r="54" spans="1:26" ht="13.9" thickBot="1" x14ac:dyDescent="0.3">
      <c r="B54" s="383">
        <v>0.65</v>
      </c>
      <c r="D54" s="88">
        <f t="shared" si="10"/>
        <v>770.3899854810852</v>
      </c>
      <c r="E54" s="88">
        <f t="shared" si="11"/>
        <v>788.80230613408321</v>
      </c>
      <c r="F54" s="749">
        <f t="shared" si="9"/>
        <v>804.86</v>
      </c>
      <c r="I54" s="611"/>
      <c r="M54" s="394"/>
      <c r="P54" s="611"/>
      <c r="T54" s="394"/>
      <c r="V54" s="43" t="s">
        <v>39</v>
      </c>
      <c r="W54" s="29"/>
      <c r="X54" s="59">
        <v>11</v>
      </c>
      <c r="Y54" s="41"/>
    </row>
    <row r="55" spans="1:26" ht="13.15" x14ac:dyDescent="0.25">
      <c r="B55" s="383"/>
      <c r="F55" s="394"/>
      <c r="I55" s="611"/>
      <c r="M55" s="394"/>
      <c r="P55" s="611"/>
      <c r="T55" s="394"/>
      <c r="V55" s="43" t="s">
        <v>40</v>
      </c>
      <c r="W55" s="29"/>
      <c r="X55" s="59">
        <v>25.44</v>
      </c>
      <c r="Y55" s="41"/>
    </row>
    <row r="56" spans="1:26" ht="13.15" x14ac:dyDescent="0.25">
      <c r="D56" s="29"/>
      <c r="E56" s="61"/>
      <c r="F56" s="71"/>
      <c r="I56" s="611"/>
      <c r="M56" s="394"/>
      <c r="P56" s="611"/>
      <c r="T56" s="394"/>
      <c r="V56" s="101" t="s">
        <v>43</v>
      </c>
      <c r="W56" s="102"/>
      <c r="X56" s="103">
        <f>SUM(X54:X55)</f>
        <v>36.44</v>
      </c>
      <c r="Y56" s="104"/>
    </row>
    <row r="57" spans="1:26" ht="13.15" x14ac:dyDescent="0.25">
      <c r="D57" s="29"/>
      <c r="E57" s="750"/>
      <c r="F57" s="71"/>
      <c r="V57" s="43"/>
      <c r="W57" s="29"/>
      <c r="X57" s="29"/>
      <c r="Y57" s="41"/>
    </row>
    <row r="58" spans="1:26" ht="13.15" x14ac:dyDescent="0.25">
      <c r="D58" s="29"/>
      <c r="E58" s="29"/>
      <c r="V58" s="43" t="s">
        <v>44</v>
      </c>
      <c r="W58" s="29"/>
      <c r="X58" s="95">
        <f>'[2]Avg Expenses'!$C$39</f>
        <v>9.465319377551569E-2</v>
      </c>
      <c r="Y58" s="41"/>
      <c r="Z58" s="583">
        <f>'STARR (rebased)'!T47</f>
        <v>0.11846733793705286</v>
      </c>
    </row>
    <row r="59" spans="1:26" ht="13.15" customHeight="1" x14ac:dyDescent="0.25">
      <c r="V59" s="43"/>
      <c r="W59" s="29"/>
      <c r="X59" s="29"/>
      <c r="Y59" s="41"/>
    </row>
    <row r="60" spans="1:26" ht="13.9" thickBot="1" x14ac:dyDescent="0.3">
      <c r="V60" s="239" t="s">
        <v>824</v>
      </c>
      <c r="W60" s="52"/>
      <c r="X60" s="96">
        <v>2.3900000000000001E-2</v>
      </c>
      <c r="Y60" s="53"/>
    </row>
    <row r="61" spans="1:26" ht="13.15" x14ac:dyDescent="0.25">
      <c r="V61" s="63" t="s">
        <v>50</v>
      </c>
      <c r="W61" s="64" t="s">
        <v>46</v>
      </c>
    </row>
    <row r="62" spans="1:26" ht="13.15" x14ac:dyDescent="0.25">
      <c r="V62" s="24" t="s">
        <v>81</v>
      </c>
    </row>
    <row r="63" spans="1:26" ht="13.15" x14ac:dyDescent="0.25">
      <c r="V63" s="23" t="s">
        <v>63</v>
      </c>
    </row>
    <row r="64" spans="1:26" ht="13.15" x14ac:dyDescent="0.25">
      <c r="V64" s="54" t="s">
        <v>48</v>
      </c>
    </row>
    <row r="66" spans="8:22" ht="13.15" x14ac:dyDescent="0.25">
      <c r="L66" s="105"/>
      <c r="S66" s="105"/>
      <c r="V66" s="55" t="s">
        <v>49</v>
      </c>
    </row>
    <row r="67" spans="8:22" ht="13.15" x14ac:dyDescent="0.25">
      <c r="O67" s="71"/>
      <c r="Q67" s="71"/>
      <c r="V67" s="100" t="s">
        <v>74</v>
      </c>
    </row>
    <row r="68" spans="8:22" ht="13.15" x14ac:dyDescent="0.25">
      <c r="J68" s="71"/>
      <c r="O68" s="594"/>
      <c r="V68" s="181" t="s">
        <v>293</v>
      </c>
    </row>
    <row r="69" spans="8:22" ht="13.15" x14ac:dyDescent="0.25">
      <c r="H69" s="177"/>
      <c r="J69" s="594"/>
      <c r="V69" s="100" t="s">
        <v>72</v>
      </c>
    </row>
    <row r="70" spans="8:22" ht="13.15" x14ac:dyDescent="0.25">
      <c r="J70" s="594"/>
      <c r="Q70" s="71"/>
      <c r="V70" s="173" t="s">
        <v>219</v>
      </c>
    </row>
    <row r="71" spans="8:22" ht="13.15" x14ac:dyDescent="0.25">
      <c r="J71" s="594"/>
      <c r="V71" s="94" t="s">
        <v>294</v>
      </c>
    </row>
    <row r="72" spans="8:22" ht="13.15" x14ac:dyDescent="0.25">
      <c r="J72" s="71"/>
      <c r="V72" s="94" t="s">
        <v>79</v>
      </c>
    </row>
    <row r="73" spans="8:22" ht="13.15" x14ac:dyDescent="0.25">
      <c r="V73" s="23" t="s">
        <v>73</v>
      </c>
    </row>
    <row r="74" spans="8:22" x14ac:dyDescent="0.2">
      <c r="V74" s="94" t="s">
        <v>147</v>
      </c>
    </row>
    <row r="86" spans="12:15" ht="13.15" x14ac:dyDescent="0.25">
      <c r="L86" s="23">
        <v>15</v>
      </c>
      <c r="M86" s="23">
        <v>525</v>
      </c>
      <c r="N86" s="177">
        <f>L86*30</f>
        <v>450</v>
      </c>
      <c r="O86" s="23">
        <f>M86*N86</f>
        <v>236250</v>
      </c>
    </row>
    <row r="87" spans="12:15" ht="13.15" x14ac:dyDescent="0.25">
      <c r="M87" s="23">
        <f>M86/0.9</f>
        <v>583.33333333333337</v>
      </c>
      <c r="N87" s="23">
        <f>N86*0.9</f>
        <v>405</v>
      </c>
      <c r="O87" s="23">
        <f>M87*N87</f>
        <v>236250.00000000003</v>
      </c>
    </row>
    <row r="88" spans="12:15" ht="13.15" x14ac:dyDescent="0.25">
      <c r="L88" s="23">
        <f>15*0.8</f>
        <v>12</v>
      </c>
      <c r="M88" s="23">
        <f>M86/0.8</f>
        <v>656.25</v>
      </c>
      <c r="N88" s="23">
        <f>L88*30</f>
        <v>360</v>
      </c>
      <c r="O88" s="23">
        <f t="shared" ref="O88:O89" si="12">M88*N88</f>
        <v>236250</v>
      </c>
    </row>
    <row r="89" spans="12:15" ht="13.15" x14ac:dyDescent="0.25">
      <c r="L89" s="679"/>
      <c r="M89" s="23">
        <f>M86/0.7</f>
        <v>750</v>
      </c>
      <c r="N89" s="23">
        <f>N86*0.7</f>
        <v>315</v>
      </c>
      <c r="O89" s="23">
        <f t="shared" si="12"/>
        <v>236250</v>
      </c>
    </row>
    <row r="93" spans="12:15" ht="13.15" x14ac:dyDescent="0.25">
      <c r="M93" s="23">
        <f>583.33*405</f>
        <v>236248.65000000002</v>
      </c>
    </row>
  </sheetData>
  <mergeCells count="8">
    <mergeCell ref="V1:Y1"/>
    <mergeCell ref="W3:X3"/>
    <mergeCell ref="A6:E7"/>
    <mergeCell ref="F6:F7"/>
    <mergeCell ref="H6:L7"/>
    <mergeCell ref="M6:M7"/>
    <mergeCell ref="O6:S7"/>
    <mergeCell ref="T6:T7"/>
  </mergeCells>
  <pageMargins left="0.25" right="0.25" top="0.75" bottom="0.75" header="0.3" footer="0.3"/>
  <pageSetup scale="75" fitToHeight="0" orientation="landscape" r:id="rId1"/>
  <headerFooter>
    <oddFooter>&amp;R
&amp;A
Caring Together rate review</oddFooter>
  </headerFooter>
  <colBreaks count="1" manualBreakCount="1">
    <brk id="7" min="5" max="6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178"/>
  <sheetViews>
    <sheetView topLeftCell="A6" zoomScale="80" zoomScaleNormal="80" zoomScalePageLayoutView="85" workbookViewId="0">
      <selection activeCell="K15" sqref="K15"/>
    </sheetView>
  </sheetViews>
  <sheetFormatPr defaultColWidth="9.140625" defaultRowHeight="12.75" x14ac:dyDescent="0.2"/>
  <cols>
    <col min="1" max="1" width="25.5703125" style="177" customWidth="1"/>
    <col min="2" max="2" width="5.7109375" style="177" customWidth="1"/>
    <col min="3" max="3" width="12.85546875" style="177" customWidth="1"/>
    <col min="4" max="4" width="10.85546875" style="177" customWidth="1"/>
    <col min="5" max="6" width="13.140625" style="177" customWidth="1"/>
    <col min="7" max="7" width="9.140625" style="759" customWidth="1"/>
    <col min="8" max="8" width="25.5703125" style="177" customWidth="1"/>
    <col min="9" max="9" width="5.7109375" style="177" customWidth="1"/>
    <col min="10" max="10" width="12.85546875" style="177" customWidth="1"/>
    <col min="11" max="11" width="10.85546875" style="177" customWidth="1"/>
    <col min="12" max="13" width="13.140625" style="177" customWidth="1"/>
    <col min="14" max="14" width="4.7109375" style="759" customWidth="1"/>
    <col min="15" max="15" width="14.28515625" style="177" bestFit="1" customWidth="1"/>
    <col min="16" max="16" width="31.85546875" style="177" bestFit="1" customWidth="1"/>
    <col min="17" max="20" width="10.140625" style="177" customWidth="1"/>
    <col min="21" max="23" width="9.140625" style="177"/>
    <col min="24" max="24" width="10.42578125" style="177" bestFit="1" customWidth="1"/>
    <col min="25" max="16384" width="9.140625" style="177"/>
  </cols>
  <sheetData>
    <row r="1" spans="1:21" ht="15.75" customHeight="1" thickBot="1" x14ac:dyDescent="0.3">
      <c r="P1" s="1431" t="s">
        <v>8</v>
      </c>
      <c r="Q1" s="1431"/>
      <c r="R1" s="1431"/>
      <c r="S1" s="1431"/>
      <c r="T1" s="1431"/>
    </row>
    <row r="2" spans="1:21" ht="13.9" thickBot="1" x14ac:dyDescent="0.3"/>
    <row r="3" spans="1:21" ht="13.15" x14ac:dyDescent="0.25">
      <c r="P3" s="5" t="s">
        <v>9</v>
      </c>
      <c r="Q3" s="1432" t="s">
        <v>10</v>
      </c>
      <c r="R3" s="1432"/>
      <c r="S3" s="6"/>
      <c r="T3" s="181"/>
      <c r="U3" s="181"/>
    </row>
    <row r="4" spans="1:21" ht="12.75" customHeight="1" x14ac:dyDescent="0.25">
      <c r="P4" s="7"/>
      <c r="Q4" s="8" t="s">
        <v>11</v>
      </c>
      <c r="R4" s="9" t="s">
        <v>12</v>
      </c>
      <c r="S4" s="10"/>
      <c r="T4" s="181"/>
      <c r="U4" s="181"/>
    </row>
    <row r="5" spans="1:21" ht="13.15" x14ac:dyDescent="0.25">
      <c r="P5" s="11" t="s">
        <v>13</v>
      </c>
      <c r="Q5" s="12">
        <v>13</v>
      </c>
      <c r="R5" s="13">
        <f>Q5*8</f>
        <v>104</v>
      </c>
      <c r="S5" s="10"/>
      <c r="T5" s="181"/>
      <c r="U5" s="181"/>
    </row>
    <row r="6" spans="1:21" ht="21.6" customHeight="1" x14ac:dyDescent="0.2">
      <c r="A6" s="1464" t="s">
        <v>515</v>
      </c>
      <c r="B6" s="1465"/>
      <c r="C6" s="1465"/>
      <c r="D6" s="1465"/>
      <c r="E6" s="1465"/>
      <c r="F6" s="1433" t="s">
        <v>490</v>
      </c>
      <c r="G6" s="521"/>
      <c r="H6" s="1464" t="s">
        <v>519</v>
      </c>
      <c r="I6" s="1464"/>
      <c r="J6" s="1464"/>
      <c r="K6" s="1464"/>
      <c r="L6" s="1464"/>
      <c r="M6" s="1462" t="s">
        <v>458</v>
      </c>
      <c r="N6" s="521"/>
      <c r="P6" s="11" t="s">
        <v>14</v>
      </c>
      <c r="Q6" s="12">
        <v>10</v>
      </c>
      <c r="R6" s="13">
        <f>Q6*8</f>
        <v>80</v>
      </c>
      <c r="S6" s="10"/>
      <c r="T6" s="181"/>
      <c r="U6" s="181"/>
    </row>
    <row r="7" spans="1:21" ht="21.6" customHeight="1" thickBot="1" x14ac:dyDescent="0.25">
      <c r="A7" s="1466"/>
      <c r="B7" s="1466"/>
      <c r="C7" s="1466"/>
      <c r="D7" s="1466"/>
      <c r="E7" s="1466"/>
      <c r="F7" s="1434"/>
      <c r="G7" s="521"/>
      <c r="H7" s="1467"/>
      <c r="I7" s="1467"/>
      <c r="J7" s="1467"/>
      <c r="K7" s="1467"/>
      <c r="L7" s="1467"/>
      <c r="M7" s="1463"/>
      <c r="N7" s="521"/>
      <c r="P7" s="11" t="s">
        <v>15</v>
      </c>
      <c r="Q7" s="12">
        <v>11</v>
      </c>
      <c r="R7" s="13">
        <f>Q7*8</f>
        <v>88</v>
      </c>
      <c r="S7" s="10"/>
      <c r="T7" s="181"/>
      <c r="U7" s="181"/>
    </row>
    <row r="8" spans="1:21" ht="13.15" x14ac:dyDescent="0.25">
      <c r="A8" s="196" t="s">
        <v>0</v>
      </c>
      <c r="B8" s="69">
        <f>S$26</f>
        <v>12</v>
      </c>
      <c r="C8" s="196"/>
      <c r="D8" s="196" t="s">
        <v>1</v>
      </c>
      <c r="E8" s="197">
        <f>B8*365</f>
        <v>4380</v>
      </c>
      <c r="F8" s="411"/>
      <c r="G8" s="644"/>
      <c r="H8" s="196" t="s">
        <v>0</v>
      </c>
      <c r="I8" s="69">
        <v>12</v>
      </c>
      <c r="J8" s="196"/>
      <c r="K8" s="196" t="s">
        <v>1</v>
      </c>
      <c r="L8" s="197">
        <f>$I$8*365</f>
        <v>4380</v>
      </c>
      <c r="M8" s="541" t="s">
        <v>459</v>
      </c>
      <c r="N8" s="644"/>
      <c r="P8" s="14" t="s">
        <v>16</v>
      </c>
      <c r="Q8" s="15">
        <v>7</v>
      </c>
      <c r="R8" s="16">
        <f>Q8*8</f>
        <v>56</v>
      </c>
      <c r="S8" s="17"/>
      <c r="T8" s="181"/>
      <c r="U8" s="181"/>
    </row>
    <row r="9" spans="1:21" ht="13.15" x14ac:dyDescent="0.25">
      <c r="F9" s="426"/>
      <c r="G9" s="183"/>
      <c r="M9" s="426"/>
      <c r="N9" s="183"/>
      <c r="P9" s="11"/>
      <c r="Q9" s="18" t="s">
        <v>17</v>
      </c>
      <c r="R9" s="13">
        <f>SUM(R5:R8)</f>
        <v>328</v>
      </c>
      <c r="S9" s="19"/>
      <c r="T9" s="181"/>
      <c r="U9" s="181"/>
    </row>
    <row r="10" spans="1:21" ht="13.9" customHeight="1" thickBot="1" x14ac:dyDescent="0.3">
      <c r="A10" s="198"/>
      <c r="B10" s="198"/>
      <c r="C10" s="199" t="s">
        <v>2</v>
      </c>
      <c r="D10" s="199" t="s">
        <v>3</v>
      </c>
      <c r="E10" s="199" t="s">
        <v>4</v>
      </c>
      <c r="F10" s="426"/>
      <c r="G10" s="625"/>
      <c r="H10" s="198"/>
      <c r="I10" s="198"/>
      <c r="J10" s="199" t="s">
        <v>2</v>
      </c>
      <c r="K10" s="199" t="s">
        <v>3</v>
      </c>
      <c r="L10" s="199" t="s">
        <v>4</v>
      </c>
      <c r="M10" s="760"/>
      <c r="N10" s="625"/>
      <c r="P10" s="20"/>
      <c r="Q10" s="21" t="s">
        <v>18</v>
      </c>
      <c r="R10" s="200">
        <f>R9/(52*40)</f>
        <v>0.15769230769230769</v>
      </c>
      <c r="S10" s="201"/>
    </row>
    <row r="11" spans="1:21" ht="13.9" thickBot="1" x14ac:dyDescent="0.3">
      <c r="A11" s="1" t="s">
        <v>19</v>
      </c>
      <c r="C11" s="30">
        <f>R$13</f>
        <v>52305.406251052875</v>
      </c>
      <c r="D11" s="35">
        <f>S$27</f>
        <v>2</v>
      </c>
      <c r="E11" s="202">
        <f>C11*D11</f>
        <v>104610.81250210575</v>
      </c>
      <c r="F11" s="426"/>
      <c r="G11" s="513"/>
      <c r="H11" s="1" t="s">
        <v>19</v>
      </c>
      <c r="J11" s="30">
        <v>52305.406251052875</v>
      </c>
      <c r="K11" s="35">
        <v>2</v>
      </c>
      <c r="L11" s="202">
        <f>$J$11*K11</f>
        <v>104610.81250210575</v>
      </c>
      <c r="M11" s="761"/>
      <c r="N11" s="513"/>
    </row>
    <row r="12" spans="1:21" ht="13.15" x14ac:dyDescent="0.25">
      <c r="A12" s="2" t="s">
        <v>227</v>
      </c>
      <c r="C12" s="30"/>
      <c r="D12" s="35"/>
      <c r="E12" s="202"/>
      <c r="F12" s="426"/>
      <c r="G12" s="513"/>
      <c r="H12" s="2" t="s">
        <v>227</v>
      </c>
      <c r="J12" s="30"/>
      <c r="K12" s="35"/>
      <c r="L12" s="202"/>
      <c r="M12" s="761"/>
      <c r="N12" s="513"/>
      <c r="P12" s="203"/>
      <c r="Q12" s="204"/>
      <c r="R12" s="38" t="s">
        <v>62</v>
      </c>
      <c r="S12" s="38"/>
      <c r="T12" s="762"/>
    </row>
    <row r="13" spans="1:21" ht="13.15" x14ac:dyDescent="0.25">
      <c r="A13" s="3" t="s">
        <v>24</v>
      </c>
      <c r="C13" s="30">
        <f>R15</f>
        <v>64673.926018287602</v>
      </c>
      <c r="D13" s="35">
        <f>S29</f>
        <v>0.3</v>
      </c>
      <c r="E13" s="202">
        <f t="shared" ref="E13:E20" si="0">C13*D13</f>
        <v>19402.177805486281</v>
      </c>
      <c r="F13" s="426"/>
      <c r="G13" s="513"/>
      <c r="H13" s="3" t="s">
        <v>24</v>
      </c>
      <c r="J13" s="30">
        <v>64673.926018287602</v>
      </c>
      <c r="K13" s="659">
        <f>$D$13+(0.5*$I$8/40)</f>
        <v>0.44999999999999996</v>
      </c>
      <c r="L13" s="202">
        <f>$J$13*K13</f>
        <v>29103.266708229417</v>
      </c>
      <c r="M13" s="761"/>
      <c r="N13" s="513"/>
      <c r="P13" s="7" t="s">
        <v>19</v>
      </c>
      <c r="Q13" s="205"/>
      <c r="R13" s="40">
        <v>52305.406251052875</v>
      </c>
      <c r="S13" s="341"/>
      <c r="T13" s="221"/>
    </row>
    <row r="14" spans="1:21" ht="13.15" x14ac:dyDescent="0.25">
      <c r="A14" s="2" t="s">
        <v>5</v>
      </c>
      <c r="C14" s="282"/>
      <c r="D14" s="283"/>
      <c r="E14" s="202"/>
      <c r="F14" s="426"/>
      <c r="G14" s="513"/>
      <c r="H14" s="2" t="s">
        <v>5</v>
      </c>
      <c r="J14" s="282"/>
      <c r="K14" s="283"/>
      <c r="L14" s="202"/>
      <c r="M14" s="761"/>
      <c r="N14" s="513"/>
      <c r="P14" s="7" t="s">
        <v>227</v>
      </c>
      <c r="Q14" s="205"/>
      <c r="R14" s="40"/>
      <c r="S14" s="341"/>
      <c r="T14" s="221"/>
    </row>
    <row r="15" spans="1:21" ht="13.15" x14ac:dyDescent="0.25">
      <c r="A15" s="3" t="s">
        <v>26</v>
      </c>
      <c r="C15" s="282">
        <f>R17</f>
        <v>50000</v>
      </c>
      <c r="D15" s="283">
        <f>S31</f>
        <v>1</v>
      </c>
      <c r="E15" s="202">
        <f>C15*D15</f>
        <v>50000</v>
      </c>
      <c r="F15" s="426"/>
      <c r="G15" s="513"/>
      <c r="H15" s="3" t="s">
        <v>26</v>
      </c>
      <c r="J15" s="282">
        <v>50000</v>
      </c>
      <c r="K15" s="283">
        <v>1</v>
      </c>
      <c r="L15" s="202">
        <f>$J$15*K15</f>
        <v>50000</v>
      </c>
      <c r="M15" s="761"/>
      <c r="N15" s="513"/>
      <c r="P15" s="11" t="s">
        <v>24</v>
      </c>
      <c r="Q15" s="205"/>
      <c r="R15" s="40">
        <f>[6]IRTP!X17</f>
        <v>64673.926018287602</v>
      </c>
      <c r="S15" s="341" t="s">
        <v>58</v>
      </c>
      <c r="T15" s="221"/>
    </row>
    <row r="16" spans="1:21" ht="13.15" x14ac:dyDescent="0.25">
      <c r="A16" s="3" t="s">
        <v>59</v>
      </c>
      <c r="C16" s="282">
        <f>R18</f>
        <v>42189.221412467887</v>
      </c>
      <c r="D16" s="283">
        <f>S32</f>
        <v>1</v>
      </c>
      <c r="E16" s="202">
        <f t="shared" si="0"/>
        <v>42189.221412467887</v>
      </c>
      <c r="F16" s="426"/>
      <c r="G16" s="513"/>
      <c r="H16" s="3" t="s">
        <v>59</v>
      </c>
      <c r="J16" s="282">
        <v>42189.221412467887</v>
      </c>
      <c r="K16" s="283">
        <v>1</v>
      </c>
      <c r="L16" s="202">
        <f>$J$16*K16</f>
        <v>42189.221412467887</v>
      </c>
      <c r="M16" s="761"/>
      <c r="N16" s="513"/>
      <c r="P16" s="7" t="s">
        <v>5</v>
      </c>
      <c r="Q16" s="205"/>
      <c r="R16" s="40"/>
      <c r="S16" s="341"/>
      <c r="T16" s="221"/>
    </row>
    <row r="17" spans="1:20" ht="13.15" x14ac:dyDescent="0.25">
      <c r="A17" s="3" t="s">
        <v>30</v>
      </c>
      <c r="C17" s="282">
        <f>R19</f>
        <v>29169.595163958824</v>
      </c>
      <c r="D17" s="283">
        <f>S33</f>
        <v>13.6</v>
      </c>
      <c r="E17" s="202">
        <f t="shared" si="0"/>
        <v>396706.49422984</v>
      </c>
      <c r="F17" s="426"/>
      <c r="G17" s="763"/>
      <c r="H17" s="3" t="s">
        <v>30</v>
      </c>
      <c r="J17" s="282">
        <v>29169.595163958824</v>
      </c>
      <c r="K17" s="283">
        <v>13.6</v>
      </c>
      <c r="L17" s="202">
        <f>$J$17*K17</f>
        <v>396706.49422984</v>
      </c>
      <c r="M17" s="761"/>
      <c r="N17" s="513"/>
      <c r="P17" s="7" t="s">
        <v>331</v>
      </c>
      <c r="Q17" s="205"/>
      <c r="R17" s="280">
        <f>[6]IRTP!X19</f>
        <v>50000</v>
      </c>
      <c r="S17" s="341"/>
      <c r="T17" s="221"/>
    </row>
    <row r="18" spans="1:20" ht="13.15" x14ac:dyDescent="0.25">
      <c r="A18" s="4" t="s">
        <v>31</v>
      </c>
      <c r="C18" s="282">
        <f>R20</f>
        <v>29169.595163958824</v>
      </c>
      <c r="D18" s="283">
        <f>S34</f>
        <v>2.1446153846153844</v>
      </c>
      <c r="E18" s="202">
        <f t="shared" si="0"/>
        <v>62557.562551628609</v>
      </c>
      <c r="F18" s="426"/>
      <c r="G18" s="763"/>
      <c r="H18" s="4" t="s">
        <v>31</v>
      </c>
      <c r="J18" s="282">
        <v>29169.595163958824</v>
      </c>
      <c r="K18" s="283">
        <v>2.1446153846153844</v>
      </c>
      <c r="L18" s="202">
        <f>$J$18*K18</f>
        <v>62557.562551628609</v>
      </c>
      <c r="M18" s="761"/>
      <c r="N18" s="513"/>
      <c r="P18" s="11" t="s">
        <v>59</v>
      </c>
      <c r="Q18" s="205"/>
      <c r="R18" s="40">
        <v>42189.221412467887</v>
      </c>
      <c r="S18" s="341"/>
      <c r="T18" s="221"/>
    </row>
    <row r="19" spans="1:20" ht="13.15" x14ac:dyDescent="0.25">
      <c r="A19" s="2" t="s">
        <v>6</v>
      </c>
      <c r="C19" s="282"/>
      <c r="D19" s="283"/>
      <c r="E19" s="202"/>
      <c r="F19" s="426"/>
      <c r="G19" s="513"/>
      <c r="H19" s="2" t="s">
        <v>6</v>
      </c>
      <c r="J19" s="282"/>
      <c r="K19" s="283"/>
      <c r="L19" s="202"/>
      <c r="M19" s="761"/>
      <c r="N19" s="513"/>
      <c r="P19" s="11" t="s">
        <v>30</v>
      </c>
      <c r="Q19" s="205"/>
      <c r="R19" s="40">
        <v>29169.595163958824</v>
      </c>
      <c r="S19" s="341" t="s">
        <v>86</v>
      </c>
      <c r="T19" s="221"/>
    </row>
    <row r="20" spans="1:20" ht="13.15" x14ac:dyDescent="0.25">
      <c r="A20" s="3" t="s">
        <v>32</v>
      </c>
      <c r="C20" s="30">
        <f>R22</f>
        <v>29169.595163958824</v>
      </c>
      <c r="D20" s="35">
        <f>S36</f>
        <v>0.5</v>
      </c>
      <c r="E20" s="202">
        <f t="shared" si="0"/>
        <v>14584.797581979412</v>
      </c>
      <c r="F20" s="426"/>
      <c r="G20" s="513"/>
      <c r="H20" s="3" t="s">
        <v>32</v>
      </c>
      <c r="J20" s="30">
        <v>29169.595163958824</v>
      </c>
      <c r="K20" s="35">
        <v>0.5</v>
      </c>
      <c r="L20" s="202">
        <f>$J$20*K20</f>
        <v>14584.797581979412</v>
      </c>
      <c r="M20" s="761"/>
      <c r="N20" s="513"/>
      <c r="P20" s="42" t="s">
        <v>31</v>
      </c>
      <c r="Q20" s="205"/>
      <c r="R20" s="40">
        <f>R19</f>
        <v>29169.595163958824</v>
      </c>
      <c r="S20" s="341"/>
      <c r="T20" s="221"/>
    </row>
    <row r="21" spans="1:20" ht="13.15" x14ac:dyDescent="0.25">
      <c r="A21" s="208" t="s">
        <v>7</v>
      </c>
      <c r="B21" s="208"/>
      <c r="C21" s="208"/>
      <c r="D21" s="209">
        <f>SUM(D11:D20)</f>
        <v>20.544615384615383</v>
      </c>
      <c r="E21" s="175">
        <f>SUM(E11:E20)</f>
        <v>690051.06608350796</v>
      </c>
      <c r="F21" s="426"/>
      <c r="G21" s="516"/>
      <c r="H21" s="208" t="s">
        <v>7</v>
      </c>
      <c r="I21" s="208"/>
      <c r="J21" s="208"/>
      <c r="K21" s="209">
        <f>SUM(K11:K20)</f>
        <v>20.694615384615386</v>
      </c>
      <c r="L21" s="175">
        <f>SUM(L11:L20)</f>
        <v>699752.15498625103</v>
      </c>
      <c r="M21" s="764"/>
      <c r="N21" s="516"/>
      <c r="P21" s="7" t="s">
        <v>6</v>
      </c>
      <c r="Q21" s="205"/>
      <c r="R21" s="40"/>
      <c r="S21" s="341"/>
      <c r="T21" s="221"/>
    </row>
    <row r="22" spans="1:20" ht="13.15" x14ac:dyDescent="0.25">
      <c r="F22" s="426"/>
      <c r="G22" s="183"/>
      <c r="M22" s="426"/>
      <c r="N22" s="183"/>
      <c r="P22" s="11" t="s">
        <v>32</v>
      </c>
      <c r="Q22" s="205"/>
      <c r="R22" s="40">
        <v>29169.595163958824</v>
      </c>
      <c r="S22" s="341" t="s">
        <v>65</v>
      </c>
      <c r="T22" s="221"/>
    </row>
    <row r="23" spans="1:20" ht="13.15" x14ac:dyDescent="0.25">
      <c r="A23" s="196" t="s">
        <v>21</v>
      </c>
      <c r="D23" s="196" t="s">
        <v>20</v>
      </c>
      <c r="F23" s="426"/>
      <c r="G23" s="183"/>
      <c r="H23" s="196" t="s">
        <v>21</v>
      </c>
      <c r="K23" s="196" t="s">
        <v>20</v>
      </c>
      <c r="M23" s="426"/>
      <c r="N23" s="183"/>
      <c r="P23" s="11"/>
      <c r="Q23" s="205"/>
      <c r="R23" s="40"/>
      <c r="S23" s="40"/>
      <c r="T23" s="221"/>
    </row>
    <row r="24" spans="1:20" ht="13.15" x14ac:dyDescent="0.25">
      <c r="A24" s="177" t="s">
        <v>22</v>
      </c>
      <c r="C24" s="97">
        <f>$R$39</f>
        <v>0.23424901786252411</v>
      </c>
      <c r="E24" s="202">
        <f>C24*E21</f>
        <v>161643.78450504947</v>
      </c>
      <c r="F24" s="426"/>
      <c r="G24" s="513"/>
      <c r="H24" s="177" t="s">
        <v>22</v>
      </c>
      <c r="J24" s="97">
        <f>$R$39</f>
        <v>0.23424901786252411</v>
      </c>
      <c r="L24" s="202">
        <f>$J$24*L21</f>
        <v>163916.25505271406</v>
      </c>
      <c r="M24" s="761"/>
      <c r="N24" s="513"/>
      <c r="P24" s="179"/>
      <c r="Q24" s="205"/>
      <c r="R24" s="44" t="s">
        <v>37</v>
      </c>
      <c r="S24" s="44"/>
      <c r="T24" s="221"/>
    </row>
    <row r="25" spans="1:20" ht="13.15" x14ac:dyDescent="0.25">
      <c r="A25" s="208" t="s">
        <v>51</v>
      </c>
      <c r="B25" s="208"/>
      <c r="C25" s="208"/>
      <c r="D25" s="210">
        <f>E25/E8</f>
        <v>194.45087912980762</v>
      </c>
      <c r="E25" s="175">
        <f>E24+E21</f>
        <v>851694.85058855743</v>
      </c>
      <c r="F25" s="426"/>
      <c r="G25" s="516"/>
      <c r="H25" s="208" t="s">
        <v>51</v>
      </c>
      <c r="I25" s="208"/>
      <c r="J25" s="208"/>
      <c r="K25" s="210">
        <f>L25/L8</f>
        <v>197.18456850204683</v>
      </c>
      <c r="L25" s="175">
        <f>L24+L21</f>
        <v>863668.41003896506</v>
      </c>
      <c r="M25" s="764"/>
      <c r="N25" s="516"/>
      <c r="P25" s="179" t="s">
        <v>35</v>
      </c>
      <c r="Q25" s="212"/>
      <c r="R25" s="212"/>
      <c r="S25" s="212"/>
      <c r="T25" s="213"/>
    </row>
    <row r="26" spans="1:20" ht="13.15" x14ac:dyDescent="0.25">
      <c r="F26" s="426"/>
      <c r="G26" s="183"/>
      <c r="M26" s="426"/>
      <c r="N26" s="183"/>
      <c r="P26" s="179" t="s">
        <v>36</v>
      </c>
      <c r="Q26" s="215">
        <f>'[7]Rate options'!K23</f>
        <v>6</v>
      </c>
      <c r="R26" s="215">
        <f>'[7]Rate options'!L23</f>
        <v>9</v>
      </c>
      <c r="S26" s="215">
        <f>'[7]Rate options'!M23</f>
        <v>12</v>
      </c>
      <c r="T26" s="216">
        <f>'[7]Rate options'!N23</f>
        <v>15</v>
      </c>
    </row>
    <row r="27" spans="1:20" ht="13.15" x14ac:dyDescent="0.25">
      <c r="A27" s="177" t="s">
        <v>39</v>
      </c>
      <c r="D27" s="217">
        <f>$R$41</f>
        <v>23.285039628322924</v>
      </c>
      <c r="E27" s="218">
        <f>D27*E8</f>
        <v>101988.47357205441</v>
      </c>
      <c r="F27" s="426"/>
      <c r="G27" s="619"/>
      <c r="H27" s="177" t="s">
        <v>39</v>
      </c>
      <c r="K27" s="217">
        <f>$R$41</f>
        <v>23.285039628322924</v>
      </c>
      <c r="L27" s="218">
        <f>K27*L8</f>
        <v>101988.47357205441</v>
      </c>
      <c r="M27" s="765"/>
      <c r="N27" s="619"/>
      <c r="P27" s="7" t="s">
        <v>19</v>
      </c>
      <c r="Q27" s="766">
        <v>1</v>
      </c>
      <c r="R27" s="766">
        <v>1.5</v>
      </c>
      <c r="S27" s="766">
        <v>2</v>
      </c>
      <c r="T27" s="767">
        <v>2</v>
      </c>
    </row>
    <row r="28" spans="1:20" ht="13.15" x14ac:dyDescent="0.25">
      <c r="A28" s="205" t="s">
        <v>40</v>
      </c>
      <c r="D28" s="217">
        <f>$R$42</f>
        <v>17.246505727219606</v>
      </c>
      <c r="E28" s="218">
        <f>D28*E8</f>
        <v>75539.695085221872</v>
      </c>
      <c r="F28" s="426"/>
      <c r="G28" s="619"/>
      <c r="H28" s="205" t="s">
        <v>40</v>
      </c>
      <c r="K28" s="217">
        <f>$R$42</f>
        <v>17.246505727219606</v>
      </c>
      <c r="L28" s="218">
        <f>K28*L8</f>
        <v>75539.695085221872</v>
      </c>
      <c r="M28" s="765"/>
      <c r="N28" s="619"/>
      <c r="P28" s="7" t="s">
        <v>227</v>
      </c>
      <c r="Q28" s="768"/>
      <c r="R28" s="768"/>
      <c r="S28" s="768"/>
      <c r="T28" s="769"/>
    </row>
    <row r="29" spans="1:20" ht="13.15" x14ac:dyDescent="0.25">
      <c r="A29" s="205" t="s">
        <v>41</v>
      </c>
      <c r="D29" s="217">
        <f>$R$43</f>
        <v>2.2794520547945205</v>
      </c>
      <c r="E29" s="218">
        <f>D29*E8</f>
        <v>9984</v>
      </c>
      <c r="F29" s="426"/>
      <c r="G29" s="619"/>
      <c r="H29" s="205" t="s">
        <v>41</v>
      </c>
      <c r="K29" s="217">
        <f>$R$43</f>
        <v>2.2794520547945205</v>
      </c>
      <c r="L29" s="218">
        <f>K29*L8</f>
        <v>9984</v>
      </c>
      <c r="M29" s="765"/>
      <c r="N29" s="619"/>
      <c r="P29" s="11" t="s">
        <v>24</v>
      </c>
      <c r="Q29" s="766">
        <v>0.15</v>
      </c>
      <c r="R29" s="766">
        <v>0.22499999999999998</v>
      </c>
      <c r="S29" s="766">
        <v>0.3</v>
      </c>
      <c r="T29" s="767">
        <v>0.375</v>
      </c>
    </row>
    <row r="30" spans="1:20" ht="13.15" x14ac:dyDescent="0.25">
      <c r="A30" s="205" t="s">
        <v>42</v>
      </c>
      <c r="D30" s="217">
        <f>$R$44</f>
        <v>-1.9951315068493152</v>
      </c>
      <c r="E30" s="218">
        <f>D30*E8</f>
        <v>-8738.6760000000013</v>
      </c>
      <c r="F30" s="426"/>
      <c r="G30" s="619"/>
      <c r="H30" s="205" t="s">
        <v>42</v>
      </c>
      <c r="K30" s="217">
        <f>$R$44</f>
        <v>-1.9951315068493152</v>
      </c>
      <c r="L30" s="218">
        <f>K30*L8</f>
        <v>-8738.6760000000013</v>
      </c>
      <c r="M30" s="765"/>
      <c r="N30" s="619"/>
      <c r="P30" s="7" t="s">
        <v>5</v>
      </c>
      <c r="Q30" s="768"/>
      <c r="R30" s="768"/>
      <c r="S30" s="768"/>
      <c r="T30" s="769"/>
    </row>
    <row r="31" spans="1:20" ht="13.15" x14ac:dyDescent="0.25">
      <c r="D31" s="219">
        <f>SUM(D27:D30)</f>
        <v>40.815865903487733</v>
      </c>
      <c r="F31" s="426"/>
      <c r="G31" s="183"/>
      <c r="K31" s="219">
        <f>SUM(K27:K30)</f>
        <v>40.815865903487733</v>
      </c>
      <c r="M31" s="426"/>
      <c r="N31" s="183"/>
      <c r="P31" s="11" t="s">
        <v>26</v>
      </c>
      <c r="Q31" s="768">
        <v>1</v>
      </c>
      <c r="R31" s="768">
        <v>1</v>
      </c>
      <c r="S31" s="768">
        <v>1</v>
      </c>
      <c r="T31" s="769">
        <v>1</v>
      </c>
    </row>
    <row r="32" spans="1:20" ht="13.15" x14ac:dyDescent="0.25">
      <c r="F32" s="426"/>
      <c r="G32" s="183"/>
      <c r="M32" s="426"/>
      <c r="N32" s="183"/>
      <c r="P32" s="11" t="s">
        <v>59</v>
      </c>
      <c r="Q32" s="766">
        <v>0</v>
      </c>
      <c r="R32" s="766">
        <v>0.5</v>
      </c>
      <c r="S32" s="766">
        <v>1</v>
      </c>
      <c r="T32" s="767">
        <v>1.5</v>
      </c>
    </row>
    <row r="33" spans="1:20" ht="13.15" x14ac:dyDescent="0.25">
      <c r="A33" s="208" t="s">
        <v>43</v>
      </c>
      <c r="B33" s="208"/>
      <c r="C33" s="208"/>
      <c r="D33" s="208"/>
      <c r="E33" s="175">
        <f>SUM(E25:E30)</f>
        <v>1030468.3432458338</v>
      </c>
      <c r="F33" s="426"/>
      <c r="G33" s="516"/>
      <c r="H33" s="208" t="s">
        <v>43</v>
      </c>
      <c r="I33" s="208"/>
      <c r="J33" s="208"/>
      <c r="K33" s="208"/>
      <c r="L33" s="175">
        <f>SUM(L25:L30)</f>
        <v>1042441.9026962414</v>
      </c>
      <c r="M33" s="764"/>
      <c r="N33" s="516"/>
      <c r="P33" s="11" t="s">
        <v>30</v>
      </c>
      <c r="Q33" s="766">
        <v>6.8</v>
      </c>
      <c r="R33" s="766">
        <v>10.199999999999999</v>
      </c>
      <c r="S33" s="766">
        <v>13.6</v>
      </c>
      <c r="T33" s="767">
        <v>17</v>
      </c>
    </row>
    <row r="34" spans="1:20" ht="13.15" x14ac:dyDescent="0.25">
      <c r="F34" s="426"/>
      <c r="G34" s="183"/>
      <c r="M34" s="426"/>
      <c r="N34" s="183"/>
      <c r="P34" s="42" t="s">
        <v>31</v>
      </c>
      <c r="Q34" s="417">
        <v>1.0723076923076922</v>
      </c>
      <c r="R34" s="417">
        <v>1.6084615384615384</v>
      </c>
      <c r="S34" s="417">
        <v>2.1446153846153844</v>
      </c>
      <c r="T34" s="418">
        <v>2.6807692307692306</v>
      </c>
    </row>
    <row r="35" spans="1:20" ht="13.15" x14ac:dyDescent="0.25">
      <c r="A35" s="177" t="s">
        <v>44</v>
      </c>
      <c r="C35" s="97">
        <f>$R$47</f>
        <v>0.11846733793705286</v>
      </c>
      <c r="E35" s="202">
        <f>C35*E33</f>
        <v>122076.84145273917</v>
      </c>
      <c r="F35" s="426"/>
      <c r="G35" s="513"/>
      <c r="H35" s="177" t="s">
        <v>44</v>
      </c>
      <c r="J35" s="97">
        <f>$R$47</f>
        <v>0.11846733793705286</v>
      </c>
      <c r="L35" s="202">
        <f>$J$35*L33</f>
        <v>123495.31716646001</v>
      </c>
      <c r="M35" s="761"/>
      <c r="N35" s="513"/>
      <c r="P35" s="7" t="s">
        <v>6</v>
      </c>
      <c r="Q35" s="768"/>
      <c r="R35" s="768"/>
      <c r="S35" s="768"/>
      <c r="T35" s="769"/>
    </row>
    <row r="36" spans="1:20" ht="13.15" x14ac:dyDescent="0.25">
      <c r="F36" s="426"/>
      <c r="G36" s="183"/>
      <c r="M36" s="426"/>
      <c r="N36" s="183"/>
      <c r="P36" s="11" t="s">
        <v>32</v>
      </c>
      <c r="Q36" s="766">
        <v>0.5</v>
      </c>
      <c r="R36" s="766">
        <v>0.5</v>
      </c>
      <c r="S36" s="766">
        <v>0.5</v>
      </c>
      <c r="T36" s="767">
        <v>0.5</v>
      </c>
    </row>
    <row r="37" spans="1:20" ht="13.9" thickBot="1" x14ac:dyDescent="0.3">
      <c r="A37" s="224" t="s">
        <v>52</v>
      </c>
      <c r="B37" s="225"/>
      <c r="C37" s="225"/>
      <c r="D37" s="225"/>
      <c r="E37" s="226">
        <f>SUM(E33:E35)</f>
        <v>1152545.1846985728</v>
      </c>
      <c r="F37" s="426"/>
      <c r="G37" s="516"/>
      <c r="H37" s="224" t="s">
        <v>52</v>
      </c>
      <c r="I37" s="225"/>
      <c r="J37" s="225"/>
      <c r="K37" s="225"/>
      <c r="L37" s="226">
        <f>SUM(L33:L35)</f>
        <v>1165937.2198627014</v>
      </c>
      <c r="M37" s="510">
        <f>L37</f>
        <v>1165937.2198627014</v>
      </c>
      <c r="N37" s="516"/>
      <c r="P37" s="179"/>
      <c r="Q37" s="205"/>
      <c r="R37" s="205"/>
      <c r="S37" s="205"/>
      <c r="T37" s="221"/>
    </row>
    <row r="38" spans="1:20" ht="13.9" thickTop="1" x14ac:dyDescent="0.25">
      <c r="F38" s="426"/>
      <c r="G38" s="183"/>
      <c r="M38" s="426"/>
      <c r="N38" s="183"/>
      <c r="P38" s="179"/>
      <c r="Q38" s="205"/>
      <c r="R38" s="44" t="s">
        <v>38</v>
      </c>
      <c r="S38" s="44"/>
      <c r="T38" s="221"/>
    </row>
    <row r="39" spans="1:20" ht="13.15" x14ac:dyDescent="0.25">
      <c r="A39" s="177" t="s">
        <v>53</v>
      </c>
      <c r="C39" s="98">
        <f>$R$49</f>
        <v>5.3904190379097106E-2</v>
      </c>
      <c r="E39" s="229">
        <f>E37*(1+C39)</f>
        <v>1214672.1997550763</v>
      </c>
      <c r="F39" s="426"/>
      <c r="G39" s="770"/>
      <c r="H39" s="177" t="s">
        <v>53</v>
      </c>
      <c r="J39" s="98">
        <f>$R$49</f>
        <v>5.3904190379097106E-2</v>
      </c>
      <c r="L39" s="229">
        <f>L37*(1+$J$39)</f>
        <v>1228786.1217322557</v>
      </c>
      <c r="M39" s="771">
        <f>M37*(1+$J$39)</f>
        <v>1228786.1217322557</v>
      </c>
      <c r="N39" s="770"/>
      <c r="P39" s="179" t="s">
        <v>22</v>
      </c>
      <c r="Q39" s="205"/>
      <c r="R39" s="222">
        <v>0.23424901786252411</v>
      </c>
      <c r="S39" s="341" t="s">
        <v>68</v>
      </c>
      <c r="T39" s="221"/>
    </row>
    <row r="40" spans="1:20" ht="13.15" x14ac:dyDescent="0.25">
      <c r="F40" s="426"/>
      <c r="G40" s="183"/>
      <c r="M40" s="426"/>
      <c r="N40" s="183"/>
      <c r="P40" s="179"/>
      <c r="Q40" s="205"/>
      <c r="R40" s="48"/>
      <c r="S40" s="48"/>
      <c r="T40" s="221"/>
    </row>
    <row r="41" spans="1:20" ht="26.45" x14ac:dyDescent="0.25">
      <c r="E41" s="92" t="s">
        <v>56</v>
      </c>
      <c r="F41" s="426"/>
      <c r="G41" s="646"/>
      <c r="L41" s="92" t="s">
        <v>56</v>
      </c>
      <c r="M41" s="547" t="s">
        <v>457</v>
      </c>
      <c r="N41" s="646"/>
      <c r="P41" s="179" t="s">
        <v>39</v>
      </c>
      <c r="Q41" s="205"/>
      <c r="R41" s="230">
        <v>23.285039628322924</v>
      </c>
      <c r="S41" s="230"/>
      <c r="T41" s="221"/>
    </row>
    <row r="42" spans="1:20" ht="13.9" thickBot="1" x14ac:dyDescent="0.3">
      <c r="A42" s="177" t="s">
        <v>55</v>
      </c>
      <c r="D42" s="231">
        <f>E37/E8</f>
        <v>263.13817002250522</v>
      </c>
      <c r="E42" s="231">
        <f>D42*(1+$C$39)</f>
        <v>277.32242003540557</v>
      </c>
      <c r="F42" s="426"/>
      <c r="G42" s="770"/>
      <c r="H42" s="177" t="s">
        <v>55</v>
      </c>
      <c r="K42" s="231">
        <f>L37/L8</f>
        <v>266.19571229742041</v>
      </c>
      <c r="L42" s="231">
        <f>K42*(1+$C$39)</f>
        <v>280.54477665119992</v>
      </c>
      <c r="M42" s="771">
        <f>M39/12</f>
        <v>102398.84347768797</v>
      </c>
      <c r="N42" s="770"/>
      <c r="P42" s="179" t="s">
        <v>40</v>
      </c>
      <c r="Q42" s="205"/>
      <c r="R42" s="230">
        <v>17.246505727219606</v>
      </c>
      <c r="S42" s="230"/>
      <c r="T42" s="221"/>
    </row>
    <row r="43" spans="1:20" ht="13.9" thickBot="1" x14ac:dyDescent="0.3">
      <c r="A43" s="377" t="s">
        <v>455</v>
      </c>
      <c r="B43" s="377"/>
      <c r="C43" s="479">
        <f>'[6]CAF Spring 2015'!BC24</f>
        <v>2.0354406130268236E-2</v>
      </c>
      <c r="D43" s="469"/>
      <c r="E43" s="469"/>
      <c r="F43" s="772">
        <f>E42*(1+C43)</f>
        <v>282.96715320183506</v>
      </c>
      <c r="G43" s="770"/>
      <c r="H43" s="377" t="s">
        <v>455</v>
      </c>
      <c r="I43" s="377"/>
      <c r="J43" s="479">
        <f>'[6]CAF Spring 2015'!BC24</f>
        <v>2.0354406130268236E-2</v>
      </c>
      <c r="K43" s="469"/>
      <c r="L43" s="780">
        <f>L42*(1+$J$43)</f>
        <v>286.25509897288384</v>
      </c>
      <c r="M43" s="816">
        <f>ROUND(M42*(1+$J$43),0)</f>
        <v>104483</v>
      </c>
      <c r="N43" s="770"/>
      <c r="O43" s="217"/>
      <c r="P43" s="179" t="s">
        <v>41</v>
      </c>
      <c r="Q43" s="205"/>
      <c r="R43" s="230">
        <v>2.2794520547945205</v>
      </c>
      <c r="S43" s="230"/>
      <c r="T43" s="221"/>
    </row>
    <row r="44" spans="1:20" ht="13.9" thickBot="1" x14ac:dyDescent="0.3">
      <c r="A44" s="78" t="s">
        <v>54</v>
      </c>
      <c r="B44" s="79">
        <v>0.9</v>
      </c>
      <c r="C44" s="80"/>
      <c r="D44" s="235">
        <f>E37/(E8*B44)</f>
        <v>292.37574446945024</v>
      </c>
      <c r="E44" s="235">
        <f>D44*(1+$C$39)</f>
        <v>308.13602226156172</v>
      </c>
      <c r="F44" s="773"/>
      <c r="G44" s="774"/>
      <c r="H44" s="78" t="s">
        <v>54</v>
      </c>
      <c r="I44" s="79">
        <v>0.9</v>
      </c>
      <c r="J44" s="80"/>
      <c r="K44" s="235"/>
      <c r="L44" s="781"/>
      <c r="M44" s="782"/>
      <c r="N44" s="774"/>
      <c r="P44" s="775" t="s">
        <v>42</v>
      </c>
      <c r="Q44" s="214"/>
      <c r="R44" s="776">
        <v>-1.9951315068493152</v>
      </c>
      <c r="S44" s="776"/>
      <c r="T44" s="777"/>
    </row>
    <row r="45" spans="1:20" ht="13.9" thickBot="1" x14ac:dyDescent="0.3">
      <c r="A45" s="474"/>
      <c r="B45" s="475">
        <v>0.85</v>
      </c>
      <c r="C45" s="476"/>
      <c r="D45" s="778">
        <f>E37/(E8*B45)</f>
        <v>309.57431767353557</v>
      </c>
      <c r="E45" s="779">
        <f>D45*(1+$C$39)</f>
        <v>326.2616706298889</v>
      </c>
      <c r="F45" s="780">
        <f>F43/B45</f>
        <v>332.90253317862948</v>
      </c>
      <c r="G45" s="774"/>
      <c r="H45" s="474"/>
      <c r="I45" s="475">
        <v>0.85</v>
      </c>
      <c r="J45" s="476"/>
      <c r="K45" s="778"/>
      <c r="L45" s="781">
        <f>L43/$I$45</f>
        <v>336.77070467398102</v>
      </c>
      <c r="M45" s="782"/>
      <c r="N45" s="774"/>
      <c r="P45" s="783" t="s">
        <v>43</v>
      </c>
      <c r="Q45" s="205"/>
      <c r="R45" s="750">
        <f>SUM(R41:R44)</f>
        <v>40.815865903487733</v>
      </c>
      <c r="S45" s="750"/>
      <c r="T45" s="221"/>
    </row>
    <row r="46" spans="1:20" ht="13.15" x14ac:dyDescent="0.25">
      <c r="A46" s="784"/>
      <c r="B46" s="785">
        <v>0.8</v>
      </c>
      <c r="C46" s="786"/>
      <c r="D46" s="787">
        <f>E37/(E8*B46)</f>
        <v>328.92271252813151</v>
      </c>
      <c r="E46" s="787">
        <f>D46*(1+$C$39)</f>
        <v>346.65302504425694</v>
      </c>
      <c r="F46" s="788"/>
      <c r="G46" s="774"/>
      <c r="H46" s="784"/>
      <c r="I46" s="785">
        <v>0.8</v>
      </c>
      <c r="J46" s="786"/>
      <c r="K46" s="787"/>
      <c r="L46" s="789"/>
      <c r="M46" s="790"/>
      <c r="N46" s="774"/>
      <c r="P46" s="179"/>
      <c r="Q46" s="205"/>
      <c r="R46" s="205"/>
      <c r="S46" s="205"/>
      <c r="T46" s="221"/>
    </row>
    <row r="47" spans="1:20" ht="13.15" x14ac:dyDescent="0.25">
      <c r="P47" s="179" t="s">
        <v>44</v>
      </c>
      <c r="Q47" s="205"/>
      <c r="R47" s="222">
        <v>0.11846733793705286</v>
      </c>
      <c r="S47" s="791"/>
      <c r="T47" s="221"/>
    </row>
    <row r="48" spans="1:20" ht="13.15" x14ac:dyDescent="0.25">
      <c r="F48" s="217"/>
      <c r="P48" s="179"/>
      <c r="Q48" s="205"/>
      <c r="R48" s="205"/>
      <c r="S48" s="205"/>
      <c r="T48" s="221"/>
    </row>
    <row r="49" spans="1:23" ht="13.9" thickBot="1" x14ac:dyDescent="0.3">
      <c r="P49" s="239" t="s">
        <v>45</v>
      </c>
      <c r="Q49" s="240"/>
      <c r="R49" s="241">
        <v>5.3904190379097106E-2</v>
      </c>
      <c r="S49" s="792"/>
      <c r="T49" s="793"/>
    </row>
    <row r="50" spans="1:23" ht="21.6" customHeight="1" x14ac:dyDescent="0.2">
      <c r="A50" s="1426" t="s">
        <v>516</v>
      </c>
      <c r="B50" s="1427"/>
      <c r="C50" s="1427"/>
      <c r="D50" s="1427"/>
      <c r="E50" s="1427"/>
      <c r="F50" s="1433" t="s">
        <v>490</v>
      </c>
      <c r="G50" s="521"/>
      <c r="H50" s="1426" t="s">
        <v>520</v>
      </c>
      <c r="I50" s="1426"/>
      <c r="J50" s="1426"/>
      <c r="K50" s="1426"/>
      <c r="L50" s="1426"/>
      <c r="M50" s="1462" t="s">
        <v>458</v>
      </c>
      <c r="N50" s="521"/>
      <c r="P50" s="63" t="s">
        <v>50</v>
      </c>
      <c r="Q50" s="64" t="s">
        <v>46</v>
      </c>
    </row>
    <row r="51" spans="1:23" ht="15" customHeight="1" thickBot="1" x14ac:dyDescent="0.25">
      <c r="A51" s="1428"/>
      <c r="B51" s="1428"/>
      <c r="C51" s="1428"/>
      <c r="D51" s="1428"/>
      <c r="E51" s="1428"/>
      <c r="F51" s="1434"/>
      <c r="G51" s="521"/>
      <c r="H51" s="1459"/>
      <c r="I51" s="1459"/>
      <c r="J51" s="1459"/>
      <c r="K51" s="1459"/>
      <c r="L51" s="1459"/>
      <c r="M51" s="1463"/>
      <c r="N51" s="521"/>
      <c r="P51" s="181" t="s">
        <v>47</v>
      </c>
    </row>
    <row r="52" spans="1:23" ht="13.15" x14ac:dyDescent="0.25">
      <c r="A52" s="196" t="s">
        <v>0</v>
      </c>
      <c r="B52" s="69">
        <f>Q$26</f>
        <v>6</v>
      </c>
      <c r="C52" s="196"/>
      <c r="D52" s="196" t="s">
        <v>1</v>
      </c>
      <c r="E52" s="197">
        <f>B52*365</f>
        <v>2190</v>
      </c>
      <c r="F52" s="411"/>
      <c r="G52" s="644"/>
      <c r="H52" s="196" t="s">
        <v>0</v>
      </c>
      <c r="I52" s="69">
        <v>6</v>
      </c>
      <c r="J52" s="196"/>
      <c r="K52" s="196" t="s">
        <v>1</v>
      </c>
      <c r="L52" s="197">
        <f>$I$52*365</f>
        <v>2190</v>
      </c>
      <c r="M52" s="541" t="s">
        <v>459</v>
      </c>
      <c r="N52" s="644"/>
      <c r="P52" s="177" t="s">
        <v>63</v>
      </c>
    </row>
    <row r="53" spans="1:23" ht="13.15" x14ac:dyDescent="0.25">
      <c r="F53" s="426"/>
      <c r="G53" s="183"/>
      <c r="M53" s="426"/>
      <c r="N53" s="183"/>
      <c r="P53" s="54" t="s">
        <v>48</v>
      </c>
    </row>
    <row r="54" spans="1:23" ht="13.15" x14ac:dyDescent="0.25">
      <c r="A54" s="198"/>
      <c r="B54" s="198"/>
      <c r="C54" s="199" t="s">
        <v>2</v>
      </c>
      <c r="D54" s="199" t="s">
        <v>3</v>
      </c>
      <c r="E54" s="199" t="s">
        <v>4</v>
      </c>
      <c r="F54" s="426"/>
      <c r="G54" s="625"/>
      <c r="H54" s="198"/>
      <c r="I54" s="198"/>
      <c r="J54" s="199" t="s">
        <v>2</v>
      </c>
      <c r="K54" s="199" t="s">
        <v>3</v>
      </c>
      <c r="L54" s="199" t="s">
        <v>4</v>
      </c>
      <c r="M54" s="760"/>
      <c r="N54" s="625"/>
    </row>
    <row r="55" spans="1:23" ht="13.15" x14ac:dyDescent="0.25">
      <c r="A55" s="1" t="s">
        <v>19</v>
      </c>
      <c r="C55" s="30">
        <f>R$13</f>
        <v>52305.406251052875</v>
      </c>
      <c r="D55" s="35">
        <f>Q$27</f>
        <v>1</v>
      </c>
      <c r="E55" s="202">
        <f>C55*D55</f>
        <v>52305.406251052875</v>
      </c>
      <c r="F55" s="426"/>
      <c r="G55" s="513"/>
      <c r="H55" s="1" t="s">
        <v>19</v>
      </c>
      <c r="J55" s="30">
        <v>52305.406251052875</v>
      </c>
      <c r="K55" s="35">
        <v>1</v>
      </c>
      <c r="L55" s="202">
        <f>$J$55*K55</f>
        <v>52305.406251052875</v>
      </c>
      <c r="M55" s="761"/>
      <c r="N55" s="513"/>
      <c r="P55" s="55" t="s">
        <v>49</v>
      </c>
    </row>
    <row r="56" spans="1:23" ht="13.15" x14ac:dyDescent="0.25">
      <c r="A56" s="2" t="s">
        <v>227</v>
      </c>
      <c r="C56" s="30"/>
      <c r="D56" s="35"/>
      <c r="E56" s="202"/>
      <c r="F56" s="426"/>
      <c r="G56" s="513"/>
      <c r="H56" s="2" t="s">
        <v>227</v>
      </c>
      <c r="J56" s="30"/>
      <c r="K56" s="35"/>
      <c r="L56" s="202"/>
      <c r="M56" s="761"/>
      <c r="N56" s="513"/>
      <c r="P56" s="177" t="s">
        <v>67</v>
      </c>
    </row>
    <row r="57" spans="1:23" ht="13.15" x14ac:dyDescent="0.25">
      <c r="A57" s="3" t="s">
        <v>24</v>
      </c>
      <c r="C57" s="30">
        <f>R15</f>
        <v>64673.926018287602</v>
      </c>
      <c r="D57" s="35">
        <f>Q29</f>
        <v>0.15</v>
      </c>
      <c r="E57" s="202">
        <f>C57*D57</f>
        <v>9701.0889027431404</v>
      </c>
      <c r="F57" s="426"/>
      <c r="G57" s="513"/>
      <c r="H57" s="3" t="s">
        <v>24</v>
      </c>
      <c r="J57" s="30">
        <v>64673.926018287602</v>
      </c>
      <c r="K57" s="659">
        <f>$D$57+(0.5*$I$52/40)</f>
        <v>0.22499999999999998</v>
      </c>
      <c r="L57" s="202">
        <f>$J$57*K57</f>
        <v>14551.633354114709</v>
      </c>
      <c r="M57" s="761"/>
      <c r="N57" s="513"/>
      <c r="P57" s="177" t="s">
        <v>57</v>
      </c>
    </row>
    <row r="58" spans="1:23" ht="13.15" x14ac:dyDescent="0.25">
      <c r="A58" s="2" t="s">
        <v>5</v>
      </c>
      <c r="C58" s="30"/>
      <c r="D58" s="35"/>
      <c r="E58" s="202"/>
      <c r="F58" s="426"/>
      <c r="G58" s="513"/>
      <c r="H58" s="2" t="s">
        <v>5</v>
      </c>
      <c r="J58" s="30"/>
      <c r="K58" s="35"/>
      <c r="L58" s="202"/>
      <c r="M58" s="761"/>
      <c r="N58" s="513"/>
      <c r="P58" s="794" t="s">
        <v>142</v>
      </c>
    </row>
    <row r="59" spans="1:23" ht="13.15" x14ac:dyDescent="0.25">
      <c r="A59" s="3" t="s">
        <v>26</v>
      </c>
      <c r="C59" s="282">
        <f>R17</f>
        <v>50000</v>
      </c>
      <c r="D59" s="283">
        <f>Q31</f>
        <v>1</v>
      </c>
      <c r="E59" s="202">
        <f>C59*D59</f>
        <v>50000</v>
      </c>
      <c r="F59" s="426"/>
      <c r="G59" s="513"/>
      <c r="H59" s="3" t="s">
        <v>26</v>
      </c>
      <c r="J59" s="282">
        <v>50000</v>
      </c>
      <c r="K59" s="283">
        <v>1</v>
      </c>
      <c r="L59" s="202">
        <f>$J$59*K59</f>
        <v>50000</v>
      </c>
      <c r="M59" s="761"/>
      <c r="N59" s="513"/>
      <c r="P59" s="94" t="s">
        <v>66</v>
      </c>
    </row>
    <row r="60" spans="1:23" ht="13.15" x14ac:dyDescent="0.25">
      <c r="A60" s="3" t="s">
        <v>30</v>
      </c>
      <c r="C60" s="282">
        <f>R19</f>
        <v>29169.595163958824</v>
      </c>
      <c r="D60" s="658">
        <f>Q33</f>
        <v>6.8</v>
      </c>
      <c r="E60" s="202">
        <f>C60*D60</f>
        <v>198353.24711492</v>
      </c>
      <c r="F60" s="426"/>
      <c r="G60" s="795"/>
      <c r="H60" s="3" t="s">
        <v>30</v>
      </c>
      <c r="J60" s="282">
        <v>29169.595163958798</v>
      </c>
      <c r="K60" s="654">
        <v>8.4</v>
      </c>
      <c r="L60" s="202">
        <f>$J$60*K60</f>
        <v>245024.59937725391</v>
      </c>
      <c r="M60" s="761"/>
      <c r="N60" s="513"/>
    </row>
    <row r="61" spans="1:23" ht="13.15" x14ac:dyDescent="0.25">
      <c r="A61" s="4" t="s">
        <v>31</v>
      </c>
      <c r="C61" s="282">
        <f>R20</f>
        <v>29169.595163958824</v>
      </c>
      <c r="D61" s="658">
        <f>Q34</f>
        <v>1.0723076923076922</v>
      </c>
      <c r="E61" s="202">
        <f>C61*D61</f>
        <v>31278.781275814305</v>
      </c>
      <c r="F61" s="426"/>
      <c r="G61" s="513"/>
      <c r="H61" s="4" t="s">
        <v>31</v>
      </c>
      <c r="J61" s="282">
        <v>29169.595163958824</v>
      </c>
      <c r="K61" s="654">
        <f>K60*$R$10</f>
        <v>1.3246153846153845</v>
      </c>
      <c r="L61" s="202">
        <f>$J$61*K61</f>
        <v>38638.494517182378</v>
      </c>
      <c r="M61" s="761"/>
      <c r="N61" s="513"/>
    </row>
    <row r="62" spans="1:23" ht="13.15" x14ac:dyDescent="0.25">
      <c r="A62" s="2" t="s">
        <v>6</v>
      </c>
      <c r="C62" s="30"/>
      <c r="D62" s="35"/>
      <c r="E62" s="202"/>
      <c r="F62" s="426"/>
      <c r="G62" s="513"/>
      <c r="H62" s="2" t="s">
        <v>6</v>
      </c>
      <c r="J62" s="30"/>
      <c r="K62" s="35"/>
      <c r="L62" s="202"/>
      <c r="M62" s="761"/>
      <c r="N62" s="513"/>
    </row>
    <row r="63" spans="1:23" ht="13.15" x14ac:dyDescent="0.25">
      <c r="A63" s="3" t="s">
        <v>32</v>
      </c>
      <c r="C63" s="30">
        <f>R22</f>
        <v>29169.595163958824</v>
      </c>
      <c r="D63" s="35">
        <f>Q36</f>
        <v>0.5</v>
      </c>
      <c r="E63" s="202">
        <f>C63*D63</f>
        <v>14584.797581979412</v>
      </c>
      <c r="F63" s="426"/>
      <c r="G63" s="513"/>
      <c r="H63" s="3" t="s">
        <v>32</v>
      </c>
      <c r="J63" s="30">
        <v>29169.595163958824</v>
      </c>
      <c r="K63" s="35">
        <v>0.5</v>
      </c>
      <c r="L63" s="202">
        <f>$J$63*K63</f>
        <v>14584.797581979412</v>
      </c>
      <c r="M63" s="761"/>
      <c r="N63" s="513"/>
      <c r="P63" s="551" t="s">
        <v>485</v>
      </c>
      <c r="Q63" s="214"/>
      <c r="R63" s="214"/>
      <c r="S63" s="214"/>
      <c r="T63" s="214"/>
      <c r="U63" s="214"/>
      <c r="V63" s="214"/>
      <c r="W63" s="214"/>
    </row>
    <row r="64" spans="1:23" ht="13.15" x14ac:dyDescent="0.25">
      <c r="A64" s="208" t="s">
        <v>7</v>
      </c>
      <c r="B64" s="208"/>
      <c r="C64" s="208"/>
      <c r="D64" s="209">
        <f>SUM(D55:D63)</f>
        <v>10.522307692307692</v>
      </c>
      <c r="E64" s="175">
        <f>SUM(E55:E63)</f>
        <v>356223.32112650969</v>
      </c>
      <c r="F64" s="426"/>
      <c r="G64" s="513"/>
      <c r="H64" s="208" t="s">
        <v>7</v>
      </c>
      <c r="I64" s="208"/>
      <c r="J64" s="208"/>
      <c r="K64" s="209">
        <f>SUM(K55:K63)</f>
        <v>12.449615384615385</v>
      </c>
      <c r="L64" s="175">
        <f>SUM(L55:L63)</f>
        <v>415104.93108158326</v>
      </c>
      <c r="M64" s="761"/>
      <c r="N64" s="513"/>
      <c r="Q64" s="177" t="s">
        <v>477</v>
      </c>
      <c r="R64" s="177" t="s">
        <v>478</v>
      </c>
      <c r="S64" s="177" t="s">
        <v>479</v>
      </c>
      <c r="T64" s="177" t="s">
        <v>465</v>
      </c>
      <c r="U64" s="177" t="s">
        <v>480</v>
      </c>
      <c r="V64" s="177" t="s">
        <v>481</v>
      </c>
      <c r="W64" s="177" t="s">
        <v>468</v>
      </c>
    </row>
    <row r="65" spans="1:25" ht="13.15" x14ac:dyDescent="0.25">
      <c r="F65" s="426"/>
      <c r="G65" s="516"/>
      <c r="M65" s="764"/>
      <c r="N65" s="516"/>
      <c r="P65" s="514" t="s">
        <v>482</v>
      </c>
      <c r="Q65" s="177">
        <v>16</v>
      </c>
      <c r="R65" s="177">
        <v>16</v>
      </c>
      <c r="S65" s="177">
        <v>16</v>
      </c>
      <c r="T65" s="177">
        <v>16</v>
      </c>
      <c r="U65" s="177">
        <v>16</v>
      </c>
      <c r="V65" s="177">
        <v>16</v>
      </c>
      <c r="W65" s="177">
        <v>16</v>
      </c>
    </row>
    <row r="66" spans="1:25" ht="13.15" x14ac:dyDescent="0.25">
      <c r="A66" s="196" t="s">
        <v>21</v>
      </c>
      <c r="D66" s="196" t="s">
        <v>20</v>
      </c>
      <c r="F66" s="426"/>
      <c r="G66" s="183"/>
      <c r="H66" s="196" t="s">
        <v>21</v>
      </c>
      <c r="K66" s="196" t="s">
        <v>20</v>
      </c>
      <c r="M66" s="426"/>
      <c r="N66" s="183"/>
      <c r="P66" s="514" t="s">
        <v>483</v>
      </c>
      <c r="Q66" s="177">
        <v>16</v>
      </c>
      <c r="R66" s="177">
        <v>16</v>
      </c>
      <c r="S66" s="177">
        <v>16</v>
      </c>
      <c r="T66" s="177">
        <v>16</v>
      </c>
      <c r="U66" s="177">
        <v>16</v>
      </c>
      <c r="V66" s="177">
        <v>16</v>
      </c>
      <c r="W66" s="177">
        <v>16</v>
      </c>
    </row>
    <row r="67" spans="1:25" ht="13.15" x14ac:dyDescent="0.25">
      <c r="A67" s="177" t="s">
        <v>22</v>
      </c>
      <c r="C67" s="97">
        <f>$R$39</f>
        <v>0.23424901786252411</v>
      </c>
      <c r="E67" s="202">
        <f>C67*E64</f>
        <v>83444.963113611433</v>
      </c>
      <c r="F67" s="426"/>
      <c r="G67" s="183"/>
      <c r="H67" s="177" t="s">
        <v>22</v>
      </c>
      <c r="J67" s="97">
        <f>$R$39</f>
        <v>0.23424901786252411</v>
      </c>
      <c r="L67" s="202">
        <f>$J$67*L64</f>
        <v>97237.922415751644</v>
      </c>
      <c r="M67" s="426"/>
      <c r="N67" s="183"/>
      <c r="P67" s="514" t="s">
        <v>484</v>
      </c>
      <c r="Q67" s="177">
        <v>16</v>
      </c>
      <c r="R67" s="177">
        <v>16</v>
      </c>
      <c r="S67" s="177">
        <v>16</v>
      </c>
      <c r="T67" s="177">
        <v>16</v>
      </c>
      <c r="U67" s="177">
        <v>16</v>
      </c>
      <c r="V67" s="177">
        <v>16</v>
      </c>
      <c r="W67" s="177">
        <v>16</v>
      </c>
      <c r="X67" s="177">
        <f>SUM(Q65:W67)</f>
        <v>336</v>
      </c>
      <c r="Y67" s="177" t="s">
        <v>486</v>
      </c>
    </row>
    <row r="68" spans="1:25" ht="13.15" x14ac:dyDescent="0.25">
      <c r="A68" s="208" t="s">
        <v>51</v>
      </c>
      <c r="B68" s="208"/>
      <c r="C68" s="208"/>
      <c r="D68" s="210">
        <f>E68/E52</f>
        <v>200.76177362562609</v>
      </c>
      <c r="E68" s="175">
        <f>E67+E64</f>
        <v>439668.28424012114</v>
      </c>
      <c r="F68" s="426"/>
      <c r="G68" s="513"/>
      <c r="H68" s="208" t="s">
        <v>51</v>
      </c>
      <c r="I68" s="208"/>
      <c r="J68" s="208"/>
      <c r="K68" s="210">
        <f>L68/L52</f>
        <v>233.94650844627162</v>
      </c>
      <c r="L68" s="175">
        <f>L67+L64</f>
        <v>512342.85349733487</v>
      </c>
      <c r="M68" s="761"/>
      <c r="N68" s="513"/>
      <c r="X68" s="557">
        <f>X67/40</f>
        <v>8.4</v>
      </c>
      <c r="Y68" s="196" t="s">
        <v>3</v>
      </c>
    </row>
    <row r="69" spans="1:25" ht="13.15" x14ac:dyDescent="0.25">
      <c r="F69" s="426"/>
      <c r="G69" s="516"/>
      <c r="M69" s="764"/>
      <c r="N69" s="516"/>
      <c r="P69" s="217"/>
      <c r="Q69" s="796"/>
    </row>
    <row r="70" spans="1:25" x14ac:dyDescent="0.2">
      <c r="A70" s="177" t="s">
        <v>39</v>
      </c>
      <c r="D70" s="217">
        <f>$R$41</f>
        <v>23.285039628322924</v>
      </c>
      <c r="E70" s="217">
        <f>D70*E52</f>
        <v>50994.236786027206</v>
      </c>
      <c r="F70" s="426"/>
      <c r="G70" s="797"/>
      <c r="H70" s="177" t="s">
        <v>39</v>
      </c>
      <c r="K70" s="217">
        <f>$R$41</f>
        <v>23.285039628322924</v>
      </c>
      <c r="L70" s="217">
        <f>K70*L52</f>
        <v>50994.236786027206</v>
      </c>
      <c r="M70" s="798"/>
      <c r="N70" s="797"/>
      <c r="P70" s="217"/>
      <c r="Q70" s="796"/>
    </row>
    <row r="71" spans="1:25" x14ac:dyDescent="0.2">
      <c r="A71" s="205" t="s">
        <v>40</v>
      </c>
      <c r="D71" s="217">
        <f>$R$42</f>
        <v>17.246505727219606</v>
      </c>
      <c r="E71" s="217">
        <f>D71*E52</f>
        <v>37769.847542610936</v>
      </c>
      <c r="F71" s="426"/>
      <c r="G71" s="797"/>
      <c r="H71" s="205" t="s">
        <v>40</v>
      </c>
      <c r="K71" s="217">
        <f>$R$42</f>
        <v>17.246505727219606</v>
      </c>
      <c r="L71" s="217">
        <f>K71*L52</f>
        <v>37769.847542610936</v>
      </c>
      <c r="M71" s="798"/>
      <c r="N71" s="797"/>
    </row>
    <row r="72" spans="1:25" x14ac:dyDescent="0.2">
      <c r="A72" s="205" t="s">
        <v>41</v>
      </c>
      <c r="D72" s="217">
        <f>$R$43</f>
        <v>2.2794520547945205</v>
      </c>
      <c r="E72" s="217">
        <f>D72*E52</f>
        <v>4992</v>
      </c>
      <c r="F72" s="426"/>
      <c r="G72" s="797"/>
      <c r="H72" s="205" t="s">
        <v>41</v>
      </c>
      <c r="K72" s="217">
        <f>$R$43</f>
        <v>2.2794520547945205</v>
      </c>
      <c r="L72" s="217">
        <f>K72*L52</f>
        <v>4992</v>
      </c>
      <c r="M72" s="798"/>
      <c r="N72" s="797"/>
      <c r="P72" s="551" t="s">
        <v>487</v>
      </c>
      <c r="Q72" s="214"/>
      <c r="R72" s="214"/>
      <c r="S72" s="214"/>
      <c r="T72" s="214"/>
      <c r="U72" s="214"/>
      <c r="V72" s="214"/>
      <c r="W72" s="214"/>
    </row>
    <row r="73" spans="1:25" x14ac:dyDescent="0.2">
      <c r="A73" s="205" t="s">
        <v>42</v>
      </c>
      <c r="D73" s="217">
        <f>$R$44</f>
        <v>-1.9951315068493152</v>
      </c>
      <c r="E73" s="217">
        <f>D73*E52</f>
        <v>-4369.3380000000006</v>
      </c>
      <c r="F73" s="426"/>
      <c r="G73" s="797"/>
      <c r="H73" s="205" t="s">
        <v>42</v>
      </c>
      <c r="K73" s="217">
        <f>$R$44</f>
        <v>-1.9951315068493152</v>
      </c>
      <c r="L73" s="217">
        <f>K73*L52</f>
        <v>-4369.3380000000006</v>
      </c>
      <c r="M73" s="798"/>
      <c r="N73" s="797"/>
      <c r="Q73" s="177" t="s">
        <v>477</v>
      </c>
      <c r="R73" s="177" t="s">
        <v>478</v>
      </c>
      <c r="S73" s="177" t="s">
        <v>479</v>
      </c>
      <c r="T73" s="177" t="s">
        <v>465</v>
      </c>
      <c r="U73" s="177" t="s">
        <v>480</v>
      </c>
      <c r="V73" s="177" t="s">
        <v>481</v>
      </c>
      <c r="W73" s="177" t="s">
        <v>468</v>
      </c>
    </row>
    <row r="74" spans="1:25" x14ac:dyDescent="0.2">
      <c r="D74" s="219">
        <f>SUM(D70:D73)</f>
        <v>40.815865903487733</v>
      </c>
      <c r="F74" s="799"/>
      <c r="G74" s="183"/>
      <c r="K74" s="219">
        <f>SUM(K70:K73)</f>
        <v>40.815865903487733</v>
      </c>
      <c r="M74" s="426"/>
      <c r="N74" s="183"/>
      <c r="P74" s="514" t="s">
        <v>482</v>
      </c>
      <c r="Q74" s="177">
        <v>16</v>
      </c>
      <c r="R74" s="177">
        <v>16</v>
      </c>
      <c r="S74" s="177">
        <v>16</v>
      </c>
      <c r="T74" s="177">
        <v>16</v>
      </c>
      <c r="U74" s="177">
        <v>16</v>
      </c>
      <c r="V74" s="177">
        <v>24</v>
      </c>
      <c r="W74" s="177">
        <v>24</v>
      </c>
    </row>
    <row r="75" spans="1:25" x14ac:dyDescent="0.2">
      <c r="F75" s="799"/>
      <c r="G75" s="183"/>
      <c r="M75" s="426"/>
      <c r="N75" s="183"/>
      <c r="P75" s="514" t="s">
        <v>483</v>
      </c>
      <c r="Q75" s="177">
        <v>24</v>
      </c>
      <c r="R75" s="177">
        <v>24</v>
      </c>
      <c r="S75" s="177">
        <v>24</v>
      </c>
      <c r="T75" s="177">
        <v>24</v>
      </c>
      <c r="U75" s="177">
        <v>24</v>
      </c>
      <c r="V75" s="177">
        <v>24</v>
      </c>
      <c r="W75" s="177">
        <v>24</v>
      </c>
    </row>
    <row r="76" spans="1:25" x14ac:dyDescent="0.2">
      <c r="A76" s="208" t="s">
        <v>43</v>
      </c>
      <c r="B76" s="208"/>
      <c r="C76" s="208"/>
      <c r="D76" s="208"/>
      <c r="E76" s="175">
        <f>SUM(E68:E73)</f>
        <v>529055.03056875931</v>
      </c>
      <c r="F76" s="799"/>
      <c r="G76" s="516"/>
      <c r="H76" s="208" t="s">
        <v>43</v>
      </c>
      <c r="I76" s="208"/>
      <c r="J76" s="208"/>
      <c r="K76" s="208"/>
      <c r="L76" s="175">
        <f>SUM(L68:L73)</f>
        <v>601729.59982597304</v>
      </c>
      <c r="M76" s="764"/>
      <c r="N76" s="516"/>
      <c r="P76" s="514" t="s">
        <v>484</v>
      </c>
      <c r="Q76" s="177">
        <v>16</v>
      </c>
      <c r="R76" s="177">
        <v>16</v>
      </c>
      <c r="S76" s="177">
        <v>16</v>
      </c>
      <c r="T76" s="177">
        <v>16</v>
      </c>
      <c r="U76" s="177">
        <v>16</v>
      </c>
      <c r="V76" s="177">
        <v>16</v>
      </c>
      <c r="W76" s="177">
        <v>16</v>
      </c>
      <c r="X76" s="800">
        <f>SUM(Q74:W76)*52</f>
        <v>21216</v>
      </c>
      <c r="Y76" s="177" t="s">
        <v>489</v>
      </c>
    </row>
    <row r="77" spans="1:25" x14ac:dyDescent="0.2">
      <c r="F77" s="799"/>
      <c r="G77" s="183"/>
      <c r="M77" s="426"/>
      <c r="N77" s="183"/>
      <c r="P77" s="553" t="s">
        <v>488</v>
      </c>
    </row>
    <row r="78" spans="1:25" x14ac:dyDescent="0.2">
      <c r="A78" s="177" t="s">
        <v>44</v>
      </c>
      <c r="C78" s="97">
        <f>$R$47</f>
        <v>0.11846733793705286</v>
      </c>
      <c r="E78" s="202">
        <f>C78*E76</f>
        <v>62675.741093687036</v>
      </c>
      <c r="F78" s="426"/>
      <c r="G78" s="513"/>
      <c r="H78" s="177" t="s">
        <v>44</v>
      </c>
      <c r="J78" s="97">
        <f>$R$47</f>
        <v>0.11846733793705286</v>
      </c>
      <c r="L78" s="202">
        <f>$J$78*L76</f>
        <v>71285.303849311123</v>
      </c>
      <c r="M78" s="761"/>
      <c r="N78" s="513"/>
      <c r="P78" s="554" t="s">
        <v>482</v>
      </c>
      <c r="Q78" s="801">
        <v>8</v>
      </c>
      <c r="R78" s="801">
        <v>8</v>
      </c>
      <c r="S78" s="801">
        <v>8</v>
      </c>
      <c r="T78" s="801">
        <v>8</v>
      </c>
      <c r="U78" s="801">
        <v>8</v>
      </c>
      <c r="X78" s="801">
        <f>SUM(Q78:U78)*16</f>
        <v>640</v>
      </c>
      <c r="Y78" s="177" t="s">
        <v>489</v>
      </c>
    </row>
    <row r="79" spans="1:25" x14ac:dyDescent="0.2">
      <c r="F79" s="426"/>
      <c r="G79" s="183"/>
      <c r="M79" s="426"/>
      <c r="N79" s="183"/>
      <c r="X79" s="557">
        <f>(X76+X78)/2080</f>
        <v>10.507692307692308</v>
      </c>
      <c r="Y79" s="196" t="s">
        <v>3</v>
      </c>
    </row>
    <row r="80" spans="1:25" ht="13.5" thickBot="1" x14ac:dyDescent="0.25">
      <c r="A80" s="224" t="s">
        <v>52</v>
      </c>
      <c r="B80" s="225"/>
      <c r="C80" s="225"/>
      <c r="D80" s="225"/>
      <c r="E80" s="226">
        <f>SUM(E76:E78)</f>
        <v>591730.77166244632</v>
      </c>
      <c r="F80" s="426"/>
      <c r="G80" s="516"/>
      <c r="H80" s="224" t="s">
        <v>52</v>
      </c>
      <c r="I80" s="225"/>
      <c r="J80" s="225"/>
      <c r="K80" s="225"/>
      <c r="L80" s="226">
        <f>SUM(L76:L78)</f>
        <v>673014.90367528412</v>
      </c>
      <c r="M80" s="510">
        <f>L80</f>
        <v>673014.90367528412</v>
      </c>
      <c r="N80" s="516"/>
    </row>
    <row r="81" spans="1:25" ht="13.5" thickTop="1" x14ac:dyDescent="0.2">
      <c r="F81" s="426"/>
      <c r="G81" s="183"/>
      <c r="M81" s="426"/>
      <c r="N81" s="183"/>
      <c r="X81" s="679"/>
    </row>
    <row r="82" spans="1:25" x14ac:dyDescent="0.2">
      <c r="A82" s="177" t="s">
        <v>53</v>
      </c>
      <c r="C82" s="98">
        <f>$R$49</f>
        <v>5.3904190379097106E-2</v>
      </c>
      <c r="E82" s="229">
        <f>E80*(1+C82)</f>
        <v>623627.53983130888</v>
      </c>
      <c r="F82" s="426"/>
      <c r="G82" s="770"/>
      <c r="H82" s="177" t="s">
        <v>53</v>
      </c>
      <c r="J82" s="98">
        <f>$R$49</f>
        <v>5.3904190379097106E-2</v>
      </c>
      <c r="L82" s="229">
        <f>L80*(1+$J$82)</f>
        <v>709293.22717096633</v>
      </c>
      <c r="M82" s="771">
        <f>M80*(1+$J$82)</f>
        <v>709293.22717096633</v>
      </c>
      <c r="N82" s="770"/>
    </row>
    <row r="83" spans="1:25" x14ac:dyDescent="0.2">
      <c r="F83" s="426"/>
      <c r="G83" s="183"/>
      <c r="M83" s="426"/>
      <c r="N83" s="183"/>
      <c r="O83" s="229"/>
      <c r="P83" s="558"/>
      <c r="Q83" s="205"/>
      <c r="R83" s="205"/>
      <c r="S83" s="205"/>
      <c r="T83" s="205"/>
      <c r="U83" s="205"/>
      <c r="V83" s="205"/>
      <c r="W83" s="205"/>
      <c r="X83" s="205"/>
      <c r="Y83" s="205"/>
    </row>
    <row r="84" spans="1:25" x14ac:dyDescent="0.2">
      <c r="E84" s="92" t="s">
        <v>56</v>
      </c>
      <c r="F84" s="426"/>
      <c r="G84" s="397"/>
      <c r="L84" s="92" t="s">
        <v>56</v>
      </c>
      <c r="M84" s="409" t="s">
        <v>56</v>
      </c>
      <c r="N84" s="397"/>
      <c r="P84" s="205"/>
      <c r="Q84" s="205"/>
      <c r="R84" s="205"/>
      <c r="S84" s="205"/>
      <c r="T84" s="205"/>
      <c r="U84" s="205"/>
      <c r="V84" s="205"/>
      <c r="W84" s="205"/>
      <c r="X84" s="205"/>
      <c r="Y84" s="205"/>
    </row>
    <row r="85" spans="1:25" ht="13.5" thickBot="1" x14ac:dyDescent="0.25">
      <c r="A85" s="177" t="s">
        <v>55</v>
      </c>
      <c r="D85" s="231">
        <f>E80/E52</f>
        <v>270.19669938924488</v>
      </c>
      <c r="E85" s="231">
        <f>D85*(1+C82)</f>
        <v>284.76143371292642</v>
      </c>
      <c r="F85" s="426"/>
      <c r="G85" s="770"/>
      <c r="H85" s="177" t="s">
        <v>55</v>
      </c>
      <c r="K85" s="231">
        <f>L80/L52</f>
        <v>307.31274140423932</v>
      </c>
      <c r="L85" s="231">
        <f>K85*(1+$J$82)</f>
        <v>323.87818592281565</v>
      </c>
      <c r="M85" s="771">
        <f>M82/12</f>
        <v>59107.768930913859</v>
      </c>
      <c r="N85" s="770"/>
      <c r="O85" s="217"/>
      <c r="P85" s="522"/>
      <c r="Q85" s="205"/>
      <c r="R85" s="205"/>
      <c r="S85" s="205"/>
      <c r="T85" s="205"/>
      <c r="U85" s="205"/>
      <c r="V85" s="205"/>
      <c r="W85" s="205"/>
      <c r="X85" s="205"/>
      <c r="Y85" s="205"/>
    </row>
    <row r="86" spans="1:25" ht="13.5" thickBot="1" x14ac:dyDescent="0.25">
      <c r="A86" s="377" t="s">
        <v>455</v>
      </c>
      <c r="B86" s="377"/>
      <c r="C86" s="479">
        <f>'[6]CAF Spring 2015'!BC24</f>
        <v>2.0354406130268236E-2</v>
      </c>
      <c r="D86" s="469"/>
      <c r="E86" s="469"/>
      <c r="F86" s="788">
        <f>E85*(1+C86)</f>
        <v>290.55758358495677</v>
      </c>
      <c r="G86" s="770"/>
      <c r="H86" s="377" t="s">
        <v>455</v>
      </c>
      <c r="I86" s="377"/>
      <c r="J86" s="479">
        <f>'[6]CAF Spring 2015'!BC24</f>
        <v>2.0354406130268236E-2</v>
      </c>
      <c r="K86" s="469"/>
      <c r="L86" s="780">
        <f>L85*(1+$J$86)</f>
        <v>330.47053405582318</v>
      </c>
      <c r="M86" s="816">
        <f>ROUND(M85*(1+$J$86),0)</f>
        <v>60311</v>
      </c>
      <c r="N86" s="770"/>
      <c r="O86" s="217"/>
      <c r="P86" s="522"/>
      <c r="Q86" s="205"/>
      <c r="R86" s="205"/>
      <c r="S86" s="205"/>
      <c r="T86" s="205"/>
      <c r="U86" s="205"/>
      <c r="V86" s="205"/>
      <c r="W86" s="205"/>
      <c r="X86" s="205"/>
      <c r="Y86" s="205"/>
    </row>
    <row r="87" spans="1:25" x14ac:dyDescent="0.2">
      <c r="A87" s="78" t="s">
        <v>54</v>
      </c>
      <c r="B87" s="79">
        <v>0.9</v>
      </c>
      <c r="C87" s="80"/>
      <c r="D87" s="235">
        <f>E80/(E52*B87)</f>
        <v>300.21855487693875</v>
      </c>
      <c r="E87" s="802">
        <f>D87*(1+C82)</f>
        <v>316.40159301436267</v>
      </c>
      <c r="F87" s="803"/>
      <c r="G87" s="774"/>
      <c r="H87" s="78" t="s">
        <v>54</v>
      </c>
      <c r="I87" s="79">
        <v>0.9</v>
      </c>
      <c r="J87" s="80"/>
      <c r="K87" s="235"/>
      <c r="L87" s="805"/>
      <c r="M87" s="782"/>
      <c r="N87" s="774"/>
      <c r="O87" s="231"/>
      <c r="P87" s="522"/>
      <c r="Q87" s="205"/>
      <c r="R87" s="205"/>
      <c r="S87" s="205"/>
      <c r="T87" s="205"/>
      <c r="U87" s="205"/>
      <c r="V87" s="205"/>
      <c r="W87" s="205"/>
      <c r="X87" s="205"/>
      <c r="Y87" s="205"/>
    </row>
    <row r="88" spans="1:25" ht="13.5" thickBot="1" x14ac:dyDescent="0.25">
      <c r="A88" s="81"/>
      <c r="B88" s="82">
        <v>0.85</v>
      </c>
      <c r="C88" s="83"/>
      <c r="D88" s="236">
        <f>E80/(E52*B88)</f>
        <v>317.87846986969987</v>
      </c>
      <c r="E88" s="237">
        <f>D88*(1+C82)</f>
        <v>335.01345142697227</v>
      </c>
      <c r="F88" s="804"/>
      <c r="G88" s="774"/>
      <c r="H88" s="81"/>
      <c r="I88" s="82">
        <v>0.85</v>
      </c>
      <c r="J88" s="83"/>
      <c r="K88" s="236"/>
      <c r="L88" s="805"/>
      <c r="M88" s="782"/>
      <c r="N88" s="774"/>
      <c r="O88" s="217"/>
      <c r="P88" s="205"/>
      <c r="Q88" s="205"/>
      <c r="R88" s="205"/>
      <c r="S88" s="205"/>
      <c r="T88" s="205"/>
      <c r="U88" s="205"/>
      <c r="V88" s="205"/>
      <c r="W88" s="205"/>
      <c r="X88" s="559"/>
      <c r="Y88" s="540"/>
    </row>
    <row r="89" spans="1:25" ht="13.5" thickBot="1" x14ac:dyDescent="0.25">
      <c r="A89" s="806"/>
      <c r="B89" s="807">
        <v>0.8</v>
      </c>
      <c r="C89" s="183"/>
      <c r="D89" s="778">
        <f>E80/(E52*B89)</f>
        <v>337.74587423655612</v>
      </c>
      <c r="E89" s="779">
        <f>D89*(1+C82)</f>
        <v>355.95179214115802</v>
      </c>
      <c r="F89" s="780">
        <f>F86/B89</f>
        <v>363.19697948119597</v>
      </c>
      <c r="G89" s="774"/>
      <c r="H89" s="806"/>
      <c r="I89" s="807">
        <v>0.8</v>
      </c>
      <c r="J89" s="183"/>
      <c r="K89" s="778"/>
      <c r="L89" s="805">
        <f>L86/$I$89</f>
        <v>413.08816756977893</v>
      </c>
      <c r="M89" s="782"/>
      <c r="N89" s="774"/>
      <c r="P89" s="205"/>
      <c r="Q89" s="205"/>
      <c r="R89" s="205"/>
      <c r="S89" s="205"/>
      <c r="T89" s="205"/>
      <c r="U89" s="205"/>
      <c r="V89" s="205"/>
      <c r="W89" s="205"/>
      <c r="X89" s="205"/>
      <c r="Y89" s="205"/>
    </row>
    <row r="90" spans="1:25" x14ac:dyDescent="0.2">
      <c r="A90" s="784"/>
      <c r="B90" s="785">
        <v>0.75</v>
      </c>
      <c r="C90" s="786"/>
      <c r="D90" s="787">
        <f>E80/(E52*B90)</f>
        <v>360.26226585232655</v>
      </c>
      <c r="E90" s="808">
        <f>D90*(1+C82)</f>
        <v>379.68191161723524</v>
      </c>
      <c r="F90" s="809"/>
      <c r="G90" s="774"/>
      <c r="H90" s="784"/>
      <c r="I90" s="785">
        <v>0.75</v>
      </c>
      <c r="J90" s="786"/>
      <c r="K90" s="787"/>
      <c r="L90" s="810"/>
      <c r="M90" s="790"/>
      <c r="N90" s="774"/>
      <c r="P90" s="750"/>
      <c r="Q90" s="205"/>
      <c r="R90" s="205"/>
      <c r="S90" s="205"/>
      <c r="T90" s="205"/>
      <c r="U90" s="205"/>
      <c r="V90" s="205"/>
      <c r="W90" s="205"/>
      <c r="X90" s="205"/>
      <c r="Y90" s="205"/>
    </row>
    <row r="91" spans="1:25" x14ac:dyDescent="0.2">
      <c r="A91" s="183"/>
      <c r="B91" s="807"/>
      <c r="C91" s="183"/>
      <c r="D91" s="778"/>
      <c r="E91" s="778"/>
      <c r="F91" s="797"/>
      <c r="G91" s="774"/>
      <c r="H91" s="183"/>
      <c r="I91" s="807"/>
      <c r="J91" s="183"/>
      <c r="K91" s="778"/>
      <c r="L91" s="778"/>
      <c r="M91" s="774"/>
      <c r="N91" s="774"/>
      <c r="P91" s="750"/>
      <c r="Q91" s="205"/>
      <c r="R91" s="205"/>
      <c r="S91" s="205"/>
      <c r="T91" s="205"/>
      <c r="U91" s="205"/>
      <c r="V91" s="205"/>
      <c r="W91" s="205"/>
      <c r="X91" s="205"/>
      <c r="Y91" s="205"/>
    </row>
    <row r="92" spans="1:25" x14ac:dyDescent="0.2">
      <c r="A92" s="183"/>
      <c r="B92" s="807"/>
      <c r="C92" s="183"/>
      <c r="D92" s="778"/>
      <c r="E92" s="778"/>
      <c r="F92" s="797"/>
      <c r="G92" s="774"/>
      <c r="H92" s="183"/>
      <c r="I92" s="807"/>
      <c r="J92" s="183"/>
      <c r="K92" s="778"/>
      <c r="L92" s="778"/>
      <c r="M92" s="774"/>
      <c r="N92" s="774"/>
      <c r="P92" s="558"/>
      <c r="Q92" s="205"/>
      <c r="R92" s="205"/>
      <c r="S92" s="205"/>
      <c r="T92" s="205"/>
      <c r="U92" s="205"/>
      <c r="V92" s="205"/>
      <c r="W92" s="205"/>
      <c r="X92" s="205"/>
      <c r="Y92" s="205"/>
    </row>
    <row r="93" spans="1:25" x14ac:dyDescent="0.2">
      <c r="P93" s="205"/>
      <c r="Q93" s="205"/>
      <c r="R93" s="205"/>
      <c r="S93" s="205"/>
      <c r="T93" s="205"/>
      <c r="U93" s="205"/>
      <c r="V93" s="205"/>
      <c r="W93" s="205"/>
      <c r="X93" s="205"/>
      <c r="Y93" s="205"/>
    </row>
    <row r="94" spans="1:25" ht="21.6" customHeight="1" x14ac:dyDescent="0.2">
      <c r="A94" s="1426" t="s">
        <v>517</v>
      </c>
      <c r="B94" s="1427"/>
      <c r="C94" s="1427"/>
      <c r="D94" s="1427"/>
      <c r="E94" s="1427"/>
      <c r="F94" s="1433" t="s">
        <v>490</v>
      </c>
      <c r="G94" s="521"/>
      <c r="H94" s="1426" t="s">
        <v>521</v>
      </c>
      <c r="I94" s="1426"/>
      <c r="J94" s="1426"/>
      <c r="K94" s="1426"/>
      <c r="L94" s="1426"/>
      <c r="M94" s="1462" t="s">
        <v>458</v>
      </c>
      <c r="N94" s="521"/>
      <c r="P94" s="522"/>
      <c r="Q94" s="205"/>
      <c r="R94" s="205"/>
      <c r="S94" s="205"/>
      <c r="T94" s="205"/>
      <c r="U94" s="205"/>
      <c r="V94" s="205"/>
      <c r="W94" s="205"/>
      <c r="X94" s="205"/>
      <c r="Y94" s="205"/>
    </row>
    <row r="95" spans="1:25" ht="15" customHeight="1" thickBot="1" x14ac:dyDescent="0.25">
      <c r="A95" s="1428"/>
      <c r="B95" s="1428"/>
      <c r="C95" s="1428"/>
      <c r="D95" s="1428"/>
      <c r="E95" s="1428"/>
      <c r="F95" s="1434"/>
      <c r="G95" s="521"/>
      <c r="H95" s="1459"/>
      <c r="I95" s="1459"/>
      <c r="J95" s="1459"/>
      <c r="K95" s="1459"/>
      <c r="L95" s="1459"/>
      <c r="M95" s="1463"/>
      <c r="N95" s="521"/>
      <c r="P95" s="522"/>
      <c r="Q95" s="205"/>
      <c r="R95" s="205"/>
      <c r="S95" s="205"/>
      <c r="T95" s="205"/>
      <c r="U95" s="205"/>
      <c r="V95" s="205"/>
      <c r="W95" s="205"/>
      <c r="X95" s="205"/>
      <c r="Y95" s="205"/>
    </row>
    <row r="96" spans="1:25" x14ac:dyDescent="0.2">
      <c r="A96" s="196" t="s">
        <v>0</v>
      </c>
      <c r="B96" s="69">
        <f>R$26</f>
        <v>9</v>
      </c>
      <c r="C96" s="196"/>
      <c r="D96" s="196" t="s">
        <v>1</v>
      </c>
      <c r="E96" s="197">
        <f>B96*365</f>
        <v>3285</v>
      </c>
      <c r="F96" s="411"/>
      <c r="G96" s="644"/>
      <c r="H96" s="196" t="s">
        <v>0</v>
      </c>
      <c r="I96" s="69">
        <v>9</v>
      </c>
      <c r="J96" s="196"/>
      <c r="K96" s="196" t="s">
        <v>1</v>
      </c>
      <c r="L96" s="197">
        <f>$I$96*365</f>
        <v>3285</v>
      </c>
      <c r="M96" s="541" t="s">
        <v>459</v>
      </c>
      <c r="N96" s="644"/>
      <c r="P96" s="522"/>
      <c r="Q96" s="205"/>
      <c r="R96" s="205"/>
      <c r="S96" s="205"/>
      <c r="T96" s="205"/>
      <c r="U96" s="205"/>
      <c r="V96" s="205"/>
      <c r="W96" s="205"/>
      <c r="X96" s="205"/>
      <c r="Y96" s="205"/>
    </row>
    <row r="97" spans="1:25" x14ac:dyDescent="0.2">
      <c r="F97" s="426"/>
      <c r="G97" s="183"/>
      <c r="M97" s="426"/>
      <c r="N97" s="183"/>
      <c r="P97" s="205"/>
      <c r="Q97" s="205"/>
      <c r="R97" s="205"/>
      <c r="S97" s="205"/>
      <c r="T97" s="205"/>
      <c r="U97" s="205"/>
      <c r="V97" s="205"/>
      <c r="W97" s="205"/>
      <c r="X97" s="559"/>
      <c r="Y97" s="540"/>
    </row>
    <row r="98" spans="1:25" x14ac:dyDescent="0.2">
      <c r="A98" s="198"/>
      <c r="B98" s="198"/>
      <c r="C98" s="199" t="s">
        <v>2</v>
      </c>
      <c r="D98" s="199" t="s">
        <v>3</v>
      </c>
      <c r="E98" s="199" t="s">
        <v>4</v>
      </c>
      <c r="F98" s="426"/>
      <c r="G98" s="625"/>
      <c r="H98" s="198"/>
      <c r="I98" s="198"/>
      <c r="J98" s="199" t="s">
        <v>2</v>
      </c>
      <c r="K98" s="199" t="s">
        <v>3</v>
      </c>
      <c r="L98" s="199" t="s">
        <v>4</v>
      </c>
      <c r="M98" s="760"/>
      <c r="N98" s="625"/>
    </row>
    <row r="99" spans="1:25" x14ac:dyDescent="0.2">
      <c r="A99" s="1" t="s">
        <v>19</v>
      </c>
      <c r="C99" s="30">
        <f>R$13</f>
        <v>52305.406251052875</v>
      </c>
      <c r="D99" s="35">
        <f>R$27</f>
        <v>1.5</v>
      </c>
      <c r="E99" s="202">
        <f>C99*D99</f>
        <v>78458.109376579319</v>
      </c>
      <c r="F99" s="426"/>
      <c r="G99" s="513"/>
      <c r="H99" s="1" t="s">
        <v>19</v>
      </c>
      <c r="J99" s="30">
        <v>52305.406251052875</v>
      </c>
      <c r="K99" s="35">
        <v>1.5</v>
      </c>
      <c r="L99" s="202">
        <f>$J$99*K99</f>
        <v>78458.109376579319</v>
      </c>
      <c r="M99" s="761"/>
      <c r="N99" s="513"/>
    </row>
    <row r="100" spans="1:25" x14ac:dyDescent="0.2">
      <c r="A100" s="2" t="s">
        <v>227</v>
      </c>
      <c r="C100" s="30"/>
      <c r="D100" s="35"/>
      <c r="E100" s="202"/>
      <c r="F100" s="426"/>
      <c r="G100" s="513"/>
      <c r="H100" s="2" t="s">
        <v>227</v>
      </c>
      <c r="J100" s="30"/>
      <c r="K100" s="35"/>
      <c r="L100" s="202"/>
      <c r="M100" s="761"/>
      <c r="N100" s="513"/>
    </row>
    <row r="101" spans="1:25" x14ac:dyDescent="0.2">
      <c r="A101" s="3" t="s">
        <v>24</v>
      </c>
      <c r="C101" s="30">
        <f>R15</f>
        <v>64673.926018287602</v>
      </c>
      <c r="D101" s="35">
        <f>R29</f>
        <v>0.22499999999999998</v>
      </c>
      <c r="E101" s="202">
        <f>C101*D101</f>
        <v>14551.633354114709</v>
      </c>
      <c r="F101" s="426"/>
      <c r="G101" s="513"/>
      <c r="H101" s="3" t="s">
        <v>24</v>
      </c>
      <c r="J101" s="30">
        <v>64673.926018287602</v>
      </c>
      <c r="K101" s="659">
        <f>$D$101+(0.5*$I$96/40)</f>
        <v>0.33749999999999997</v>
      </c>
      <c r="L101" s="202">
        <f>$J$101*K101</f>
        <v>21827.450031172062</v>
      </c>
      <c r="M101" s="761"/>
      <c r="N101" s="513"/>
    </row>
    <row r="102" spans="1:25" x14ac:dyDescent="0.2">
      <c r="A102" s="2" t="s">
        <v>5</v>
      </c>
      <c r="C102" s="30"/>
      <c r="D102" s="35"/>
      <c r="E102" s="202"/>
      <c r="F102" s="426"/>
      <c r="G102" s="513"/>
      <c r="H102" s="2" t="s">
        <v>5</v>
      </c>
      <c r="J102" s="30"/>
      <c r="K102" s="35"/>
      <c r="L102" s="202"/>
      <c r="M102" s="761"/>
      <c r="N102" s="513"/>
    </row>
    <row r="103" spans="1:25" x14ac:dyDescent="0.2">
      <c r="A103" s="2" t="s">
        <v>332</v>
      </c>
      <c r="C103" s="282">
        <f>R17</f>
        <v>50000</v>
      </c>
      <c r="D103" s="283">
        <f>R31</f>
        <v>1</v>
      </c>
      <c r="E103" s="811">
        <f>C103*D103</f>
        <v>50000</v>
      </c>
      <c r="F103" s="426"/>
      <c r="G103" s="513"/>
      <c r="H103" s="2" t="s">
        <v>332</v>
      </c>
      <c r="J103" s="282">
        <v>50000</v>
      </c>
      <c r="K103" s="283">
        <v>1</v>
      </c>
      <c r="L103" s="811">
        <f>$J$103*K103</f>
        <v>50000</v>
      </c>
      <c r="M103" s="761"/>
      <c r="N103" s="513"/>
    </row>
    <row r="104" spans="1:25" x14ac:dyDescent="0.2">
      <c r="A104" s="3" t="s">
        <v>59</v>
      </c>
      <c r="C104" s="282">
        <f>R18</f>
        <v>42189.221412467887</v>
      </c>
      <c r="D104" s="283">
        <f>R32</f>
        <v>0.5</v>
      </c>
      <c r="E104" s="811">
        <f>C104*D104</f>
        <v>21094.610706233943</v>
      </c>
      <c r="F104" s="426"/>
      <c r="G104" s="513"/>
      <c r="H104" s="3" t="s">
        <v>59</v>
      </c>
      <c r="J104" s="282">
        <v>42189.221412467887</v>
      </c>
      <c r="K104" s="283">
        <v>0.5</v>
      </c>
      <c r="L104" s="811">
        <f>$J$104*K104</f>
        <v>21094.610706233943</v>
      </c>
      <c r="M104" s="761"/>
      <c r="N104" s="513"/>
    </row>
    <row r="105" spans="1:25" x14ac:dyDescent="0.2">
      <c r="A105" s="3" t="s">
        <v>30</v>
      </c>
      <c r="C105" s="282">
        <f>R19</f>
        <v>29169.595163958824</v>
      </c>
      <c r="D105" s="658">
        <f>R33</f>
        <v>10.199999999999999</v>
      </c>
      <c r="E105" s="811">
        <f>C105*D105</f>
        <v>297529.87067237997</v>
      </c>
      <c r="F105" s="426"/>
      <c r="G105" s="763"/>
      <c r="H105" s="3" t="s">
        <v>30</v>
      </c>
      <c r="J105" s="282">
        <v>29169.595163958824</v>
      </c>
      <c r="K105" s="654">
        <v>10.51</v>
      </c>
      <c r="L105" s="811">
        <f>$J$105*K105</f>
        <v>306572.4451732072</v>
      </c>
      <c r="M105" s="761"/>
      <c r="N105" s="513"/>
    </row>
    <row r="106" spans="1:25" x14ac:dyDescent="0.2">
      <c r="A106" s="4" t="s">
        <v>31</v>
      </c>
      <c r="C106" s="282">
        <f>R20</f>
        <v>29169.595163958824</v>
      </c>
      <c r="D106" s="658">
        <f>R34</f>
        <v>1.6084615384615384</v>
      </c>
      <c r="E106" s="811">
        <f>C106*D106</f>
        <v>46918.17191372146</v>
      </c>
      <c r="F106" s="426"/>
      <c r="G106" s="513"/>
      <c r="H106" s="4" t="s">
        <v>31</v>
      </c>
      <c r="J106" s="282">
        <v>29169.595163958824</v>
      </c>
      <c r="K106" s="654">
        <f>K105*$R$10</f>
        <v>1.6573461538461538</v>
      </c>
      <c r="L106" s="811">
        <f>$J$106*K106</f>
        <v>48344.116354236525</v>
      </c>
      <c r="M106" s="761"/>
      <c r="N106" s="513"/>
    </row>
    <row r="107" spans="1:25" x14ac:dyDescent="0.2">
      <c r="A107" s="2" t="s">
        <v>6</v>
      </c>
      <c r="C107" s="282"/>
      <c r="D107" s="283"/>
      <c r="E107" s="811"/>
      <c r="F107" s="426"/>
      <c r="G107" s="513"/>
      <c r="H107" s="2" t="s">
        <v>6</v>
      </c>
      <c r="J107" s="282"/>
      <c r="K107" s="283"/>
      <c r="L107" s="811"/>
      <c r="M107" s="761"/>
      <c r="N107" s="513"/>
    </row>
    <row r="108" spans="1:25" x14ac:dyDescent="0.2">
      <c r="A108" s="3" t="s">
        <v>32</v>
      </c>
      <c r="C108" s="30">
        <f>R22</f>
        <v>29169.595163958824</v>
      </c>
      <c r="D108" s="35">
        <f>R36</f>
        <v>0.5</v>
      </c>
      <c r="E108" s="202">
        <f>C108*D108</f>
        <v>14584.797581979412</v>
      </c>
      <c r="F108" s="426"/>
      <c r="G108" s="513"/>
      <c r="H108" s="3" t="s">
        <v>32</v>
      </c>
      <c r="J108" s="30">
        <v>29169.595163958824</v>
      </c>
      <c r="K108" s="35">
        <v>0.5</v>
      </c>
      <c r="L108" s="202">
        <f>$J$108*K108</f>
        <v>14584.797581979412</v>
      </c>
      <c r="M108" s="761"/>
      <c r="N108" s="513"/>
    </row>
    <row r="109" spans="1:25" x14ac:dyDescent="0.2">
      <c r="A109" s="208" t="s">
        <v>7</v>
      </c>
      <c r="B109" s="208"/>
      <c r="C109" s="208"/>
      <c r="D109" s="209">
        <f>SUM(D99:D108)</f>
        <v>15.533461538461538</v>
      </c>
      <c r="E109" s="175">
        <f>SUM(E99:E108)</f>
        <v>523137.19360500883</v>
      </c>
      <c r="F109" s="426"/>
      <c r="G109" s="516"/>
      <c r="H109" s="208" t="s">
        <v>7</v>
      </c>
      <c r="I109" s="208"/>
      <c r="J109" s="208"/>
      <c r="K109" s="209">
        <f>SUM(K99:K108)</f>
        <v>16.004846153846152</v>
      </c>
      <c r="L109" s="175">
        <f>SUM(L99:L108)</f>
        <v>540881.52922340843</v>
      </c>
      <c r="M109" s="764"/>
      <c r="N109" s="516"/>
    </row>
    <row r="110" spans="1:25" x14ac:dyDescent="0.2">
      <c r="F110" s="426"/>
      <c r="G110" s="183"/>
      <c r="M110" s="426"/>
      <c r="N110" s="183"/>
    </row>
    <row r="111" spans="1:25" x14ac:dyDescent="0.2">
      <c r="A111" s="196" t="s">
        <v>21</v>
      </c>
      <c r="D111" s="196" t="s">
        <v>20</v>
      </c>
      <c r="F111" s="426"/>
      <c r="G111" s="183"/>
      <c r="H111" s="196" t="s">
        <v>21</v>
      </c>
      <c r="K111" s="196" t="s">
        <v>20</v>
      </c>
      <c r="M111" s="426"/>
      <c r="N111" s="183"/>
    </row>
    <row r="112" spans="1:25" x14ac:dyDescent="0.2">
      <c r="A112" s="177" t="s">
        <v>22</v>
      </c>
      <c r="C112" s="97">
        <f>$R$39</f>
        <v>0.23424901786252411</v>
      </c>
      <c r="E112" s="202">
        <f>C112*E109</f>
        <v>122544.37380933044</v>
      </c>
      <c r="F112" s="426"/>
      <c r="G112" s="513"/>
      <c r="H112" s="177" t="s">
        <v>22</v>
      </c>
      <c r="J112" s="97">
        <f>$R$39</f>
        <v>0.23424901786252411</v>
      </c>
      <c r="L112" s="202">
        <f>$J$112*L109</f>
        <v>126700.96700056356</v>
      </c>
      <c r="M112" s="761"/>
      <c r="N112" s="513"/>
      <c r="O112" s="812"/>
    </row>
    <row r="113" spans="1:14" x14ac:dyDescent="0.2">
      <c r="A113" s="208" t="s">
        <v>51</v>
      </c>
      <c r="B113" s="208"/>
      <c r="C113" s="208"/>
      <c r="D113" s="210">
        <f>E113/E96</f>
        <v>196.55451062841379</v>
      </c>
      <c r="E113" s="175">
        <f>E112+E109</f>
        <v>645681.56741433928</v>
      </c>
      <c r="F113" s="426"/>
      <c r="G113" s="516"/>
      <c r="H113" s="208" t="s">
        <v>51</v>
      </c>
      <c r="I113" s="208"/>
      <c r="J113" s="208"/>
      <c r="K113" s="210">
        <f>L113/L96</f>
        <v>203.22146003773881</v>
      </c>
      <c r="L113" s="175">
        <f>L112+L109</f>
        <v>667582.49622397195</v>
      </c>
      <c r="M113" s="764"/>
      <c r="N113" s="516"/>
    </row>
    <row r="114" spans="1:14" x14ac:dyDescent="0.2">
      <c r="F114" s="426"/>
      <c r="G114" s="797"/>
      <c r="M114" s="798"/>
      <c r="N114" s="797"/>
    </row>
    <row r="115" spans="1:14" x14ac:dyDescent="0.2">
      <c r="A115" s="177" t="s">
        <v>39</v>
      </c>
      <c r="D115" s="217">
        <f>$R$41</f>
        <v>23.285039628322924</v>
      </c>
      <c r="E115" s="217">
        <f>D115*E96</f>
        <v>76491.355179040809</v>
      </c>
      <c r="F115" s="426"/>
      <c r="G115" s="797"/>
      <c r="H115" s="177" t="s">
        <v>39</v>
      </c>
      <c r="K115" s="217">
        <f>$R$41</f>
        <v>23.285039628322924</v>
      </c>
      <c r="L115" s="217">
        <f>K115*L96</f>
        <v>76491.355179040809</v>
      </c>
      <c r="M115" s="798"/>
      <c r="N115" s="797"/>
    </row>
    <row r="116" spans="1:14" x14ac:dyDescent="0.2">
      <c r="A116" s="205" t="s">
        <v>40</v>
      </c>
      <c r="D116" s="217">
        <f>$R$42</f>
        <v>17.246505727219606</v>
      </c>
      <c r="E116" s="217">
        <f>D116*E96</f>
        <v>56654.771313916404</v>
      </c>
      <c r="F116" s="426"/>
      <c r="G116" s="797"/>
      <c r="H116" s="205" t="s">
        <v>40</v>
      </c>
      <c r="K116" s="217">
        <f>$R$42</f>
        <v>17.246505727219606</v>
      </c>
      <c r="L116" s="217">
        <f>K116*L96</f>
        <v>56654.771313916404</v>
      </c>
      <c r="M116" s="798"/>
      <c r="N116" s="797"/>
    </row>
    <row r="117" spans="1:14" x14ac:dyDescent="0.2">
      <c r="A117" s="205" t="s">
        <v>41</v>
      </c>
      <c r="D117" s="217">
        <f>$R$43</f>
        <v>2.2794520547945205</v>
      </c>
      <c r="E117" s="217">
        <f>D117*E96</f>
        <v>7488</v>
      </c>
      <c r="F117" s="426"/>
      <c r="G117" s="797"/>
      <c r="H117" s="205" t="s">
        <v>41</v>
      </c>
      <c r="K117" s="217">
        <f>$R$43</f>
        <v>2.2794520547945205</v>
      </c>
      <c r="L117" s="217">
        <f>K117*L96</f>
        <v>7488</v>
      </c>
      <c r="M117" s="798"/>
      <c r="N117" s="797"/>
    </row>
    <row r="118" spans="1:14" x14ac:dyDescent="0.2">
      <c r="A118" s="205" t="s">
        <v>42</v>
      </c>
      <c r="D118" s="217">
        <f>$R$44</f>
        <v>-1.9951315068493152</v>
      </c>
      <c r="E118" s="217">
        <f>D118*E96</f>
        <v>-6554.0070000000005</v>
      </c>
      <c r="F118" s="799"/>
      <c r="G118" s="183"/>
      <c r="H118" s="205" t="s">
        <v>42</v>
      </c>
      <c r="K118" s="217">
        <f>$R$44</f>
        <v>-1.9951315068493152</v>
      </c>
      <c r="L118" s="217">
        <f>K118*L96</f>
        <v>-6554.0070000000005</v>
      </c>
      <c r="M118" s="426"/>
      <c r="N118" s="183"/>
    </row>
    <row r="119" spans="1:14" x14ac:dyDescent="0.2">
      <c r="D119" s="219">
        <f>SUM(D115:D118)</f>
        <v>40.815865903487733</v>
      </c>
      <c r="F119" s="799"/>
      <c r="G119" s="183"/>
      <c r="K119" s="219">
        <f>SUM(K115:K118)</f>
        <v>40.815865903487733</v>
      </c>
      <c r="M119" s="426"/>
      <c r="N119" s="183"/>
    </row>
    <row r="120" spans="1:14" x14ac:dyDescent="0.2">
      <c r="F120" s="799"/>
      <c r="G120" s="516"/>
      <c r="M120" s="764"/>
      <c r="N120" s="516"/>
    </row>
    <row r="121" spans="1:14" x14ac:dyDescent="0.2">
      <c r="A121" s="208" t="s">
        <v>43</v>
      </c>
      <c r="B121" s="208"/>
      <c r="C121" s="208"/>
      <c r="D121" s="208"/>
      <c r="E121" s="175">
        <f>SUM(E113:E118)</f>
        <v>779761.68690729653</v>
      </c>
      <c r="F121" s="799"/>
      <c r="G121" s="183"/>
      <c r="H121" s="208" t="s">
        <v>43</v>
      </c>
      <c r="I121" s="208"/>
      <c r="J121" s="208"/>
      <c r="K121" s="208"/>
      <c r="L121" s="175">
        <f>SUM(L113:L118)</f>
        <v>801662.6157169292</v>
      </c>
      <c r="M121" s="426"/>
      <c r="N121" s="183"/>
    </row>
    <row r="122" spans="1:14" x14ac:dyDescent="0.2">
      <c r="F122" s="426"/>
      <c r="G122" s="513"/>
      <c r="M122" s="761"/>
      <c r="N122" s="513"/>
    </row>
    <row r="123" spans="1:14" x14ac:dyDescent="0.2">
      <c r="A123" s="177" t="s">
        <v>44</v>
      </c>
      <c r="C123" s="97">
        <f>$R$47</f>
        <v>0.11846733793705286</v>
      </c>
      <c r="E123" s="202">
        <f>C123*E121</f>
        <v>92376.291273213108</v>
      </c>
      <c r="F123" s="426"/>
      <c r="G123" s="183"/>
      <c r="H123" s="177" t="s">
        <v>44</v>
      </c>
      <c r="J123" s="97">
        <f>$R$47</f>
        <v>0.11846733793705286</v>
      </c>
      <c r="L123" s="202">
        <f>$J$123*L121</f>
        <v>94970.836007639198</v>
      </c>
      <c r="M123" s="426"/>
      <c r="N123" s="183"/>
    </row>
    <row r="124" spans="1:14" x14ac:dyDescent="0.2">
      <c r="F124" s="426"/>
      <c r="G124" s="183"/>
      <c r="M124" s="426"/>
      <c r="N124" s="183"/>
    </row>
    <row r="125" spans="1:14" ht="13.5" thickBot="1" x14ac:dyDescent="0.25">
      <c r="A125" s="224" t="s">
        <v>52</v>
      </c>
      <c r="B125" s="225"/>
      <c r="C125" s="225"/>
      <c r="D125" s="225"/>
      <c r="E125" s="226">
        <f>SUM(E121:E123)</f>
        <v>872137.97818050964</v>
      </c>
      <c r="F125" s="426"/>
      <c r="G125" s="516"/>
      <c r="H125" s="224" t="s">
        <v>52</v>
      </c>
      <c r="I125" s="225"/>
      <c r="J125" s="225"/>
      <c r="K125" s="225"/>
      <c r="L125" s="226">
        <f>SUM(L121:L123)</f>
        <v>896633.45172456838</v>
      </c>
      <c r="M125" s="510">
        <f>L125</f>
        <v>896633.45172456838</v>
      </c>
      <c r="N125" s="516"/>
    </row>
    <row r="126" spans="1:14" ht="13.5" thickTop="1" x14ac:dyDescent="0.2">
      <c r="F126" s="426"/>
      <c r="G126" s="183"/>
      <c r="M126" s="426"/>
      <c r="N126" s="183"/>
    </row>
    <row r="127" spans="1:14" x14ac:dyDescent="0.2">
      <c r="A127" s="177" t="s">
        <v>53</v>
      </c>
      <c r="C127" s="98">
        <f>$R$49</f>
        <v>5.3904190379097106E-2</v>
      </c>
      <c r="E127" s="229">
        <f>E125*(1+C127)</f>
        <v>919149.86979319272</v>
      </c>
      <c r="F127" s="426"/>
      <c r="G127" s="770"/>
      <c r="H127" s="177" t="s">
        <v>53</v>
      </c>
      <c r="J127" s="98">
        <f>$R$49</f>
        <v>5.3904190379097106E-2</v>
      </c>
      <c r="L127" s="229">
        <f>L125*(1+$J$127)</f>
        <v>944965.75200659654</v>
      </c>
      <c r="M127" s="771">
        <f>M125*(1+$J$127)</f>
        <v>944965.75200659654</v>
      </c>
      <c r="N127" s="770"/>
    </row>
    <row r="128" spans="1:14" x14ac:dyDescent="0.2">
      <c r="F128" s="426"/>
      <c r="G128" s="183"/>
      <c r="M128" s="426"/>
      <c r="N128" s="183"/>
    </row>
    <row r="129" spans="1:15" x14ac:dyDescent="0.2">
      <c r="E129" s="92" t="s">
        <v>56</v>
      </c>
      <c r="F129" s="426"/>
      <c r="G129" s="397"/>
      <c r="L129" s="92" t="s">
        <v>56</v>
      </c>
      <c r="M129" s="409" t="s">
        <v>56</v>
      </c>
      <c r="N129" s="397"/>
    </row>
    <row r="130" spans="1:15" ht="13.5" thickBot="1" x14ac:dyDescent="0.25">
      <c r="A130" s="177" t="s">
        <v>55</v>
      </c>
      <c r="D130" s="231">
        <f>E125/E96</f>
        <v>265.49101314475178</v>
      </c>
      <c r="E130" s="231">
        <f>D130*(1+C127)</f>
        <v>279.80209126124583</v>
      </c>
      <c r="G130" s="770"/>
      <c r="H130" s="177" t="s">
        <v>55</v>
      </c>
      <c r="K130" s="231">
        <f>L125/L96</f>
        <v>272.94777830276053</v>
      </c>
      <c r="L130" s="231">
        <f>K130*(1+$J$127)</f>
        <v>287.66080730794414</v>
      </c>
      <c r="M130" s="771">
        <f>M127/12</f>
        <v>78747.146000549707</v>
      </c>
      <c r="N130" s="770"/>
    </row>
    <row r="131" spans="1:15" ht="13.5" thickBot="1" x14ac:dyDescent="0.25">
      <c r="A131" s="377" t="s">
        <v>455</v>
      </c>
      <c r="B131" s="377"/>
      <c r="C131" s="479">
        <f>'[6]CAF Spring 2015'!BC24</f>
        <v>2.0354406130268236E-2</v>
      </c>
      <c r="D131" s="469"/>
      <c r="E131" s="469"/>
      <c r="F131" s="469">
        <f>E130*(1+C131)</f>
        <v>285.49729666287561</v>
      </c>
      <c r="G131" s="770"/>
      <c r="H131" s="377" t="s">
        <v>455</v>
      </c>
      <c r="I131" s="377"/>
      <c r="J131" s="479">
        <f>'[6]CAF Spring 2015'!BC24</f>
        <v>2.0354406130268236E-2</v>
      </c>
      <c r="K131" s="469"/>
      <c r="L131" s="780">
        <f>L130*(1+$J$131)</f>
        <v>293.51597220765086</v>
      </c>
      <c r="M131" s="816">
        <f>ROUND(M130*(1+$J$86),0)</f>
        <v>80350</v>
      </c>
      <c r="N131" s="770"/>
    </row>
    <row r="132" spans="1:15" x14ac:dyDescent="0.2">
      <c r="A132" s="78" t="s">
        <v>54</v>
      </c>
      <c r="B132" s="79">
        <v>0.9</v>
      </c>
      <c r="C132" s="80"/>
      <c r="D132" s="235">
        <f>E125/(E96*B132)</f>
        <v>294.99001460527978</v>
      </c>
      <c r="E132" s="802">
        <f>D132*(1+C127)</f>
        <v>310.89121251249543</v>
      </c>
      <c r="F132" s="803"/>
      <c r="G132" s="774"/>
      <c r="H132" s="78" t="s">
        <v>54</v>
      </c>
      <c r="I132" s="79">
        <v>0.9</v>
      </c>
      <c r="J132" s="80"/>
      <c r="K132" s="235"/>
      <c r="L132" s="805"/>
      <c r="M132" s="782"/>
      <c r="N132" s="774"/>
      <c r="O132" s="217"/>
    </row>
    <row r="133" spans="1:15" ht="13.5" thickBot="1" x14ac:dyDescent="0.25">
      <c r="A133" s="81"/>
      <c r="B133" s="82">
        <v>0.85</v>
      </c>
      <c r="C133" s="83"/>
      <c r="D133" s="236">
        <f>E125/(E96*B133)</f>
        <v>312.34236840559032</v>
      </c>
      <c r="E133" s="237">
        <f>D133*(1+C127)</f>
        <v>329.17893089558333</v>
      </c>
      <c r="F133" s="804"/>
      <c r="G133" s="774"/>
      <c r="H133" s="81"/>
      <c r="I133" s="82">
        <v>0.85</v>
      </c>
      <c r="J133" s="83"/>
      <c r="K133" s="236"/>
      <c r="L133" s="805"/>
      <c r="M133" s="782"/>
      <c r="N133" s="774"/>
    </row>
    <row r="134" spans="1:15" ht="13.5" thickBot="1" x14ac:dyDescent="0.25">
      <c r="A134" s="784"/>
      <c r="B134" s="785">
        <v>0.8</v>
      </c>
      <c r="C134" s="786"/>
      <c r="D134" s="787">
        <f>E125/(E96*B134)</f>
        <v>331.86376643093973</v>
      </c>
      <c r="E134" s="813">
        <f>D134*(1+C127)</f>
        <v>349.75261407655734</v>
      </c>
      <c r="F134" s="780">
        <f>F131/B134</f>
        <v>356.87162082859447</v>
      </c>
      <c r="G134" s="774"/>
      <c r="H134" s="784"/>
      <c r="I134" s="785">
        <v>0.8</v>
      </c>
      <c r="J134" s="786"/>
      <c r="K134" s="787"/>
      <c r="L134" s="810">
        <f>L131/$I$134</f>
        <v>366.89496525956355</v>
      </c>
      <c r="M134" s="790"/>
      <c r="N134" s="774"/>
    </row>
    <row r="138" spans="1:15" ht="21.6" customHeight="1" x14ac:dyDescent="0.2">
      <c r="A138" s="1426" t="s">
        <v>518</v>
      </c>
      <c r="B138" s="1427"/>
      <c r="C138" s="1427"/>
      <c r="D138" s="1427"/>
      <c r="E138" s="1427"/>
      <c r="F138" s="1433" t="s">
        <v>490</v>
      </c>
      <c r="G138" s="521"/>
      <c r="H138" s="1426" t="s">
        <v>522</v>
      </c>
      <c r="I138" s="1426"/>
      <c r="J138" s="1426"/>
      <c r="K138" s="1426"/>
      <c r="L138" s="1426"/>
      <c r="M138" s="1460" t="s">
        <v>458</v>
      </c>
      <c r="N138" s="521"/>
    </row>
    <row r="139" spans="1:15" ht="15" customHeight="1" thickBot="1" x14ac:dyDescent="0.25">
      <c r="A139" s="1428"/>
      <c r="B139" s="1428"/>
      <c r="C139" s="1428"/>
      <c r="D139" s="1428"/>
      <c r="E139" s="1428"/>
      <c r="F139" s="1434"/>
      <c r="G139" s="521"/>
      <c r="H139" s="1459"/>
      <c r="I139" s="1459"/>
      <c r="J139" s="1459"/>
      <c r="K139" s="1459"/>
      <c r="L139" s="1459"/>
      <c r="M139" s="1461"/>
      <c r="N139" s="521"/>
    </row>
    <row r="140" spans="1:15" x14ac:dyDescent="0.2">
      <c r="A140" s="196" t="s">
        <v>0</v>
      </c>
      <c r="B140" s="69">
        <f>T$26</f>
        <v>15</v>
      </c>
      <c r="C140" s="196"/>
      <c r="D140" s="196" t="s">
        <v>1</v>
      </c>
      <c r="E140" s="197">
        <f>B140*365</f>
        <v>5475</v>
      </c>
      <c r="F140" s="411"/>
      <c r="G140" s="644"/>
      <c r="H140" s="196" t="s">
        <v>0</v>
      </c>
      <c r="I140" s="69">
        <v>15</v>
      </c>
      <c r="J140" s="196"/>
      <c r="K140" s="196" t="s">
        <v>1</v>
      </c>
      <c r="L140" s="197">
        <f>$I$140*365</f>
        <v>5475</v>
      </c>
      <c r="M140" s="550" t="s">
        <v>459</v>
      </c>
      <c r="N140" s="644"/>
    </row>
    <row r="141" spans="1:15" x14ac:dyDescent="0.2">
      <c r="F141" s="426"/>
      <c r="G141" s="183"/>
      <c r="M141" s="426"/>
      <c r="N141" s="183"/>
    </row>
    <row r="142" spans="1:15" x14ac:dyDescent="0.2">
      <c r="A142" s="198"/>
      <c r="B142" s="198"/>
      <c r="C142" s="199" t="s">
        <v>2</v>
      </c>
      <c r="D142" s="199" t="s">
        <v>3</v>
      </c>
      <c r="E142" s="199" t="s">
        <v>4</v>
      </c>
      <c r="F142" s="426"/>
      <c r="G142" s="625"/>
      <c r="H142" s="198"/>
      <c r="I142" s="198"/>
      <c r="J142" s="199" t="s">
        <v>2</v>
      </c>
      <c r="K142" s="199" t="s">
        <v>3</v>
      </c>
      <c r="L142" s="199" t="s">
        <v>4</v>
      </c>
      <c r="M142" s="760"/>
      <c r="N142" s="625"/>
    </row>
    <row r="143" spans="1:15" x14ac:dyDescent="0.2">
      <c r="A143" s="1" t="s">
        <v>19</v>
      </c>
      <c r="C143" s="30">
        <f>R$13</f>
        <v>52305.406251052875</v>
      </c>
      <c r="D143" s="35">
        <f>T$27</f>
        <v>2</v>
      </c>
      <c r="E143" s="202">
        <f>C143*D143</f>
        <v>104610.81250210575</v>
      </c>
      <c r="F143" s="426"/>
      <c r="G143" s="513"/>
      <c r="H143" s="1" t="s">
        <v>19</v>
      </c>
      <c r="J143" s="30">
        <v>52305.406251052875</v>
      </c>
      <c r="K143" s="35">
        <v>2</v>
      </c>
      <c r="L143" s="202">
        <f>$J$143*K143</f>
        <v>104610.81250210575</v>
      </c>
      <c r="M143" s="761"/>
      <c r="N143" s="513"/>
    </row>
    <row r="144" spans="1:15" x14ac:dyDescent="0.2">
      <c r="A144" s="2" t="s">
        <v>227</v>
      </c>
      <c r="C144" s="30"/>
      <c r="D144" s="35"/>
      <c r="E144" s="202"/>
      <c r="F144" s="426"/>
      <c r="G144" s="513"/>
      <c r="H144" s="2" t="s">
        <v>227</v>
      </c>
      <c r="J144" s="30"/>
      <c r="K144" s="35"/>
      <c r="L144" s="202"/>
      <c r="M144" s="761"/>
      <c r="N144" s="513"/>
    </row>
    <row r="145" spans="1:15" x14ac:dyDescent="0.2">
      <c r="A145" s="3" t="s">
        <v>24</v>
      </c>
      <c r="C145" s="30">
        <f>R15</f>
        <v>64673.926018287602</v>
      </c>
      <c r="D145" s="35">
        <f>T29</f>
        <v>0.375</v>
      </c>
      <c r="E145" s="202">
        <f>C145*D145</f>
        <v>24252.722256857851</v>
      </c>
      <c r="F145" s="426"/>
      <c r="G145" s="513"/>
      <c r="H145" s="3" t="s">
        <v>24</v>
      </c>
      <c r="J145" s="30">
        <v>64673.926018287602</v>
      </c>
      <c r="K145" s="659">
        <f>$D$145+(0.5*$I$140/40)</f>
        <v>0.5625</v>
      </c>
      <c r="L145" s="202">
        <f>$J$145*K145</f>
        <v>36379.08338528678</v>
      </c>
      <c r="M145" s="761"/>
      <c r="N145" s="513"/>
    </row>
    <row r="146" spans="1:15" x14ac:dyDescent="0.2">
      <c r="A146" s="2" t="s">
        <v>5</v>
      </c>
      <c r="C146" s="30"/>
      <c r="D146" s="35"/>
      <c r="E146" s="202"/>
      <c r="F146" s="426"/>
      <c r="G146" s="513"/>
      <c r="H146" s="2" t="s">
        <v>5</v>
      </c>
      <c r="J146" s="30"/>
      <c r="K146" s="35"/>
      <c r="L146" s="202"/>
      <c r="M146" s="761"/>
      <c r="N146" s="513"/>
    </row>
    <row r="147" spans="1:15" x14ac:dyDescent="0.2">
      <c r="A147" s="3" t="s">
        <v>26</v>
      </c>
      <c r="C147" s="282">
        <f>R17</f>
        <v>50000</v>
      </c>
      <c r="D147" s="283">
        <f>T31</f>
        <v>1</v>
      </c>
      <c r="E147" s="202">
        <f>C147*D147</f>
        <v>50000</v>
      </c>
      <c r="F147" s="426"/>
      <c r="G147" s="513"/>
      <c r="H147" s="3" t="s">
        <v>26</v>
      </c>
      <c r="J147" s="282">
        <v>50000</v>
      </c>
      <c r="K147" s="283">
        <v>1</v>
      </c>
      <c r="L147" s="202">
        <f>$J$147*K147</f>
        <v>50000</v>
      </c>
      <c r="M147" s="761"/>
      <c r="N147" s="513"/>
    </row>
    <row r="148" spans="1:15" x14ac:dyDescent="0.2">
      <c r="A148" s="3" t="s">
        <v>59</v>
      </c>
      <c r="C148" s="282">
        <f>R18</f>
        <v>42189.221412467887</v>
      </c>
      <c r="D148" s="283">
        <f>T32</f>
        <v>1.5</v>
      </c>
      <c r="E148" s="202">
        <f>C148*D148</f>
        <v>63283.83211870183</v>
      </c>
      <c r="F148" s="426"/>
      <c r="G148" s="513"/>
      <c r="H148" s="3" t="s">
        <v>59</v>
      </c>
      <c r="J148" s="282">
        <v>42189.221412467887</v>
      </c>
      <c r="K148" s="283">
        <v>1.5</v>
      </c>
      <c r="L148" s="202">
        <f>$J$148*K148</f>
        <v>63283.83211870183</v>
      </c>
      <c r="M148" s="761"/>
      <c r="N148" s="513"/>
      <c r="O148" s="217"/>
    </row>
    <row r="149" spans="1:15" x14ac:dyDescent="0.2">
      <c r="A149" s="3" t="s">
        <v>30</v>
      </c>
      <c r="C149" s="282">
        <f>R19</f>
        <v>29169.595163958824</v>
      </c>
      <c r="D149" s="283">
        <f>T33</f>
        <v>17</v>
      </c>
      <c r="E149" s="202">
        <f>C149*D149</f>
        <v>495883.11778730003</v>
      </c>
      <c r="F149" s="426"/>
      <c r="G149" s="763"/>
      <c r="H149" s="3" t="s">
        <v>30</v>
      </c>
      <c r="J149" s="282">
        <v>29169.595163958824</v>
      </c>
      <c r="K149" s="283">
        <v>17</v>
      </c>
      <c r="L149" s="202">
        <f>$J$149*K149</f>
        <v>495883.11778730003</v>
      </c>
      <c r="M149" s="761"/>
      <c r="N149" s="513"/>
    </row>
    <row r="150" spans="1:15" x14ac:dyDescent="0.2">
      <c r="A150" s="4" t="s">
        <v>31</v>
      </c>
      <c r="C150" s="282">
        <f>R20</f>
        <v>29169.595163958824</v>
      </c>
      <c r="D150" s="283">
        <f>T34</f>
        <v>2.6807692307692306</v>
      </c>
      <c r="E150" s="202">
        <f>C150*D150</f>
        <v>78196.953189535765</v>
      </c>
      <c r="F150" s="426"/>
      <c r="G150" s="513"/>
      <c r="H150" s="4" t="s">
        <v>31</v>
      </c>
      <c r="J150" s="282">
        <v>29169.595163958824</v>
      </c>
      <c r="K150" s="283">
        <v>2.6807692307692306</v>
      </c>
      <c r="L150" s="202">
        <f>$J$150*K150</f>
        <v>78196.953189535765</v>
      </c>
      <c r="M150" s="761"/>
      <c r="N150" s="513"/>
    </row>
    <row r="151" spans="1:15" x14ac:dyDescent="0.2">
      <c r="A151" s="2" t="s">
        <v>6</v>
      </c>
      <c r="C151" s="282"/>
      <c r="D151" s="283"/>
      <c r="E151" s="202"/>
      <c r="F151" s="799"/>
      <c r="G151" s="513"/>
      <c r="H151" s="2" t="s">
        <v>6</v>
      </c>
      <c r="J151" s="282"/>
      <c r="K151" s="283"/>
      <c r="L151" s="202"/>
      <c r="M151" s="761"/>
      <c r="N151" s="513"/>
    </row>
    <row r="152" spans="1:15" x14ac:dyDescent="0.2">
      <c r="A152" s="3" t="s">
        <v>32</v>
      </c>
      <c r="C152" s="30">
        <f>R22</f>
        <v>29169.595163958824</v>
      </c>
      <c r="D152" s="35">
        <f>T36</f>
        <v>0.5</v>
      </c>
      <c r="E152" s="202">
        <f>C152*D152</f>
        <v>14584.797581979412</v>
      </c>
      <c r="F152" s="799"/>
      <c r="G152" s="513"/>
      <c r="H152" s="3" t="s">
        <v>32</v>
      </c>
      <c r="J152" s="30">
        <v>29169.595163958824</v>
      </c>
      <c r="K152" s="35">
        <v>0.5</v>
      </c>
      <c r="L152" s="202">
        <f>$J$152*K152</f>
        <v>14584.797581979412</v>
      </c>
      <c r="M152" s="761"/>
      <c r="N152" s="513"/>
    </row>
    <row r="153" spans="1:15" x14ac:dyDescent="0.2">
      <c r="A153" s="208" t="s">
        <v>7</v>
      </c>
      <c r="B153" s="208"/>
      <c r="C153" s="208"/>
      <c r="D153" s="209">
        <f>SUM(D143:D152)</f>
        <v>25.055769230769229</v>
      </c>
      <c r="E153" s="175">
        <f>SUM(E143:E152)</f>
        <v>830812.23543648061</v>
      </c>
      <c r="F153" s="799"/>
      <c r="G153" s="516"/>
      <c r="H153" s="208" t="s">
        <v>7</v>
      </c>
      <c r="I153" s="208"/>
      <c r="J153" s="208"/>
      <c r="K153" s="209">
        <f>SUM(K143:K152)</f>
        <v>25.243269230769229</v>
      </c>
      <c r="L153" s="175">
        <f>SUM(L143:L152)</f>
        <v>842938.59656490956</v>
      </c>
      <c r="M153" s="764"/>
      <c r="N153" s="516"/>
    </row>
    <row r="154" spans="1:15" x14ac:dyDescent="0.2">
      <c r="F154" s="799"/>
      <c r="G154" s="183"/>
      <c r="M154" s="426"/>
      <c r="N154" s="183"/>
    </row>
    <row r="155" spans="1:15" x14ac:dyDescent="0.2">
      <c r="A155" s="196" t="s">
        <v>21</v>
      </c>
      <c r="D155" s="196" t="s">
        <v>20</v>
      </c>
      <c r="F155" s="799"/>
      <c r="G155" s="183"/>
      <c r="H155" s="196" t="s">
        <v>21</v>
      </c>
      <c r="K155" s="196" t="s">
        <v>20</v>
      </c>
      <c r="M155" s="426"/>
      <c r="N155" s="183"/>
    </row>
    <row r="156" spans="1:15" x14ac:dyDescent="0.2">
      <c r="A156" s="177" t="s">
        <v>22</v>
      </c>
      <c r="C156" s="97">
        <f>$R$39</f>
        <v>0.23424901786252411</v>
      </c>
      <c r="E156" s="202">
        <f>C156*E153</f>
        <v>194616.95017916374</v>
      </c>
      <c r="F156" s="799"/>
      <c r="G156" s="513"/>
      <c r="H156" s="177" t="s">
        <v>22</v>
      </c>
      <c r="J156" s="97">
        <f>$R$39</f>
        <v>0.23424901786252411</v>
      </c>
      <c r="L156" s="202">
        <f>$J$156*L153</f>
        <v>197457.5383637445</v>
      </c>
      <c r="M156" s="761"/>
      <c r="N156" s="513"/>
    </row>
    <row r="157" spans="1:15" x14ac:dyDescent="0.2">
      <c r="A157" s="208" t="s">
        <v>51</v>
      </c>
      <c r="B157" s="208"/>
      <c r="C157" s="208"/>
      <c r="D157" s="210">
        <f>E157/E140</f>
        <v>187.29300193893047</v>
      </c>
      <c r="E157" s="175">
        <f>E156+E153</f>
        <v>1025429.1856156443</v>
      </c>
      <c r="F157" s="799"/>
      <c r="G157" s="516"/>
      <c r="H157" s="208" t="s">
        <v>51</v>
      </c>
      <c r="I157" s="208"/>
      <c r="J157" s="208"/>
      <c r="K157" s="210">
        <f>L157/L140</f>
        <v>190.02669131116969</v>
      </c>
      <c r="L157" s="175">
        <f>L156+L153</f>
        <v>1040396.1349286541</v>
      </c>
      <c r="M157" s="764"/>
      <c r="N157" s="516"/>
    </row>
    <row r="158" spans="1:15" x14ac:dyDescent="0.2">
      <c r="F158" s="799"/>
      <c r="G158" s="183"/>
      <c r="M158" s="426"/>
      <c r="N158" s="183"/>
    </row>
    <row r="159" spans="1:15" x14ac:dyDescent="0.2">
      <c r="A159" s="177" t="s">
        <v>39</v>
      </c>
      <c r="D159" s="217">
        <f>$R$41</f>
        <v>23.285039628322924</v>
      </c>
      <c r="E159" s="217">
        <f>D159*E140</f>
        <v>127485.591965068</v>
      </c>
      <c r="F159" s="799"/>
      <c r="G159" s="797"/>
      <c r="H159" s="177" t="s">
        <v>39</v>
      </c>
      <c r="K159" s="217">
        <f>$R$41</f>
        <v>23.285039628322924</v>
      </c>
      <c r="L159" s="217">
        <f>K159*L140</f>
        <v>127485.591965068</v>
      </c>
      <c r="M159" s="798"/>
      <c r="N159" s="797"/>
    </row>
    <row r="160" spans="1:15" x14ac:dyDescent="0.2">
      <c r="A160" s="205" t="s">
        <v>40</v>
      </c>
      <c r="D160" s="217">
        <f>$R$42</f>
        <v>17.246505727219606</v>
      </c>
      <c r="E160" s="217">
        <f>D160*E140</f>
        <v>94424.618856527348</v>
      </c>
      <c r="F160" s="426"/>
      <c r="G160" s="797"/>
      <c r="H160" s="205" t="s">
        <v>40</v>
      </c>
      <c r="K160" s="217">
        <f>$R$42</f>
        <v>17.246505727219606</v>
      </c>
      <c r="L160" s="217">
        <f>K160*L140</f>
        <v>94424.618856527348</v>
      </c>
      <c r="M160" s="798"/>
      <c r="N160" s="797"/>
    </row>
    <row r="161" spans="1:15" x14ac:dyDescent="0.2">
      <c r="A161" s="205" t="s">
        <v>41</v>
      </c>
      <c r="D161" s="217">
        <f>$R$43</f>
        <v>2.2794520547945205</v>
      </c>
      <c r="E161" s="217">
        <f>D161*E140</f>
        <v>12480</v>
      </c>
      <c r="F161" s="426"/>
      <c r="G161" s="797"/>
      <c r="H161" s="205" t="s">
        <v>41</v>
      </c>
      <c r="K161" s="217">
        <f>$R$43</f>
        <v>2.2794520547945205</v>
      </c>
      <c r="L161" s="217">
        <f>K161*L140</f>
        <v>12480</v>
      </c>
      <c r="M161" s="798"/>
      <c r="N161" s="797"/>
    </row>
    <row r="162" spans="1:15" x14ac:dyDescent="0.2">
      <c r="A162" s="205" t="s">
        <v>42</v>
      </c>
      <c r="D162" s="217">
        <f>$R$44</f>
        <v>-1.9951315068493152</v>
      </c>
      <c r="E162" s="217">
        <f>D162*E140</f>
        <v>-10923.345000000001</v>
      </c>
      <c r="F162" s="799"/>
      <c r="G162" s="797"/>
      <c r="H162" s="205" t="s">
        <v>42</v>
      </c>
      <c r="K162" s="217">
        <f>$R$44</f>
        <v>-1.9951315068493152</v>
      </c>
      <c r="L162" s="217">
        <f>K162*L140</f>
        <v>-10923.345000000001</v>
      </c>
      <c r="M162" s="798"/>
      <c r="N162" s="797"/>
    </row>
    <row r="163" spans="1:15" x14ac:dyDescent="0.2">
      <c r="D163" s="219">
        <f>SUM(D159:D162)</f>
        <v>40.815865903487733</v>
      </c>
      <c r="F163" s="799"/>
      <c r="G163" s="183"/>
      <c r="K163" s="219">
        <f>SUM(K159:K162)</f>
        <v>40.815865903487733</v>
      </c>
      <c r="M163" s="426"/>
      <c r="N163" s="183"/>
    </row>
    <row r="164" spans="1:15" x14ac:dyDescent="0.2">
      <c r="F164" s="799"/>
      <c r="G164" s="183"/>
      <c r="M164" s="426"/>
      <c r="N164" s="183"/>
    </row>
    <row r="165" spans="1:15" x14ac:dyDescent="0.2">
      <c r="A165" s="208" t="s">
        <v>43</v>
      </c>
      <c r="B165" s="208"/>
      <c r="C165" s="208"/>
      <c r="D165" s="208"/>
      <c r="E165" s="175">
        <f>SUM(E157:E162)</f>
        <v>1248896.0514372396</v>
      </c>
      <c r="F165" s="799"/>
      <c r="G165" s="516"/>
      <c r="H165" s="208" t="s">
        <v>43</v>
      </c>
      <c r="I165" s="208"/>
      <c r="J165" s="208"/>
      <c r="K165" s="208"/>
      <c r="L165" s="175">
        <f>SUM(L157:L162)</f>
        <v>1263863.0007502495</v>
      </c>
      <c r="M165" s="764"/>
      <c r="N165" s="516"/>
    </row>
    <row r="166" spans="1:15" x14ac:dyDescent="0.2">
      <c r="F166" s="799"/>
      <c r="G166" s="183"/>
      <c r="M166" s="426"/>
      <c r="N166" s="183"/>
    </row>
    <row r="167" spans="1:15" x14ac:dyDescent="0.2">
      <c r="A167" s="177" t="s">
        <v>44</v>
      </c>
      <c r="C167" s="97">
        <f>$R$47</f>
        <v>0.11846733793705286</v>
      </c>
      <c r="E167" s="202">
        <f>C167*E165</f>
        <v>147953.3905738664</v>
      </c>
      <c r="F167" s="799"/>
      <c r="G167" s="513"/>
      <c r="H167" s="177" t="s">
        <v>44</v>
      </c>
      <c r="J167" s="97">
        <f>$R$47</f>
        <v>0.11846733793705286</v>
      </c>
      <c r="L167" s="202">
        <f>$J$167*L165</f>
        <v>149726.48521601749</v>
      </c>
      <c r="M167" s="761"/>
      <c r="N167" s="513"/>
    </row>
    <row r="168" spans="1:15" x14ac:dyDescent="0.2">
      <c r="F168" s="426"/>
      <c r="G168" s="183"/>
      <c r="M168" s="426"/>
      <c r="N168" s="183"/>
    </row>
    <row r="169" spans="1:15" ht="13.5" thickBot="1" x14ac:dyDescent="0.25">
      <c r="A169" s="224" t="s">
        <v>52</v>
      </c>
      <c r="B169" s="225"/>
      <c r="C169" s="225"/>
      <c r="D169" s="225"/>
      <c r="E169" s="226">
        <f>SUM(E165:E167)</f>
        <v>1396849.4420111061</v>
      </c>
      <c r="F169" s="426"/>
      <c r="G169" s="516"/>
      <c r="H169" s="224" t="s">
        <v>52</v>
      </c>
      <c r="I169" s="225"/>
      <c r="J169" s="225"/>
      <c r="K169" s="225"/>
      <c r="L169" s="226">
        <f>SUM(L165:L167)</f>
        <v>1413589.4859662671</v>
      </c>
      <c r="M169" s="510">
        <f>L169</f>
        <v>1413589.4859662671</v>
      </c>
      <c r="N169" s="516"/>
    </row>
    <row r="170" spans="1:15" ht="13.5" thickTop="1" x14ac:dyDescent="0.2">
      <c r="F170" s="426"/>
      <c r="G170" s="183"/>
      <c r="M170" s="426"/>
      <c r="N170" s="183"/>
    </row>
    <row r="171" spans="1:15" x14ac:dyDescent="0.2">
      <c r="A171" s="177" t="s">
        <v>53</v>
      </c>
      <c r="C171" s="98">
        <f>$R$49</f>
        <v>5.3904190379097106E-2</v>
      </c>
      <c r="E171" s="229">
        <f>E169*(1+C171)</f>
        <v>1472145.4802642083</v>
      </c>
      <c r="F171" s="426"/>
      <c r="G171" s="770"/>
      <c r="H171" s="177" t="s">
        <v>53</v>
      </c>
      <c r="J171" s="98">
        <f>$R$49</f>
        <v>5.3904190379097106E-2</v>
      </c>
      <c r="L171" s="229">
        <f>L169*(1+$J$171)</f>
        <v>1489787.8827356827</v>
      </c>
      <c r="M171" s="771">
        <f>M169*(1+$J$171)</f>
        <v>1489787.8827356827</v>
      </c>
      <c r="N171" s="770"/>
    </row>
    <row r="172" spans="1:15" x14ac:dyDescent="0.2">
      <c r="F172" s="426"/>
      <c r="G172" s="183"/>
      <c r="M172" s="426"/>
      <c r="N172" s="183"/>
    </row>
    <row r="173" spans="1:15" x14ac:dyDescent="0.2">
      <c r="E173" s="92" t="s">
        <v>56</v>
      </c>
      <c r="F173" s="426"/>
      <c r="G173" s="397"/>
      <c r="L173" s="92" t="s">
        <v>56</v>
      </c>
      <c r="M173" s="409" t="s">
        <v>56</v>
      </c>
      <c r="N173" s="397"/>
    </row>
    <row r="174" spans="1:15" ht="13.5" thickBot="1" x14ac:dyDescent="0.25">
      <c r="A174" s="177" t="s">
        <v>55</v>
      </c>
      <c r="D174" s="231">
        <f>E169/E140</f>
        <v>255.1323181755445</v>
      </c>
      <c r="E174" s="231">
        <f>D174*(1+C171)</f>
        <v>268.88501922633941</v>
      </c>
      <c r="F174" s="426"/>
      <c r="G174" s="770"/>
      <c r="H174" s="177" t="s">
        <v>55</v>
      </c>
      <c r="K174" s="231">
        <f>L169/L140</f>
        <v>258.18986045045972</v>
      </c>
      <c r="L174" s="231">
        <f>K174*(1+$J$171)</f>
        <v>272.10737584213382</v>
      </c>
      <c r="M174" s="771">
        <f>M171/12</f>
        <v>124148.99022797355</v>
      </c>
      <c r="N174" s="770"/>
    </row>
    <row r="175" spans="1:15" ht="13.5" thickBot="1" x14ac:dyDescent="0.25">
      <c r="A175" s="377" t="s">
        <v>455</v>
      </c>
      <c r="B175" s="377"/>
      <c r="C175" s="479">
        <f>'[6]CAF Spring 2015'!BC24</f>
        <v>2.0354406130268236E-2</v>
      </c>
      <c r="D175" s="469"/>
      <c r="E175" s="469"/>
      <c r="F175" s="788">
        <f>E174*(1+C175)</f>
        <v>274.35801411001734</v>
      </c>
      <c r="G175" s="770"/>
      <c r="H175" s="377" t="s">
        <v>455</v>
      </c>
      <c r="I175" s="377"/>
      <c r="J175" s="479">
        <f>'[6]CAF Spring 2015'!BC24</f>
        <v>2.0354406130268236E-2</v>
      </c>
      <c r="K175" s="469"/>
      <c r="L175" s="780">
        <f>L174*(1+$J$175)</f>
        <v>277.64595988106618</v>
      </c>
      <c r="M175" s="816">
        <f>ROUND(M174*(1+$J$175),0)</f>
        <v>126676</v>
      </c>
      <c r="N175" s="770"/>
    </row>
    <row r="176" spans="1:15" ht="13.5" thickBot="1" x14ac:dyDescent="0.25">
      <c r="A176" s="78" t="s">
        <v>54</v>
      </c>
      <c r="B176" s="79">
        <v>0.9</v>
      </c>
      <c r="C176" s="80"/>
      <c r="D176" s="235">
        <f>E169/(E140*B176)</f>
        <v>283.48035352838275</v>
      </c>
      <c r="E176" s="802">
        <f>D176*(1+C171)</f>
        <v>298.76113247371046</v>
      </c>
      <c r="F176" s="773"/>
      <c r="G176" s="774"/>
      <c r="H176" s="78" t="s">
        <v>54</v>
      </c>
      <c r="I176" s="79">
        <v>0.9</v>
      </c>
      <c r="J176" s="80"/>
      <c r="K176" s="235"/>
      <c r="L176" s="805"/>
      <c r="M176" s="814"/>
      <c r="N176" s="774"/>
      <c r="O176" s="217"/>
    </row>
    <row r="177" spans="1:15" ht="13.5" thickBot="1" x14ac:dyDescent="0.25">
      <c r="A177" s="474"/>
      <c r="B177" s="475">
        <v>0.85</v>
      </c>
      <c r="C177" s="476"/>
      <c r="D177" s="778">
        <f>E169/(E140*B177)</f>
        <v>300.15566844181706</v>
      </c>
      <c r="E177" s="779">
        <f>D177*(1+C171)</f>
        <v>316.33531673686991</v>
      </c>
      <c r="F177" s="780">
        <f>F175/B177</f>
        <v>322.77413424707925</v>
      </c>
      <c r="G177" s="774"/>
      <c r="H177" s="474"/>
      <c r="I177" s="475">
        <v>0.85</v>
      </c>
      <c r="J177" s="476"/>
      <c r="K177" s="778"/>
      <c r="L177" s="805">
        <f>L175/$I$177</f>
        <v>326.64230574243078</v>
      </c>
      <c r="M177" s="814"/>
      <c r="N177" s="774"/>
      <c r="O177" s="217"/>
    </row>
    <row r="178" spans="1:15" x14ac:dyDescent="0.2">
      <c r="A178" s="784"/>
      <c r="B178" s="785">
        <v>0.8</v>
      </c>
      <c r="C178" s="786"/>
      <c r="D178" s="787">
        <f>E169/(E140*B178)</f>
        <v>318.91539771943059</v>
      </c>
      <c r="E178" s="808">
        <f>D178*(1+C171)</f>
        <v>336.10627403292426</v>
      </c>
      <c r="F178" s="788"/>
      <c r="G178" s="774"/>
      <c r="H178" s="784"/>
      <c r="I178" s="785">
        <v>0.8</v>
      </c>
      <c r="J178" s="786"/>
      <c r="K178" s="787"/>
      <c r="L178" s="810"/>
      <c r="M178" s="815"/>
      <c r="N178" s="774"/>
    </row>
  </sheetData>
  <mergeCells count="18">
    <mergeCell ref="P1:T1"/>
    <mergeCell ref="Q3:R3"/>
    <mergeCell ref="A6:E7"/>
    <mergeCell ref="F6:F7"/>
    <mergeCell ref="H6:L7"/>
    <mergeCell ref="M6:M7"/>
    <mergeCell ref="A138:E139"/>
    <mergeCell ref="F138:F139"/>
    <mergeCell ref="H138:L139"/>
    <mergeCell ref="M138:M139"/>
    <mergeCell ref="A50:E51"/>
    <mergeCell ref="F50:F51"/>
    <mergeCell ref="H50:L51"/>
    <mergeCell ref="M50:M51"/>
    <mergeCell ref="A94:E95"/>
    <mergeCell ref="F94:F95"/>
    <mergeCell ref="H94:L95"/>
    <mergeCell ref="M94:M95"/>
  </mergeCells>
  <pageMargins left="0.7" right="0.7" top="0.75" bottom="0.75" header="0.3" footer="0.3"/>
  <pageSetup scale="52" fitToHeight="0" orientation="landscape" r:id="rId1"/>
  <headerFooter>
    <oddFooter>&amp;R2016-04-12
&amp;A
Caring Together rate review</oddFooter>
  </headerFooter>
  <rowBreaks count="3" manualBreakCount="3">
    <brk id="49" max="21" man="1"/>
    <brk id="93" max="21" man="1"/>
    <brk id="137" max="21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opLeftCell="A133" zoomScale="70" zoomScaleNormal="70" zoomScaleSheetLayoutView="70" workbookViewId="0">
      <selection activeCell="A86" sqref="A86:XFD86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customWidth="1"/>
    <col min="6" max="7" width="13.140625" style="23" hidden="1" customWidth="1"/>
    <col min="8" max="8" width="13.140625" style="23" customWidth="1"/>
    <col min="9" max="9" width="13.140625" style="281" customWidth="1"/>
    <col min="10" max="10" width="9.140625" style="23"/>
    <col min="11" max="11" width="31.85546875" style="23" bestFit="1" customWidth="1"/>
    <col min="12" max="12" width="10.7109375" style="23" customWidth="1"/>
    <col min="13" max="13" width="10.140625" style="23" customWidth="1"/>
    <col min="14" max="14" width="12.42578125" style="23" bestFit="1" customWidth="1"/>
    <col min="15" max="15" width="10.140625" style="23" customWidth="1"/>
    <col min="16" max="16384" width="9.140625" style="23"/>
  </cols>
  <sheetData>
    <row r="1" spans="1:16" ht="13.9" thickBot="1" x14ac:dyDescent="0.3">
      <c r="K1" s="1431" t="s">
        <v>8</v>
      </c>
      <c r="L1" s="1431"/>
      <c r="M1" s="1431"/>
      <c r="N1" s="1431"/>
    </row>
    <row r="2" spans="1:16" ht="13.9" thickBot="1" x14ac:dyDescent="0.3"/>
    <row r="3" spans="1:16" ht="13.15" x14ac:dyDescent="0.25">
      <c r="K3" s="5" t="s">
        <v>9</v>
      </c>
      <c r="L3" s="1432" t="s">
        <v>10</v>
      </c>
      <c r="M3" s="1432"/>
      <c r="N3" s="6"/>
      <c r="O3" s="24"/>
      <c r="P3" s="24"/>
    </row>
    <row r="4" spans="1:16" ht="13.15" x14ac:dyDescent="0.25">
      <c r="K4" s="7"/>
      <c r="L4" s="8" t="s">
        <v>11</v>
      </c>
      <c r="M4" s="9" t="s">
        <v>12</v>
      </c>
      <c r="N4" s="10"/>
      <c r="O4" s="24"/>
      <c r="P4" s="24"/>
    </row>
    <row r="5" spans="1:16" ht="13.9" thickBot="1" x14ac:dyDescent="0.3">
      <c r="G5" s="281"/>
      <c r="H5" s="281"/>
      <c r="K5" s="11" t="s">
        <v>13</v>
      </c>
      <c r="L5" s="12">
        <v>13</v>
      </c>
      <c r="M5" s="13">
        <f>L5*8</f>
        <v>104</v>
      </c>
      <c r="N5" s="10"/>
      <c r="O5" s="24"/>
      <c r="P5" s="24"/>
    </row>
    <row r="6" spans="1:16" ht="13.9" customHeight="1" thickBot="1" x14ac:dyDescent="0.25">
      <c r="A6" s="1481" t="s">
        <v>786</v>
      </c>
      <c r="B6" s="1482"/>
      <c r="C6" s="1482"/>
      <c r="D6" s="1482"/>
      <c r="E6" s="1483"/>
      <c r="F6" s="1476" t="s">
        <v>460</v>
      </c>
      <c r="G6" s="1095"/>
      <c r="H6" s="1478" t="s">
        <v>788</v>
      </c>
      <c r="I6" s="506"/>
      <c r="K6" s="11" t="s">
        <v>14</v>
      </c>
      <c r="L6" s="12">
        <v>10</v>
      </c>
      <c r="M6" s="13">
        <f>L6*8</f>
        <v>80</v>
      </c>
      <c r="N6" s="10"/>
      <c r="O6" s="24"/>
      <c r="P6" s="24"/>
    </row>
    <row r="7" spans="1:16" ht="13.5" thickBot="1" x14ac:dyDescent="0.25">
      <c r="A7" s="1473" t="s">
        <v>102</v>
      </c>
      <c r="B7" s="1474"/>
      <c r="C7" s="1474"/>
      <c r="D7" s="1474"/>
      <c r="E7" s="1475"/>
      <c r="F7" s="1477"/>
      <c r="G7" s="507"/>
      <c r="H7" s="1479"/>
      <c r="I7" s="506"/>
      <c r="K7" s="11" t="s">
        <v>15</v>
      </c>
      <c r="L7" s="12">
        <v>11</v>
      </c>
      <c r="M7" s="13">
        <f>L7*8</f>
        <v>88</v>
      </c>
      <c r="N7" s="10"/>
      <c r="O7" s="24"/>
      <c r="P7" s="24"/>
    </row>
    <row r="8" spans="1:16" ht="13.15" x14ac:dyDescent="0.25">
      <c r="A8" s="50" t="s">
        <v>0</v>
      </c>
      <c r="B8" s="566">
        <f>L$28</f>
        <v>12</v>
      </c>
      <c r="C8" s="120"/>
      <c r="D8" s="120" t="s">
        <v>1</v>
      </c>
      <c r="E8" s="1059">
        <f>B8*365</f>
        <v>4380</v>
      </c>
      <c r="F8" s="104"/>
      <c r="G8" s="29"/>
      <c r="H8" s="41"/>
      <c r="I8" s="162"/>
      <c r="K8" s="14" t="s">
        <v>16</v>
      </c>
      <c r="L8" s="15">
        <v>7</v>
      </c>
      <c r="M8" s="16">
        <f>L8*8</f>
        <v>56</v>
      </c>
      <c r="N8" s="17"/>
      <c r="O8" s="24"/>
      <c r="P8" s="24"/>
    </row>
    <row r="9" spans="1:16" ht="13.15" x14ac:dyDescent="0.25">
      <c r="A9" s="43"/>
      <c r="B9" s="29"/>
      <c r="C9" s="29"/>
      <c r="D9" s="29"/>
      <c r="E9" s="41"/>
      <c r="F9" s="41"/>
      <c r="G9" s="29"/>
      <c r="H9" s="41"/>
      <c r="I9" s="162"/>
      <c r="K9" s="11"/>
      <c r="L9" s="18" t="s">
        <v>17</v>
      </c>
      <c r="M9" s="13">
        <f>SUM(M5:M8)</f>
        <v>328</v>
      </c>
      <c r="N9" s="19"/>
      <c r="O9" s="24"/>
      <c r="P9" s="24"/>
    </row>
    <row r="10" spans="1:16" ht="13.9" thickBot="1" x14ac:dyDescent="0.3">
      <c r="A10" s="1060"/>
      <c r="B10" s="26"/>
      <c r="C10" s="27" t="s">
        <v>2</v>
      </c>
      <c r="D10" s="27" t="s">
        <v>3</v>
      </c>
      <c r="E10" s="1075" t="s">
        <v>4</v>
      </c>
      <c r="F10" s="41"/>
      <c r="G10" s="29"/>
      <c r="H10" s="41"/>
      <c r="I10" s="162"/>
      <c r="K10" s="20"/>
      <c r="L10" s="21" t="s">
        <v>18</v>
      </c>
      <c r="M10" s="22">
        <f>M9/(52*40)</f>
        <v>0.15769230769230769</v>
      </c>
      <c r="N10" s="56"/>
    </row>
    <row r="11" spans="1:16" ht="13.9" thickBot="1" x14ac:dyDescent="0.3">
      <c r="A11" s="1062" t="s">
        <v>19</v>
      </c>
      <c r="B11" s="29"/>
      <c r="C11" s="40">
        <f>M$13</f>
        <v>56249</v>
      </c>
      <c r="D11" s="46">
        <f>L$29</f>
        <v>1.75</v>
      </c>
      <c r="E11" s="1063">
        <f>C11*D11</f>
        <v>98435.75</v>
      </c>
      <c r="F11" s="41"/>
      <c r="G11" s="29"/>
      <c r="H11" s="41"/>
      <c r="I11" s="162"/>
    </row>
    <row r="12" spans="1:16" ht="13.15" x14ac:dyDescent="0.25">
      <c r="A12" s="7" t="s">
        <v>227</v>
      </c>
      <c r="B12" s="29"/>
      <c r="C12" s="40"/>
      <c r="D12" s="46"/>
      <c r="E12" s="1063"/>
      <c r="F12" s="41"/>
      <c r="G12" s="29"/>
      <c r="H12" s="41"/>
      <c r="I12" s="162"/>
      <c r="K12" s="36"/>
      <c r="L12" s="37"/>
      <c r="M12" s="38" t="s">
        <v>75</v>
      </c>
      <c r="N12" s="38"/>
      <c r="O12" s="39"/>
    </row>
    <row r="13" spans="1:16" ht="13.15" x14ac:dyDescent="0.25">
      <c r="A13" s="11" t="s">
        <v>24</v>
      </c>
      <c r="B13" s="29"/>
      <c r="C13" s="40">
        <f>M15</f>
        <v>69550</v>
      </c>
      <c r="D13" s="46">
        <f>L31</f>
        <v>0.25</v>
      </c>
      <c r="E13" s="1063">
        <f t="shared" ref="E13:E20" si="0">C13*D13</f>
        <v>17387.5</v>
      </c>
      <c r="F13" s="41"/>
      <c r="G13" s="29"/>
      <c r="H13" s="41"/>
      <c r="I13" s="162"/>
      <c r="K13" s="7" t="s">
        <v>19</v>
      </c>
      <c r="L13" s="29"/>
      <c r="M13" s="40">
        <v>56249</v>
      </c>
      <c r="N13" s="40"/>
      <c r="O13" s="99"/>
    </row>
    <row r="14" spans="1:16" ht="13.15" x14ac:dyDescent="0.25">
      <c r="A14" s="7" t="s">
        <v>5</v>
      </c>
      <c r="B14" s="29"/>
      <c r="C14" s="40"/>
      <c r="D14" s="46"/>
      <c r="E14" s="1063"/>
      <c r="F14" s="41"/>
      <c r="G14" s="29"/>
      <c r="H14" s="41"/>
      <c r="I14" s="162"/>
      <c r="K14" s="7" t="s">
        <v>227</v>
      </c>
      <c r="L14" s="29"/>
      <c r="M14" s="40"/>
      <c r="N14" s="40"/>
      <c r="O14" s="99"/>
    </row>
    <row r="15" spans="1:16" ht="13.15" x14ac:dyDescent="0.25">
      <c r="A15" s="7" t="s">
        <v>103</v>
      </c>
      <c r="B15" s="29"/>
      <c r="C15" s="40">
        <f>M18</f>
        <v>24605</v>
      </c>
      <c r="D15" s="46">
        <f>L34</f>
        <v>1</v>
      </c>
      <c r="E15" s="1063">
        <f>C15*D15</f>
        <v>24605</v>
      </c>
      <c r="F15" s="41"/>
      <c r="G15" s="29"/>
      <c r="H15" s="41"/>
      <c r="I15" s="162"/>
      <c r="K15" s="11" t="s">
        <v>24</v>
      </c>
      <c r="L15" s="29"/>
      <c r="M15" s="40">
        <v>69550</v>
      </c>
      <c r="N15" s="93" t="s">
        <v>69</v>
      </c>
      <c r="O15" s="99"/>
    </row>
    <row r="16" spans="1:16" ht="13.15" x14ac:dyDescent="0.25">
      <c r="A16" s="11" t="s">
        <v>59</v>
      </c>
      <c r="B16" s="29"/>
      <c r="C16" s="280">
        <f>M19</f>
        <v>47586</v>
      </c>
      <c r="D16" s="46">
        <f>L35</f>
        <v>2</v>
      </c>
      <c r="E16" s="1063">
        <f t="shared" si="0"/>
        <v>95172</v>
      </c>
      <c r="F16" s="41"/>
      <c r="G16" s="29"/>
      <c r="H16" s="41"/>
      <c r="I16" s="162"/>
      <c r="K16" s="11" t="s">
        <v>26</v>
      </c>
      <c r="L16" s="29"/>
      <c r="M16" s="280">
        <v>53770</v>
      </c>
      <c r="N16" s="93"/>
      <c r="O16" s="99"/>
    </row>
    <row r="17" spans="1:16" ht="13.15" x14ac:dyDescent="0.25">
      <c r="A17" s="11" t="s">
        <v>30</v>
      </c>
      <c r="B17" s="29"/>
      <c r="C17" s="1089">
        <f>M21</f>
        <v>30649</v>
      </c>
      <c r="D17" s="46">
        <f>L37</f>
        <v>11.5</v>
      </c>
      <c r="E17" s="1063">
        <f t="shared" si="0"/>
        <v>352463.5</v>
      </c>
      <c r="F17" s="41"/>
      <c r="G17" s="29"/>
      <c r="H17" s="41"/>
      <c r="I17" s="162"/>
      <c r="K17" s="7" t="s">
        <v>5</v>
      </c>
      <c r="L17" s="29"/>
      <c r="M17" s="40"/>
      <c r="N17" s="93"/>
      <c r="O17" s="99"/>
    </row>
    <row r="18" spans="1:16" ht="13.15" x14ac:dyDescent="0.25">
      <c r="A18" s="42" t="s">
        <v>31</v>
      </c>
      <c r="B18" s="29"/>
      <c r="C18" s="40">
        <f>M22</f>
        <v>30649</v>
      </c>
      <c r="D18" s="195">
        <f>L38</f>
        <v>1.8134615384615385</v>
      </c>
      <c r="E18" s="1063">
        <f>C18*D18</f>
        <v>55580.782692307694</v>
      </c>
      <c r="F18" s="41"/>
      <c r="G18" s="29"/>
      <c r="H18" s="41"/>
      <c r="I18" s="162"/>
      <c r="K18" s="11" t="s">
        <v>85</v>
      </c>
      <c r="L18" s="29"/>
      <c r="M18" s="40">
        <v>24605</v>
      </c>
      <c r="N18" s="93"/>
      <c r="O18" s="99"/>
      <c r="P18" s="177"/>
    </row>
    <row r="19" spans="1:16" ht="13.15" x14ac:dyDescent="0.25">
      <c r="A19" s="7" t="s">
        <v>6</v>
      </c>
      <c r="B19" s="29"/>
      <c r="C19" s="40"/>
      <c r="D19" s="46"/>
      <c r="E19" s="1063"/>
      <c r="F19" s="41"/>
      <c r="G19" s="29"/>
      <c r="H19" s="41"/>
      <c r="I19" s="162"/>
      <c r="K19" s="11" t="s">
        <v>59</v>
      </c>
      <c r="L19" s="29"/>
      <c r="M19" s="40">
        <v>47586</v>
      </c>
      <c r="N19" s="93"/>
      <c r="O19" s="99"/>
    </row>
    <row r="20" spans="1:16" ht="13.15" x14ac:dyDescent="0.25">
      <c r="A20" s="11" t="s">
        <v>32</v>
      </c>
      <c r="B20" s="29"/>
      <c r="C20" s="40">
        <f>M24</f>
        <v>30649</v>
      </c>
      <c r="D20" s="46">
        <f>L40</f>
        <v>0.25</v>
      </c>
      <c r="E20" s="1063">
        <f t="shared" si="0"/>
        <v>7662.25</v>
      </c>
      <c r="F20" s="41"/>
      <c r="G20" s="29"/>
      <c r="H20" s="41"/>
      <c r="I20" s="162"/>
      <c r="K20" s="11" t="s">
        <v>60</v>
      </c>
      <c r="L20" s="29"/>
      <c r="M20" s="40">
        <f>36305*(5.39%+1)*(2.04%+1)</f>
        <v>39042.381025800001</v>
      </c>
      <c r="N20" s="93"/>
      <c r="O20" s="99"/>
    </row>
    <row r="21" spans="1:16" ht="13.15" x14ac:dyDescent="0.25">
      <c r="A21" s="1065" t="s">
        <v>7</v>
      </c>
      <c r="B21" s="31"/>
      <c r="C21" s="31"/>
      <c r="D21" s="32">
        <f>SUM(D11:D20)</f>
        <v>18.563461538461539</v>
      </c>
      <c r="E21" s="1076">
        <f>SUM(E11:E20)</f>
        <v>651306.78269230772</v>
      </c>
      <c r="F21" s="41"/>
      <c r="G21" s="29"/>
      <c r="H21" s="41"/>
      <c r="I21" s="162"/>
      <c r="K21" s="11" t="s">
        <v>30</v>
      </c>
      <c r="L21" s="29"/>
      <c r="M21" s="40">
        <v>30649</v>
      </c>
      <c r="N21" s="93"/>
      <c r="O21" s="99"/>
    </row>
    <row r="22" spans="1:16" ht="13.15" x14ac:dyDescent="0.25">
      <c r="A22" s="43"/>
      <c r="B22" s="29"/>
      <c r="C22" s="29"/>
      <c r="D22" s="29"/>
      <c r="E22" s="41"/>
      <c r="F22" s="41"/>
      <c r="G22" s="29"/>
      <c r="H22" s="41"/>
      <c r="I22" s="162"/>
      <c r="K22" s="42" t="s">
        <v>31</v>
      </c>
      <c r="L22" s="29"/>
      <c r="M22" s="40">
        <f>M21</f>
        <v>30649</v>
      </c>
      <c r="N22" s="93"/>
      <c r="O22" s="99"/>
    </row>
    <row r="23" spans="1:16" ht="13.15" x14ac:dyDescent="0.25">
      <c r="A23" s="50" t="s">
        <v>21</v>
      </c>
      <c r="B23" s="29"/>
      <c r="C23" s="29"/>
      <c r="D23" s="120" t="s">
        <v>20</v>
      </c>
      <c r="E23" s="41"/>
      <c r="F23" s="41"/>
      <c r="G23" s="29"/>
      <c r="H23" s="41"/>
      <c r="I23" s="162"/>
      <c r="K23" s="7" t="s">
        <v>6</v>
      </c>
      <c r="L23" s="29"/>
      <c r="M23" s="40"/>
      <c r="N23" s="93"/>
      <c r="O23" s="99"/>
    </row>
    <row r="24" spans="1:16" ht="13.15" x14ac:dyDescent="0.25">
      <c r="A24" s="43" t="s">
        <v>22</v>
      </c>
      <c r="B24" s="29"/>
      <c r="C24" s="573">
        <f>$M$43</f>
        <v>0.23424901786252411</v>
      </c>
      <c r="D24" s="29"/>
      <c r="E24" s="1063">
        <f>C24*E21</f>
        <v>152567.97417287351</v>
      </c>
      <c r="F24" s="41"/>
      <c r="G24" s="29"/>
      <c r="H24" s="41"/>
      <c r="I24" s="162"/>
      <c r="K24" s="11" t="s">
        <v>32</v>
      </c>
      <c r="L24" s="29"/>
      <c r="M24" s="40">
        <v>30649</v>
      </c>
      <c r="N24" s="93" t="s">
        <v>70</v>
      </c>
      <c r="O24" s="99"/>
    </row>
    <row r="25" spans="1:16" ht="13.15" x14ac:dyDescent="0.25">
      <c r="A25" s="1065" t="s">
        <v>51</v>
      </c>
      <c r="B25" s="31"/>
      <c r="C25" s="31"/>
      <c r="D25" s="70">
        <f>E25/E8</f>
        <v>183.53304951259847</v>
      </c>
      <c r="E25" s="1076">
        <f>E24+E21</f>
        <v>803874.75686518126</v>
      </c>
      <c r="F25" s="41"/>
      <c r="G25" s="29"/>
      <c r="H25" s="41"/>
      <c r="I25" s="162"/>
      <c r="K25" s="11"/>
      <c r="L25" s="29"/>
      <c r="M25" s="40"/>
      <c r="N25" s="40"/>
      <c r="O25" s="41"/>
    </row>
    <row r="26" spans="1:16" ht="13.15" x14ac:dyDescent="0.25">
      <c r="A26" s="43"/>
      <c r="B26" s="29"/>
      <c r="C26" s="29"/>
      <c r="D26" s="29"/>
      <c r="E26" s="41"/>
      <c r="F26" s="41"/>
      <c r="G26" s="29"/>
      <c r="H26" s="41"/>
      <c r="I26" s="162"/>
      <c r="K26" s="43"/>
      <c r="L26" s="29"/>
      <c r="M26" s="44" t="s">
        <v>37</v>
      </c>
      <c r="N26" s="44"/>
      <c r="O26" s="41"/>
    </row>
    <row r="27" spans="1:16" ht="13.15" x14ac:dyDescent="0.25">
      <c r="A27" s="43" t="s">
        <v>39</v>
      </c>
      <c r="B27" s="29"/>
      <c r="C27" s="29"/>
      <c r="D27" s="61">
        <f>$M$45</f>
        <v>27.74</v>
      </c>
      <c r="E27" s="1077">
        <f>D27*E8</f>
        <v>121501.2</v>
      </c>
      <c r="F27" s="41"/>
      <c r="G27" s="29"/>
      <c r="H27" s="41"/>
      <c r="I27" s="162"/>
      <c r="K27" s="43" t="s">
        <v>35</v>
      </c>
      <c r="L27" s="65" t="s">
        <v>99</v>
      </c>
      <c r="M27" s="65" t="s">
        <v>95</v>
      </c>
      <c r="N27" s="65" t="s">
        <v>96</v>
      </c>
      <c r="O27" s="66" t="s">
        <v>97</v>
      </c>
    </row>
    <row r="28" spans="1:16" ht="13.15" x14ac:dyDescent="0.25">
      <c r="A28" s="43" t="s">
        <v>40</v>
      </c>
      <c r="B28" s="29"/>
      <c r="C28" s="29"/>
      <c r="D28" s="61">
        <f>$M$46</f>
        <v>12.872</v>
      </c>
      <c r="E28" s="1077">
        <f>D28*E8</f>
        <v>56379.360000000001</v>
      </c>
      <c r="F28" s="41"/>
      <c r="G28" s="29"/>
      <c r="H28" s="41"/>
      <c r="I28" s="162"/>
      <c r="K28" s="43" t="s">
        <v>36</v>
      </c>
      <c r="L28" s="57">
        <f>'[8]Rate Options'!$I$26</f>
        <v>12</v>
      </c>
      <c r="M28" s="57">
        <f>'[8]Rate Options'!$J$26</f>
        <v>10</v>
      </c>
      <c r="N28" s="57">
        <f>'[8]Rate Options'!$K$26</f>
        <v>5</v>
      </c>
      <c r="O28" s="67">
        <f>'[8]Rate Options'!$L$26</f>
        <v>4</v>
      </c>
    </row>
    <row r="29" spans="1:16" ht="13.15" x14ac:dyDescent="0.25">
      <c r="A29" s="43"/>
      <c r="B29" s="29"/>
      <c r="C29" s="29"/>
      <c r="D29" s="72">
        <f>SUM(D27:D28)</f>
        <v>40.611999999999995</v>
      </c>
      <c r="E29" s="41"/>
      <c r="F29" s="41"/>
      <c r="G29" s="29"/>
      <c r="H29" s="41"/>
      <c r="I29" s="162"/>
      <c r="K29" s="7" t="s">
        <v>19</v>
      </c>
      <c r="L29" s="185">
        <f>'[8]Rate Options'!I28</f>
        <v>1.75</v>
      </c>
      <c r="M29" s="185">
        <f>'[8]Rate Options'!J28</f>
        <v>1</v>
      </c>
      <c r="N29" s="185">
        <f>'[8]Rate Options'!K28</f>
        <v>1</v>
      </c>
      <c r="O29" s="186">
        <f>'[8]Rate Options'!L28</f>
        <v>0.2</v>
      </c>
    </row>
    <row r="30" spans="1:16" ht="13.15" x14ac:dyDescent="0.25">
      <c r="A30" s="43"/>
      <c r="B30" s="29"/>
      <c r="C30" s="29"/>
      <c r="D30" s="29"/>
      <c r="E30" s="41"/>
      <c r="F30" s="41"/>
      <c r="G30" s="29"/>
      <c r="H30" s="41"/>
      <c r="I30" s="162"/>
      <c r="K30" s="7" t="s">
        <v>227</v>
      </c>
      <c r="L30" s="185"/>
      <c r="M30" s="185"/>
      <c r="N30" s="185"/>
      <c r="O30" s="186"/>
    </row>
    <row r="31" spans="1:16" ht="13.15" x14ac:dyDescent="0.25">
      <c r="A31" s="1065" t="s">
        <v>43</v>
      </c>
      <c r="B31" s="31"/>
      <c r="C31" s="31"/>
      <c r="D31" s="31"/>
      <c r="E31" s="1076">
        <f>SUM(E25:E28)</f>
        <v>981755.3168651812</v>
      </c>
      <c r="F31" s="41"/>
      <c r="G31" s="29"/>
      <c r="H31" s="41"/>
      <c r="I31" s="162"/>
      <c r="K31" s="11" t="s">
        <v>24</v>
      </c>
      <c r="L31" s="185">
        <f>'[8]Rate Options'!I30</f>
        <v>0.25</v>
      </c>
      <c r="M31" s="185"/>
      <c r="N31" s="185"/>
      <c r="O31" s="186"/>
    </row>
    <row r="32" spans="1:16" ht="13.15" x14ac:dyDescent="0.25">
      <c r="A32" s="43"/>
      <c r="B32" s="29"/>
      <c r="C32" s="29"/>
      <c r="D32" s="29"/>
      <c r="E32" s="41"/>
      <c r="F32" s="41"/>
      <c r="G32" s="29"/>
      <c r="H32" s="41"/>
      <c r="I32" s="162"/>
      <c r="K32" s="11" t="s">
        <v>26</v>
      </c>
      <c r="L32" s="185"/>
      <c r="M32" s="185">
        <f>'[8]Rate Options'!J31</f>
        <v>0.13</v>
      </c>
      <c r="N32" s="185">
        <f>'[8]Rate Options'!K31</f>
        <v>0.13</v>
      </c>
      <c r="O32" s="186"/>
    </row>
    <row r="33" spans="1:17" ht="13.15" x14ac:dyDescent="0.25">
      <c r="A33" s="43" t="s">
        <v>44</v>
      </c>
      <c r="B33" s="29"/>
      <c r="C33" s="573">
        <f>$M$49</f>
        <v>0.11846733793705286</v>
      </c>
      <c r="D33" s="29"/>
      <c r="E33" s="1063">
        <f>C33*E31</f>
        <v>116305.93889456583</v>
      </c>
      <c r="F33" s="41"/>
      <c r="G33" s="29"/>
      <c r="H33" s="41"/>
      <c r="I33" s="162"/>
      <c r="K33" s="7" t="s">
        <v>5</v>
      </c>
      <c r="L33" s="185"/>
      <c r="M33" s="185"/>
      <c r="N33" s="185"/>
      <c r="O33" s="186"/>
    </row>
    <row r="34" spans="1:17" ht="13.15" x14ac:dyDescent="0.25">
      <c r="A34" s="43"/>
      <c r="B34" s="29"/>
      <c r="C34" s="29"/>
      <c r="D34" s="29"/>
      <c r="E34" s="41"/>
      <c r="F34" s="41"/>
      <c r="G34" s="29"/>
      <c r="H34" s="41"/>
      <c r="I34" s="162"/>
      <c r="K34" s="11" t="s">
        <v>85</v>
      </c>
      <c r="L34" s="185">
        <f>'[8]Rate Options'!I33</f>
        <v>1</v>
      </c>
      <c r="M34" s="185">
        <f>'[8]Rate Options'!J33</f>
        <v>0.5</v>
      </c>
      <c r="N34" s="185">
        <f>'[8]Rate Options'!K33</f>
        <v>0.5</v>
      </c>
      <c r="O34" s="186"/>
    </row>
    <row r="35" spans="1:17" ht="13.9" thickBot="1" x14ac:dyDescent="0.3">
      <c r="A35" s="1067" t="s">
        <v>52</v>
      </c>
      <c r="B35" s="74"/>
      <c r="C35" s="74"/>
      <c r="D35" s="74"/>
      <c r="E35" s="1078">
        <f>SUM(E31:E33)</f>
        <v>1098061.255759747</v>
      </c>
      <c r="F35" s="41"/>
      <c r="G35" s="29"/>
      <c r="H35" s="41"/>
      <c r="I35" s="162"/>
      <c r="K35" s="11" t="s">
        <v>59</v>
      </c>
      <c r="L35" s="185">
        <f>'[8]Rate Options'!I34</f>
        <v>2</v>
      </c>
      <c r="M35" s="185"/>
      <c r="N35" s="185"/>
      <c r="O35" s="186"/>
    </row>
    <row r="36" spans="1:17" ht="13.9" thickTop="1" x14ac:dyDescent="0.25">
      <c r="A36" s="43"/>
      <c r="B36" s="29"/>
      <c r="C36" s="29"/>
      <c r="D36" s="29"/>
      <c r="E36" s="41"/>
      <c r="F36" s="41"/>
      <c r="G36" s="29"/>
      <c r="H36" s="41"/>
      <c r="I36" s="162"/>
      <c r="K36" s="11" t="s">
        <v>60</v>
      </c>
      <c r="L36" s="185"/>
      <c r="M36" s="185">
        <f>'[8]Rate Options'!J35</f>
        <v>1</v>
      </c>
      <c r="N36" s="185">
        <f>'[8]Rate Options'!K35</f>
        <v>0.5</v>
      </c>
      <c r="O36" s="186">
        <f>'[8]Rate Options'!L35</f>
        <v>1</v>
      </c>
    </row>
    <row r="37" spans="1:17" ht="13.9" x14ac:dyDescent="0.3">
      <c r="A37" s="43"/>
      <c r="B37" s="29"/>
      <c r="C37" s="1090"/>
      <c r="D37" s="29"/>
      <c r="E37" s="1068">
        <f>E35*(1+C37)</f>
        <v>1098061.255759747</v>
      </c>
      <c r="F37" s="41"/>
      <c r="G37" s="29"/>
      <c r="H37" s="41"/>
      <c r="I37" s="162"/>
      <c r="K37" s="11" t="s">
        <v>30</v>
      </c>
      <c r="L37" s="185">
        <f>'[8]Rate Options'!I36</f>
        <v>11.5</v>
      </c>
      <c r="M37" s="185">
        <f>'[8]Rate Options'!J36</f>
        <v>8</v>
      </c>
      <c r="N37" s="185">
        <f>'[8]Rate Options'!K36</f>
        <v>3</v>
      </c>
      <c r="O37" s="186"/>
      <c r="P37" s="115"/>
    </row>
    <row r="38" spans="1:17" ht="13.15" x14ac:dyDescent="0.25">
      <c r="A38" s="43"/>
      <c r="B38" s="29"/>
      <c r="C38" s="29"/>
      <c r="D38" s="29"/>
      <c r="E38" s="41"/>
      <c r="F38" s="41"/>
      <c r="G38" s="29"/>
      <c r="H38" s="41"/>
      <c r="I38" s="162"/>
      <c r="K38" s="42" t="s">
        <v>31</v>
      </c>
      <c r="L38" s="187">
        <f>L37*$M$10</f>
        <v>1.8134615384615385</v>
      </c>
      <c r="M38" s="187">
        <f>M37*$M$10</f>
        <v>1.2615384615384615</v>
      </c>
      <c r="N38" s="187">
        <f>N37*$M$10</f>
        <v>0.47307692307692306</v>
      </c>
      <c r="O38" s="188"/>
    </row>
    <row r="39" spans="1:17" ht="13.15" x14ac:dyDescent="0.25">
      <c r="A39" s="43"/>
      <c r="B39" s="29"/>
      <c r="C39" s="29"/>
      <c r="D39" s="29"/>
      <c r="E39" s="1069" t="s">
        <v>787</v>
      </c>
      <c r="F39" s="41"/>
      <c r="G39" s="29"/>
      <c r="H39" s="41"/>
      <c r="I39" s="162"/>
      <c r="K39" s="7" t="s">
        <v>6</v>
      </c>
      <c r="L39" s="185"/>
      <c r="M39" s="185"/>
      <c r="N39" s="185"/>
      <c r="O39" s="186"/>
    </row>
    <row r="40" spans="1:17" ht="13.15" x14ac:dyDescent="0.25">
      <c r="A40" s="43" t="s">
        <v>55</v>
      </c>
      <c r="B40" s="29"/>
      <c r="C40" s="29"/>
      <c r="D40" s="428">
        <f>E35/E8</f>
        <v>250.69891684012489</v>
      </c>
      <c r="E40" s="1079">
        <f>D40*(1+C37)</f>
        <v>250.69891684012489</v>
      </c>
      <c r="F40" s="41"/>
      <c r="G40" s="29"/>
      <c r="H40" s="41"/>
      <c r="I40" s="162"/>
      <c r="K40" s="11" t="s">
        <v>32</v>
      </c>
      <c r="L40" s="185">
        <f>'[8]Rate Options'!I39</f>
        <v>0.25</v>
      </c>
      <c r="M40" s="185">
        <f>'[8]Rate Options'!J39</f>
        <v>0.25</v>
      </c>
      <c r="N40" s="185">
        <f>'[8]Rate Options'!K39</f>
        <v>0.13</v>
      </c>
      <c r="O40" s="186"/>
      <c r="Q40" s="71"/>
    </row>
    <row r="41" spans="1:17" ht="13.15" customHeight="1" thickBot="1" x14ac:dyDescent="0.3">
      <c r="A41" s="1080" t="s">
        <v>762</v>
      </c>
      <c r="B41" s="162"/>
      <c r="C41" s="1026"/>
      <c r="D41" s="398"/>
      <c r="E41" s="1081"/>
      <c r="F41" s="1081">
        <f>E40*(1+C41)</f>
        <v>250.69891684012489</v>
      </c>
      <c r="G41" s="398"/>
      <c r="H41" s="1081"/>
      <c r="I41" s="398"/>
      <c r="K41" s="43"/>
      <c r="L41" s="29"/>
      <c r="M41" s="29"/>
      <c r="N41" s="29"/>
      <c r="O41" s="41"/>
    </row>
    <row r="42" spans="1:17" ht="13.9" thickBot="1" x14ac:dyDescent="0.3">
      <c r="A42" s="1082" t="s">
        <v>54</v>
      </c>
      <c r="B42" s="1083">
        <v>0.9</v>
      </c>
      <c r="C42" s="1084"/>
      <c r="D42" s="1085">
        <f>E35/(E8*B42)</f>
        <v>278.5543520445832</v>
      </c>
      <c r="E42" s="1098">
        <f>D42*(1+C37)</f>
        <v>278.5543520445832</v>
      </c>
      <c r="F42" s="1097">
        <f>$F$41/B42</f>
        <v>278.5543520445832</v>
      </c>
      <c r="G42" s="1096"/>
      <c r="H42" s="1376">
        <f>$F$41/B42</f>
        <v>278.5543520445832</v>
      </c>
      <c r="I42" s="1189"/>
      <c r="K42" s="43"/>
      <c r="L42" s="29"/>
      <c r="M42" s="44" t="s">
        <v>100</v>
      </c>
      <c r="N42" s="44"/>
      <c r="O42" s="41"/>
    </row>
    <row r="43" spans="1:17" ht="13.9" thickBot="1" x14ac:dyDescent="0.3">
      <c r="A43" s="1373" t="s">
        <v>761</v>
      </c>
      <c r="B43" s="1374"/>
      <c r="C43" s="1375">
        <f>M51</f>
        <v>2.3900000000000001E-2</v>
      </c>
      <c r="D43" s="1085"/>
      <c r="E43" s="1141"/>
      <c r="F43" s="394"/>
      <c r="G43" s="394"/>
      <c r="H43" s="1091">
        <f>H42*(C43+1)</f>
        <v>285.21180105844877</v>
      </c>
      <c r="I43" s="394"/>
      <c r="K43" s="43" t="s">
        <v>22</v>
      </c>
      <c r="L43" s="29"/>
      <c r="M43" s="95">
        <f>'Group Home'!Q47</f>
        <v>0.23424901786252411</v>
      </c>
      <c r="N43" s="114"/>
      <c r="O43" s="41"/>
    </row>
    <row r="44" spans="1:17" ht="13.15" x14ac:dyDescent="0.25">
      <c r="A44" s="162"/>
      <c r="B44" s="415"/>
      <c r="C44" s="162"/>
      <c r="D44" s="389"/>
      <c r="E44" s="389"/>
      <c r="F44" s="394"/>
      <c r="G44" s="394"/>
      <c r="H44" s="394"/>
      <c r="I44" s="394"/>
      <c r="K44" s="43"/>
      <c r="L44" s="29"/>
      <c r="M44" s="48"/>
      <c r="N44" s="48"/>
      <c r="O44" s="41"/>
    </row>
    <row r="45" spans="1:17" x14ac:dyDescent="0.2">
      <c r="K45" s="43" t="s">
        <v>39</v>
      </c>
      <c r="L45" s="29"/>
      <c r="M45" s="59">
        <v>27.74</v>
      </c>
      <c r="N45" s="116" t="s">
        <v>139</v>
      </c>
      <c r="O45" s="41"/>
    </row>
    <row r="46" spans="1:17" ht="13.5" thickBot="1" x14ac:dyDescent="0.25">
      <c r="K46" s="43" t="s">
        <v>40</v>
      </c>
      <c r="L46" s="29"/>
      <c r="M46" s="59">
        <v>12.872</v>
      </c>
      <c r="N46" s="116" t="s">
        <v>139</v>
      </c>
      <c r="O46" s="41"/>
    </row>
    <row r="47" spans="1:17" ht="26.45" customHeight="1" x14ac:dyDescent="0.2">
      <c r="A47" s="36"/>
      <c r="B47" s="37"/>
      <c r="C47" s="37"/>
      <c r="D47" s="37"/>
      <c r="E47" s="39"/>
      <c r="F47" s="1468" t="s">
        <v>460</v>
      </c>
      <c r="G47" s="1470" t="s">
        <v>458</v>
      </c>
      <c r="H47" s="1478" t="s">
        <v>668</v>
      </c>
      <c r="I47" s="506"/>
      <c r="K47" s="101" t="s">
        <v>43</v>
      </c>
      <c r="L47" s="102"/>
      <c r="M47" s="103">
        <f>SUM(M45:M46)</f>
        <v>40.611999999999995</v>
      </c>
      <c r="N47" s="103"/>
      <c r="O47" s="104"/>
    </row>
    <row r="48" spans="1:17" ht="13.5" thickBot="1" x14ac:dyDescent="0.25">
      <c r="A48" s="1480" t="s">
        <v>104</v>
      </c>
      <c r="B48" s="1474"/>
      <c r="C48" s="1474"/>
      <c r="D48" s="1474"/>
      <c r="E48" s="1475"/>
      <c r="F48" s="1434"/>
      <c r="G48" s="1463"/>
      <c r="H48" s="1479"/>
      <c r="I48" s="506"/>
      <c r="K48" s="43"/>
      <c r="L48" s="29"/>
      <c r="M48" s="29"/>
      <c r="N48" s="29"/>
      <c r="O48" s="41"/>
    </row>
    <row r="49" spans="1:15" ht="13.15" x14ac:dyDescent="0.25">
      <c r="A49" s="50" t="s">
        <v>0</v>
      </c>
      <c r="B49" s="566">
        <f>M$28</f>
        <v>10</v>
      </c>
      <c r="C49" s="120"/>
      <c r="D49" s="120" t="s">
        <v>1</v>
      </c>
      <c r="E49" s="1059">
        <f>B49*365</f>
        <v>3650</v>
      </c>
      <c r="F49" s="667"/>
      <c r="G49" s="407"/>
      <c r="H49" s="41"/>
      <c r="I49" s="162"/>
      <c r="K49" s="43" t="s">
        <v>44</v>
      </c>
      <c r="L49" s="29"/>
      <c r="M49" s="95">
        <f>'Group Home'!Q55</f>
        <v>0.11846733793705286</v>
      </c>
      <c r="N49" s="95"/>
      <c r="O49" s="41"/>
    </row>
    <row r="50" spans="1:15" ht="13.15" x14ac:dyDescent="0.25">
      <c r="A50" s="43"/>
      <c r="B50" s="29"/>
      <c r="C50" s="29"/>
      <c r="D50" s="29"/>
      <c r="E50" s="41"/>
      <c r="F50" s="130"/>
      <c r="G50" s="407"/>
      <c r="H50" s="41"/>
      <c r="I50" s="162"/>
      <c r="K50" s="43"/>
      <c r="L50" s="29"/>
      <c r="M50" s="29"/>
      <c r="N50" s="29"/>
      <c r="O50" s="41"/>
    </row>
    <row r="51" spans="1:15" ht="13.5" thickBot="1" x14ac:dyDescent="0.25">
      <c r="A51" s="1060"/>
      <c r="B51" s="26"/>
      <c r="C51" s="27" t="s">
        <v>2</v>
      </c>
      <c r="D51" s="27" t="s">
        <v>3</v>
      </c>
      <c r="E51" s="1075" t="s">
        <v>4</v>
      </c>
      <c r="F51" s="130"/>
      <c r="G51" s="407"/>
      <c r="H51" s="41"/>
      <c r="I51" s="162"/>
      <c r="K51" s="239" t="s">
        <v>824</v>
      </c>
      <c r="L51" s="52"/>
      <c r="M51" s="96">
        <v>2.3900000000000001E-2</v>
      </c>
      <c r="N51" s="245" t="s">
        <v>145</v>
      </c>
      <c r="O51" s="53"/>
    </row>
    <row r="52" spans="1:15" ht="13.15" x14ac:dyDescent="0.25">
      <c r="A52" s="1062" t="s">
        <v>19</v>
      </c>
      <c r="B52" s="29"/>
      <c r="C52" s="40">
        <f>M$13</f>
        <v>56249</v>
      </c>
      <c r="D52" s="46">
        <f>M$29</f>
        <v>1</v>
      </c>
      <c r="E52" s="1063">
        <f>C52*D52</f>
        <v>56249</v>
      </c>
      <c r="F52" s="130"/>
      <c r="G52" s="407"/>
      <c r="H52" s="41"/>
      <c r="I52" s="162"/>
      <c r="K52" s="63" t="s">
        <v>50</v>
      </c>
      <c r="L52" s="64" t="s">
        <v>46</v>
      </c>
    </row>
    <row r="53" spans="1:15" ht="13.15" x14ac:dyDescent="0.25">
      <c r="A53" s="7" t="s">
        <v>227</v>
      </c>
      <c r="B53" s="29"/>
      <c r="C53" s="40"/>
      <c r="D53" s="46"/>
      <c r="E53" s="1063"/>
      <c r="F53" s="130"/>
      <c r="G53" s="407"/>
      <c r="H53" s="41"/>
      <c r="I53" s="162"/>
      <c r="K53" s="24" t="s">
        <v>81</v>
      </c>
    </row>
    <row r="54" spans="1:15" ht="13.15" x14ac:dyDescent="0.25">
      <c r="A54" s="11" t="s">
        <v>26</v>
      </c>
      <c r="B54" s="29"/>
      <c r="C54" s="280">
        <f>M16</f>
        <v>53770</v>
      </c>
      <c r="D54" s="46">
        <f>M32</f>
        <v>0.13</v>
      </c>
      <c r="E54" s="1063">
        <f>C54*D54</f>
        <v>6990.1</v>
      </c>
      <c r="F54" s="130"/>
      <c r="G54" s="546"/>
      <c r="H54" s="41"/>
      <c r="I54" s="162"/>
      <c r="K54" s="23" t="s">
        <v>63</v>
      </c>
    </row>
    <row r="55" spans="1:15" ht="13.15" x14ac:dyDescent="0.25">
      <c r="A55" s="7" t="s">
        <v>5</v>
      </c>
      <c r="B55" s="29"/>
      <c r="C55" s="40"/>
      <c r="D55" s="46"/>
      <c r="E55" s="1063"/>
      <c r="F55" s="130"/>
      <c r="G55" s="407"/>
      <c r="H55" s="41"/>
      <c r="I55" s="162"/>
      <c r="K55" s="54" t="s">
        <v>48</v>
      </c>
    </row>
    <row r="56" spans="1:15" ht="13.15" x14ac:dyDescent="0.25">
      <c r="A56" s="7" t="s">
        <v>103</v>
      </c>
      <c r="B56" s="29"/>
      <c r="C56" s="40">
        <f>M18</f>
        <v>24605</v>
      </c>
      <c r="D56" s="46">
        <f>M34</f>
        <v>0.5</v>
      </c>
      <c r="E56" s="1063">
        <f>C56*D56</f>
        <v>12302.5</v>
      </c>
      <c r="F56" s="130"/>
      <c r="G56" s="407"/>
      <c r="H56" s="41"/>
      <c r="I56" s="162"/>
    </row>
    <row r="57" spans="1:15" ht="13.15" x14ac:dyDescent="0.25">
      <c r="A57" s="11" t="s">
        <v>60</v>
      </c>
      <c r="B57" s="29"/>
      <c r="C57" s="40">
        <f>M20</f>
        <v>39042.381025800001</v>
      </c>
      <c r="D57" s="46">
        <f>M36</f>
        <v>1</v>
      </c>
      <c r="E57" s="1063">
        <f>C57*D57</f>
        <v>39042.381025800001</v>
      </c>
      <c r="F57" s="130"/>
      <c r="G57" s="407"/>
      <c r="H57" s="41"/>
      <c r="I57" s="162"/>
      <c r="K57" s="55" t="s">
        <v>49</v>
      </c>
    </row>
    <row r="58" spans="1:15" ht="13.15" x14ac:dyDescent="0.25">
      <c r="A58" s="11" t="s">
        <v>30</v>
      </c>
      <c r="B58" s="29"/>
      <c r="C58" s="40">
        <f>M21</f>
        <v>30649</v>
      </c>
      <c r="D58" s="46">
        <f>M37</f>
        <v>8</v>
      </c>
      <c r="E58" s="1063">
        <f>C58*D58</f>
        <v>245192</v>
      </c>
      <c r="F58" s="130"/>
      <c r="G58" s="407"/>
      <c r="H58" s="41"/>
      <c r="I58" s="162"/>
      <c r="K58" s="23" t="s">
        <v>101</v>
      </c>
    </row>
    <row r="59" spans="1:15" ht="13.15" x14ac:dyDescent="0.25">
      <c r="A59" s="42" t="s">
        <v>31</v>
      </c>
      <c r="B59" s="29"/>
      <c r="C59" s="40">
        <f>M22</f>
        <v>30649</v>
      </c>
      <c r="D59" s="195">
        <f>M38</f>
        <v>1.2615384615384615</v>
      </c>
      <c r="E59" s="1063">
        <f>C59*D59</f>
        <v>38664.892307692309</v>
      </c>
      <c r="F59" s="130"/>
      <c r="G59" s="407"/>
      <c r="H59" s="41"/>
      <c r="I59" s="162"/>
      <c r="K59" s="181" t="s">
        <v>194</v>
      </c>
    </row>
    <row r="60" spans="1:15" ht="13.15" x14ac:dyDescent="0.25">
      <c r="A60" s="7" t="s">
        <v>6</v>
      </c>
      <c r="B60" s="29"/>
      <c r="C60" s="40"/>
      <c r="D60" s="46"/>
      <c r="E60" s="1063"/>
      <c r="F60" s="130"/>
      <c r="G60" s="407"/>
      <c r="H60" s="41"/>
      <c r="I60" s="162"/>
      <c r="K60" s="94" t="s">
        <v>66</v>
      </c>
    </row>
    <row r="61" spans="1:15" x14ac:dyDescent="0.2">
      <c r="A61" s="11" t="s">
        <v>32</v>
      </c>
      <c r="B61" s="29"/>
      <c r="C61" s="40">
        <f>M24</f>
        <v>30649</v>
      </c>
      <c r="D61" s="46">
        <f>M40</f>
        <v>0.25</v>
      </c>
      <c r="E61" s="1063">
        <f>C61*D61</f>
        <v>7662.25</v>
      </c>
      <c r="F61" s="130"/>
      <c r="G61" s="407"/>
      <c r="H61" s="41"/>
      <c r="I61" s="162"/>
      <c r="K61" s="94" t="s">
        <v>140</v>
      </c>
    </row>
    <row r="62" spans="1:15" x14ac:dyDescent="0.2">
      <c r="A62" s="1065" t="s">
        <v>7</v>
      </c>
      <c r="B62" s="31"/>
      <c r="C62" s="31"/>
      <c r="D62" s="32">
        <f>SUM(D52:D61)</f>
        <v>12.14153846153846</v>
      </c>
      <c r="E62" s="1076">
        <f>SUM(E52:E61)</f>
        <v>406103.12333349232</v>
      </c>
      <c r="F62" s="130"/>
      <c r="G62" s="407"/>
      <c r="H62" s="41"/>
      <c r="I62" s="162"/>
      <c r="K62" s="54" t="s">
        <v>144</v>
      </c>
    </row>
    <row r="63" spans="1:15" ht="13.15" x14ac:dyDescent="0.25">
      <c r="A63" s="43"/>
      <c r="B63" s="29"/>
      <c r="C63" s="29"/>
      <c r="D63" s="29"/>
      <c r="E63" s="41"/>
      <c r="F63" s="130"/>
      <c r="G63" s="407"/>
      <c r="H63" s="41"/>
      <c r="I63" s="162"/>
    </row>
    <row r="64" spans="1:15" ht="13.15" x14ac:dyDescent="0.25">
      <c r="A64" s="50" t="s">
        <v>21</v>
      </c>
      <c r="B64" s="29"/>
      <c r="C64" s="29"/>
      <c r="D64" s="120" t="s">
        <v>20</v>
      </c>
      <c r="E64" s="41"/>
      <c r="F64" s="130"/>
      <c r="G64" s="407"/>
      <c r="H64" s="41"/>
      <c r="I64" s="162"/>
    </row>
    <row r="65" spans="1:9" ht="13.15" x14ac:dyDescent="0.25">
      <c r="A65" s="43" t="s">
        <v>22</v>
      </c>
      <c r="B65" s="29"/>
      <c r="C65" s="573">
        <f>$M$43</f>
        <v>0.23424901786252411</v>
      </c>
      <c r="D65" s="29"/>
      <c r="E65" s="1063">
        <f>C65*E62</f>
        <v>95129.257791774071</v>
      </c>
      <c r="F65" s="130"/>
      <c r="G65" s="407"/>
      <c r="H65" s="41"/>
      <c r="I65" s="162"/>
    </row>
    <row r="66" spans="1:9" ht="13.15" x14ac:dyDescent="0.25">
      <c r="A66" s="1065" t="s">
        <v>51</v>
      </c>
      <c r="B66" s="31"/>
      <c r="C66" s="31"/>
      <c r="D66" s="70">
        <f>E66/E49</f>
        <v>137.32394003431955</v>
      </c>
      <c r="E66" s="1076">
        <f>E65+E62</f>
        <v>501232.38112526637</v>
      </c>
      <c r="F66" s="130"/>
      <c r="G66" s="407"/>
      <c r="H66" s="41"/>
      <c r="I66" s="162"/>
    </row>
    <row r="67" spans="1:9" ht="13.15" x14ac:dyDescent="0.25">
      <c r="A67" s="43"/>
      <c r="B67" s="29"/>
      <c r="C67" s="29"/>
      <c r="D67" s="29"/>
      <c r="E67" s="41"/>
      <c r="F67" s="130"/>
      <c r="G67" s="407"/>
      <c r="H67" s="41"/>
      <c r="I67" s="162"/>
    </row>
    <row r="68" spans="1:9" ht="13.15" x14ac:dyDescent="0.25">
      <c r="A68" s="43" t="s">
        <v>39</v>
      </c>
      <c r="B68" s="29"/>
      <c r="C68" s="29"/>
      <c r="D68" s="61">
        <f>$M$45</f>
        <v>27.74</v>
      </c>
      <c r="E68" s="1077">
        <f>D68*E49</f>
        <v>101251</v>
      </c>
      <c r="F68" s="130"/>
      <c r="G68" s="407"/>
      <c r="H68" s="41"/>
      <c r="I68" s="162"/>
    </row>
    <row r="69" spans="1:9" ht="13.15" x14ac:dyDescent="0.25">
      <c r="A69" s="43" t="s">
        <v>40</v>
      </c>
      <c r="B69" s="29"/>
      <c r="C69" s="29"/>
      <c r="D69" s="61">
        <f>$M$46</f>
        <v>12.872</v>
      </c>
      <c r="E69" s="1077">
        <f>D69*E49</f>
        <v>46982.8</v>
      </c>
      <c r="F69" s="130"/>
      <c r="G69" s="407"/>
      <c r="H69" s="41"/>
      <c r="I69" s="162"/>
    </row>
    <row r="70" spans="1:9" ht="13.15" x14ac:dyDescent="0.25">
      <c r="A70" s="43"/>
      <c r="B70" s="29"/>
      <c r="C70" s="29"/>
      <c r="D70" s="72">
        <f>SUM(D68:D69)</f>
        <v>40.611999999999995</v>
      </c>
      <c r="E70" s="41"/>
      <c r="F70" s="130"/>
      <c r="G70" s="407"/>
      <c r="H70" s="41"/>
      <c r="I70" s="162"/>
    </row>
    <row r="71" spans="1:9" ht="13.15" x14ac:dyDescent="0.25">
      <c r="A71" s="43"/>
      <c r="B71" s="29"/>
      <c r="C71" s="29"/>
      <c r="D71" s="29"/>
      <c r="E71" s="41"/>
      <c r="F71" s="130"/>
      <c r="G71" s="407"/>
      <c r="H71" s="41"/>
      <c r="I71" s="162"/>
    </row>
    <row r="72" spans="1:9" ht="13.15" x14ac:dyDescent="0.25">
      <c r="A72" s="1065" t="s">
        <v>43</v>
      </c>
      <c r="B72" s="31"/>
      <c r="C72" s="31"/>
      <c r="D72" s="31"/>
      <c r="E72" s="1076">
        <f>SUM(E66:E69)</f>
        <v>649466.18112526648</v>
      </c>
      <c r="F72" s="130"/>
      <c r="G72" s="407"/>
      <c r="H72" s="41"/>
      <c r="I72" s="162"/>
    </row>
    <row r="73" spans="1:9" ht="13.15" x14ac:dyDescent="0.25">
      <c r="A73" s="43"/>
      <c r="B73" s="29"/>
      <c r="C73" s="29"/>
      <c r="D73" s="29"/>
      <c r="E73" s="41"/>
      <c r="F73" s="130"/>
      <c r="G73" s="407"/>
      <c r="H73" s="41"/>
      <c r="I73" s="162"/>
    </row>
    <row r="74" spans="1:9" ht="13.15" x14ac:dyDescent="0.25">
      <c r="A74" s="43" t="s">
        <v>44</v>
      </c>
      <c r="B74" s="29"/>
      <c r="C74" s="573">
        <f>$M$49</f>
        <v>0.11846733793705286</v>
      </c>
      <c r="D74" s="29"/>
      <c r="E74" s="1063">
        <f>C74*E72</f>
        <v>76940.529558054128</v>
      </c>
      <c r="F74" s="130"/>
      <c r="G74" s="407"/>
      <c r="H74" s="41"/>
      <c r="I74" s="162"/>
    </row>
    <row r="75" spans="1:9" ht="13.15" x14ac:dyDescent="0.25">
      <c r="A75" s="43"/>
      <c r="B75" s="29"/>
      <c r="C75" s="29"/>
      <c r="D75" s="29"/>
      <c r="E75" s="41"/>
      <c r="F75" s="130"/>
      <c r="G75" s="407"/>
      <c r="H75" s="41"/>
      <c r="I75" s="162"/>
    </row>
    <row r="76" spans="1:9" ht="13.9" thickBot="1" x14ac:dyDescent="0.3">
      <c r="A76" s="1067" t="s">
        <v>52</v>
      </c>
      <c r="B76" s="74"/>
      <c r="C76" s="74"/>
      <c r="D76" s="74"/>
      <c r="E76" s="1078">
        <f>SUM(E72:E74)</f>
        <v>726406.71068332065</v>
      </c>
      <c r="F76" s="130"/>
      <c r="G76" s="510">
        <f>E76</f>
        <v>726406.71068332065</v>
      </c>
      <c r="H76" s="1092"/>
      <c r="I76" s="516"/>
    </row>
    <row r="77" spans="1:9" ht="13.9" thickTop="1" x14ac:dyDescent="0.25">
      <c r="A77" s="43"/>
      <c r="B77" s="29"/>
      <c r="C77" s="29"/>
      <c r="D77" s="29"/>
      <c r="E77" s="41"/>
      <c r="F77" s="130"/>
      <c r="G77" s="407"/>
      <c r="H77" s="41"/>
      <c r="I77" s="162"/>
    </row>
    <row r="78" spans="1:9" ht="13.15" x14ac:dyDescent="0.25">
      <c r="A78" s="43"/>
      <c r="B78" s="29"/>
      <c r="C78" s="575"/>
      <c r="D78" s="29"/>
      <c r="E78" s="1068">
        <f>E76*(1+C78)</f>
        <v>726406.71068332065</v>
      </c>
      <c r="F78" s="130"/>
      <c r="G78" s="408">
        <f>G76*(1+C78)</f>
        <v>726406.71068332065</v>
      </c>
      <c r="H78" s="1077"/>
      <c r="I78" s="395"/>
    </row>
    <row r="79" spans="1:9" ht="13.15" x14ac:dyDescent="0.25">
      <c r="A79" s="43"/>
      <c r="B79" s="29"/>
      <c r="C79" s="29"/>
      <c r="D79" s="29"/>
      <c r="E79" s="41"/>
      <c r="F79" s="130"/>
      <c r="G79" s="407"/>
      <c r="H79" s="41"/>
      <c r="I79" s="162"/>
    </row>
    <row r="80" spans="1:9" ht="13.15" x14ac:dyDescent="0.25">
      <c r="A80" s="43"/>
      <c r="B80" s="29"/>
      <c r="C80" s="29"/>
      <c r="D80" s="29"/>
      <c r="E80" s="1069" t="s">
        <v>787</v>
      </c>
      <c r="F80" s="130"/>
      <c r="G80" s="409" t="s">
        <v>787</v>
      </c>
      <c r="H80" s="1069"/>
      <c r="I80" s="397"/>
    </row>
    <row r="81" spans="1:9" ht="13.9" thickBot="1" x14ac:dyDescent="0.3">
      <c r="A81" s="43" t="s">
        <v>55</v>
      </c>
      <c r="B81" s="29"/>
      <c r="C81" s="29"/>
      <c r="D81" s="428">
        <f>E76/E49</f>
        <v>199.01553717351251</v>
      </c>
      <c r="E81" s="1079">
        <f>D81*(1+C78)</f>
        <v>199.01553717351251</v>
      </c>
      <c r="F81" s="130"/>
      <c r="G81" s="408">
        <f>G78/12</f>
        <v>60533.892556943385</v>
      </c>
      <c r="H81" s="1077"/>
      <c r="I81" s="395"/>
    </row>
    <row r="82" spans="1:9" ht="13.9" thickBot="1" x14ac:dyDescent="0.3">
      <c r="A82" s="1071" t="s">
        <v>762</v>
      </c>
      <c r="B82" s="1072"/>
      <c r="C82" s="1073"/>
      <c r="D82" s="1074"/>
      <c r="E82" s="1099"/>
      <c r="F82" s="1074">
        <f>E81*(1+C82)</f>
        <v>199.01553717351251</v>
      </c>
      <c r="G82" s="1093">
        <f>ROUND(G81*(1+C82),0)</f>
        <v>60534</v>
      </c>
      <c r="H82" s="1408">
        <f>ROUNDUP(G82/B49,0)</f>
        <v>6054</v>
      </c>
      <c r="I82" s="1190"/>
    </row>
    <row r="83" spans="1:9" ht="13.9" thickBot="1" x14ac:dyDescent="0.3">
      <c r="A83" s="1373" t="s">
        <v>761</v>
      </c>
      <c r="B83" s="1374"/>
      <c r="C83" s="1375">
        <f>M51</f>
        <v>2.3900000000000001E-2</v>
      </c>
      <c r="D83" s="1085"/>
      <c r="E83" s="1141"/>
      <c r="F83" s="394"/>
      <c r="G83" s="394"/>
      <c r="H83" s="1360">
        <f>H82*(C83+1)</f>
        <v>6198.6905999999999</v>
      </c>
      <c r="I83" s="394"/>
    </row>
    <row r="84" spans="1:9" ht="13.15" x14ac:dyDescent="0.25">
      <c r="A84" s="959"/>
      <c r="B84" s="475"/>
      <c r="C84" s="476"/>
      <c r="D84" s="389"/>
      <c r="E84" s="389"/>
      <c r="F84" s="394"/>
      <c r="G84" s="394"/>
      <c r="H84" s="394"/>
      <c r="I84" s="394"/>
    </row>
    <row r="85" spans="1:9" ht="13.15" x14ac:dyDescent="0.25">
      <c r="A85" s="162"/>
      <c r="B85" s="415"/>
      <c r="C85" s="162"/>
      <c r="D85" s="389"/>
      <c r="E85" s="389"/>
      <c r="F85" s="394"/>
      <c r="G85" s="394"/>
      <c r="H85" s="394"/>
      <c r="I85" s="394"/>
    </row>
    <row r="86" spans="1:9" ht="13.15" x14ac:dyDescent="0.25">
      <c r="A86" s="162"/>
      <c r="B86" s="415"/>
      <c r="C86" s="162"/>
      <c r="D86" s="389"/>
      <c r="E86" s="389"/>
      <c r="F86" s="394"/>
      <c r="G86" s="394"/>
      <c r="H86" s="394"/>
      <c r="I86" s="394"/>
    </row>
    <row r="88" spans="1:9" ht="13.9" thickBot="1" x14ac:dyDescent="0.3"/>
    <row r="89" spans="1:9" x14ac:dyDescent="0.2">
      <c r="A89" s="36"/>
      <c r="B89" s="37"/>
      <c r="C89" s="37"/>
      <c r="D89" s="37"/>
      <c r="E89" s="39"/>
      <c r="F89" s="1468" t="s">
        <v>460</v>
      </c>
      <c r="G89" s="1470" t="s">
        <v>458</v>
      </c>
      <c r="H89" s="1471" t="s">
        <v>668</v>
      </c>
      <c r="I89" s="1144"/>
    </row>
    <row r="90" spans="1:9" ht="28.9" customHeight="1" x14ac:dyDescent="0.2">
      <c r="A90" s="43"/>
      <c r="B90" s="29"/>
      <c r="C90" s="29"/>
      <c r="D90" s="29"/>
      <c r="E90" s="41"/>
      <c r="F90" s="1433"/>
      <c r="G90" s="1462"/>
      <c r="H90" s="1472"/>
      <c r="I90" s="1144"/>
    </row>
    <row r="91" spans="1:9" ht="13.9" customHeight="1" thickBot="1" x14ac:dyDescent="0.25">
      <c r="A91" s="1473" t="s">
        <v>105</v>
      </c>
      <c r="B91" s="1474"/>
      <c r="C91" s="1474"/>
      <c r="D91" s="1474"/>
      <c r="E91" s="1475"/>
      <c r="F91" s="1469"/>
      <c r="G91" s="1463"/>
      <c r="H91" s="1472"/>
      <c r="I91" s="1144"/>
    </row>
    <row r="92" spans="1:9" ht="13.15" x14ac:dyDescent="0.25">
      <c r="A92" s="50" t="s">
        <v>0</v>
      </c>
      <c r="B92" s="566">
        <f>N$28</f>
        <v>5</v>
      </c>
      <c r="C92" s="120"/>
      <c r="D92" s="120" t="s">
        <v>1</v>
      </c>
      <c r="E92" s="1059">
        <f>B92*365</f>
        <v>1825</v>
      </c>
      <c r="F92" s="667"/>
      <c r="G92" s="407"/>
      <c r="H92" s="41"/>
      <c r="I92" s="162"/>
    </row>
    <row r="93" spans="1:9" ht="13.15" x14ac:dyDescent="0.25">
      <c r="A93" s="43"/>
      <c r="B93" s="29"/>
      <c r="C93" s="29"/>
      <c r="D93" s="29"/>
      <c r="E93" s="41"/>
      <c r="F93" s="130"/>
      <c r="G93" s="407"/>
      <c r="H93" s="41"/>
      <c r="I93" s="162"/>
    </row>
    <row r="94" spans="1:9" ht="13.15" x14ac:dyDescent="0.25">
      <c r="A94" s="1060"/>
      <c r="B94" s="26"/>
      <c r="C94" s="27" t="s">
        <v>2</v>
      </c>
      <c r="D94" s="27" t="s">
        <v>3</v>
      </c>
      <c r="E94" s="1075" t="s">
        <v>4</v>
      </c>
      <c r="F94" s="130"/>
      <c r="G94" s="407"/>
      <c r="H94" s="41"/>
      <c r="I94" s="162"/>
    </row>
    <row r="95" spans="1:9" ht="13.15" x14ac:dyDescent="0.25">
      <c r="A95" s="1062" t="s">
        <v>19</v>
      </c>
      <c r="B95" s="29"/>
      <c r="C95" s="40">
        <f>M13</f>
        <v>56249</v>
      </c>
      <c r="D95" s="46">
        <f>N29</f>
        <v>1</v>
      </c>
      <c r="E95" s="1063">
        <f>C95*D95</f>
        <v>56249</v>
      </c>
      <c r="F95" s="130"/>
      <c r="G95" s="407"/>
      <c r="H95" s="41"/>
      <c r="I95" s="162"/>
    </row>
    <row r="96" spans="1:9" ht="13.15" x14ac:dyDescent="0.25">
      <c r="A96" s="7" t="s">
        <v>227</v>
      </c>
      <c r="B96" s="29"/>
      <c r="C96" s="40"/>
      <c r="D96" s="46"/>
      <c r="E96" s="1063"/>
      <c r="F96" s="130"/>
      <c r="G96" s="407"/>
      <c r="H96" s="41"/>
      <c r="I96" s="162"/>
    </row>
    <row r="97" spans="1:9" ht="13.15" x14ac:dyDescent="0.25">
      <c r="A97" s="11" t="s">
        <v>26</v>
      </c>
      <c r="B97" s="29"/>
      <c r="C97" s="280">
        <f>M16</f>
        <v>53770</v>
      </c>
      <c r="D97" s="46">
        <f>N32</f>
        <v>0.13</v>
      </c>
      <c r="E97" s="1063">
        <f>C97*D97</f>
        <v>6990.1</v>
      </c>
      <c r="F97" s="130"/>
      <c r="G97" s="407"/>
      <c r="H97" s="41"/>
      <c r="I97" s="162"/>
    </row>
    <row r="98" spans="1:9" ht="13.15" x14ac:dyDescent="0.25">
      <c r="A98" s="7" t="s">
        <v>5</v>
      </c>
      <c r="B98" s="29"/>
      <c r="C98" s="40"/>
      <c r="D98" s="46"/>
      <c r="E98" s="1063"/>
      <c r="F98" s="130"/>
      <c r="G98" s="407"/>
      <c r="H98" s="41"/>
      <c r="I98" s="162"/>
    </row>
    <row r="99" spans="1:9" ht="13.15" x14ac:dyDescent="0.25">
      <c r="A99" s="11" t="s">
        <v>85</v>
      </c>
      <c r="B99" s="29"/>
      <c r="C99" s="40">
        <f>M18</f>
        <v>24605</v>
      </c>
      <c r="D99" s="46">
        <f>N34</f>
        <v>0.5</v>
      </c>
      <c r="E99" s="1063">
        <f>C99*D99</f>
        <v>12302.5</v>
      </c>
      <c r="F99" s="130"/>
      <c r="G99" s="407"/>
      <c r="H99" s="41"/>
      <c r="I99" s="162"/>
    </row>
    <row r="100" spans="1:9" ht="13.15" x14ac:dyDescent="0.25">
      <c r="A100" s="11" t="s">
        <v>60</v>
      </c>
      <c r="B100" s="29"/>
      <c r="C100" s="40">
        <f>M20</f>
        <v>39042.381025800001</v>
      </c>
      <c r="D100" s="46">
        <f>N36</f>
        <v>0.5</v>
      </c>
      <c r="E100" s="1063">
        <f>C100*D100</f>
        <v>19521.190512900001</v>
      </c>
      <c r="F100" s="130"/>
      <c r="G100" s="407"/>
      <c r="H100" s="41"/>
      <c r="I100" s="162"/>
    </row>
    <row r="101" spans="1:9" ht="13.15" x14ac:dyDescent="0.25">
      <c r="A101" s="11" t="s">
        <v>30</v>
      </c>
      <c r="B101" s="29"/>
      <c r="C101" s="40">
        <f>M21</f>
        <v>30649</v>
      </c>
      <c r="D101" s="46">
        <f>N37</f>
        <v>3</v>
      </c>
      <c r="E101" s="1063">
        <f>C101*D101</f>
        <v>91947</v>
      </c>
      <c r="F101" s="130"/>
      <c r="G101" s="407"/>
      <c r="H101" s="41"/>
      <c r="I101" s="162"/>
    </row>
    <row r="102" spans="1:9" ht="13.15" x14ac:dyDescent="0.25">
      <c r="A102" s="42" t="s">
        <v>31</v>
      </c>
      <c r="B102" s="29"/>
      <c r="C102" s="40">
        <f>M22</f>
        <v>30649</v>
      </c>
      <c r="D102" s="195">
        <f>N38</f>
        <v>0.47307692307692306</v>
      </c>
      <c r="E102" s="1063">
        <f>C102*D102</f>
        <v>14499.334615384614</v>
      </c>
      <c r="F102" s="130"/>
      <c r="G102" s="407"/>
      <c r="H102" s="41"/>
      <c r="I102" s="162"/>
    </row>
    <row r="103" spans="1:9" ht="13.15" x14ac:dyDescent="0.25">
      <c r="A103" s="7" t="s">
        <v>6</v>
      </c>
      <c r="B103" s="29"/>
      <c r="C103" s="40"/>
      <c r="D103" s="46"/>
      <c r="E103" s="1063"/>
      <c r="F103" s="130"/>
      <c r="G103" s="407"/>
      <c r="H103" s="41"/>
      <c r="I103" s="162"/>
    </row>
    <row r="104" spans="1:9" ht="13.15" x14ac:dyDescent="0.25">
      <c r="A104" s="11" t="s">
        <v>32</v>
      </c>
      <c r="B104" s="29"/>
      <c r="C104" s="40">
        <f>M24</f>
        <v>30649</v>
      </c>
      <c r="D104" s="46">
        <f>N40</f>
        <v>0.13</v>
      </c>
      <c r="E104" s="1063">
        <f>C104*D104</f>
        <v>3984.3700000000003</v>
      </c>
      <c r="F104" s="130"/>
      <c r="G104" s="407"/>
      <c r="H104" s="41"/>
      <c r="I104" s="162"/>
    </row>
    <row r="105" spans="1:9" ht="13.15" x14ac:dyDescent="0.25">
      <c r="A105" s="1065" t="s">
        <v>7</v>
      </c>
      <c r="B105" s="31"/>
      <c r="C105" s="31"/>
      <c r="D105" s="32">
        <f>SUM(D95:D104)</f>
        <v>5.733076923076923</v>
      </c>
      <c r="E105" s="1076">
        <f>SUM(E95:E104)</f>
        <v>205493.49512828462</v>
      </c>
      <c r="F105" s="130"/>
      <c r="G105" s="407"/>
      <c r="H105" s="41"/>
      <c r="I105" s="162"/>
    </row>
    <row r="106" spans="1:9" ht="13.15" x14ac:dyDescent="0.25">
      <c r="A106" s="43"/>
      <c r="B106" s="29"/>
      <c r="C106" s="29"/>
      <c r="D106" s="29"/>
      <c r="E106" s="41"/>
      <c r="F106" s="130"/>
      <c r="G106" s="407"/>
      <c r="H106" s="41"/>
      <c r="I106" s="162"/>
    </row>
    <row r="107" spans="1:9" ht="13.15" x14ac:dyDescent="0.25">
      <c r="A107" s="50" t="s">
        <v>21</v>
      </c>
      <c r="B107" s="29"/>
      <c r="C107" s="29"/>
      <c r="D107" s="120" t="s">
        <v>20</v>
      </c>
      <c r="E107" s="41"/>
      <c r="F107" s="130"/>
      <c r="G107" s="407"/>
      <c r="H107" s="41"/>
      <c r="I107" s="162"/>
    </row>
    <row r="108" spans="1:9" ht="13.15" x14ac:dyDescent="0.25">
      <c r="A108" s="43" t="s">
        <v>22</v>
      </c>
      <c r="B108" s="29"/>
      <c r="C108" s="573">
        <f>$M$43</f>
        <v>0.23424901786252411</v>
      </c>
      <c r="D108" s="29"/>
      <c r="E108" s="1063">
        <f>C108*E105</f>
        <v>48136.649410938051</v>
      </c>
      <c r="F108" s="130"/>
      <c r="G108" s="407"/>
      <c r="H108" s="41"/>
      <c r="I108" s="162"/>
    </row>
    <row r="109" spans="1:9" ht="13.15" x14ac:dyDescent="0.25">
      <c r="A109" s="1065" t="s">
        <v>51</v>
      </c>
      <c r="B109" s="31"/>
      <c r="C109" s="31"/>
      <c r="D109" s="70">
        <f>E109/E92</f>
        <v>138.9754216653275</v>
      </c>
      <c r="E109" s="1076">
        <f>E108+E105</f>
        <v>253630.14453922267</v>
      </c>
      <c r="F109" s="130"/>
      <c r="G109" s="407"/>
      <c r="H109" s="41"/>
      <c r="I109" s="162"/>
    </row>
    <row r="110" spans="1:9" ht="13.15" x14ac:dyDescent="0.25">
      <c r="A110" s="43"/>
      <c r="B110" s="29"/>
      <c r="C110" s="29"/>
      <c r="D110" s="29"/>
      <c r="E110" s="41"/>
      <c r="F110" s="130"/>
      <c r="G110" s="407"/>
      <c r="H110" s="41"/>
      <c r="I110" s="162"/>
    </row>
    <row r="111" spans="1:9" ht="13.15" x14ac:dyDescent="0.25">
      <c r="A111" s="43" t="s">
        <v>39</v>
      </c>
      <c r="B111" s="29"/>
      <c r="C111" s="29"/>
      <c r="D111" s="61">
        <f>$M$45</f>
        <v>27.74</v>
      </c>
      <c r="E111" s="1077">
        <f>D111*E92</f>
        <v>50625.5</v>
      </c>
      <c r="F111" s="130"/>
      <c r="G111" s="407"/>
      <c r="H111" s="41"/>
      <c r="I111" s="162"/>
    </row>
    <row r="112" spans="1:9" ht="13.15" x14ac:dyDescent="0.25">
      <c r="A112" s="43" t="s">
        <v>40</v>
      </c>
      <c r="B112" s="29"/>
      <c r="C112" s="29"/>
      <c r="D112" s="61">
        <f>$M$46</f>
        <v>12.872</v>
      </c>
      <c r="E112" s="1077">
        <f>D112*E92</f>
        <v>23491.4</v>
      </c>
      <c r="F112" s="130"/>
      <c r="G112" s="407"/>
      <c r="H112" s="41"/>
      <c r="I112" s="162"/>
    </row>
    <row r="113" spans="1:9" ht="13.15" x14ac:dyDescent="0.25">
      <c r="A113" s="43"/>
      <c r="B113" s="29"/>
      <c r="C113" s="29"/>
      <c r="D113" s="72">
        <f>SUM(D111:D112)</f>
        <v>40.611999999999995</v>
      </c>
      <c r="E113" s="41"/>
      <c r="F113" s="130"/>
      <c r="G113" s="407"/>
      <c r="H113" s="41"/>
      <c r="I113" s="162"/>
    </row>
    <row r="114" spans="1:9" ht="13.15" x14ac:dyDescent="0.25">
      <c r="A114" s="43"/>
      <c r="B114" s="29"/>
      <c r="C114" s="29"/>
      <c r="D114" s="29"/>
      <c r="E114" s="41"/>
      <c r="F114" s="130"/>
      <c r="G114" s="407"/>
      <c r="H114" s="41"/>
      <c r="I114" s="162"/>
    </row>
    <row r="115" spans="1:9" ht="13.15" x14ac:dyDescent="0.25">
      <c r="A115" s="1065" t="s">
        <v>43</v>
      </c>
      <c r="B115" s="31"/>
      <c r="C115" s="31"/>
      <c r="D115" s="31"/>
      <c r="E115" s="1076">
        <f>SUM(E109:E112)</f>
        <v>327747.04453922273</v>
      </c>
      <c r="F115" s="130"/>
      <c r="G115" s="407"/>
      <c r="H115" s="41"/>
      <c r="I115" s="162"/>
    </row>
    <row r="116" spans="1:9" ht="13.15" x14ac:dyDescent="0.25">
      <c r="A116" s="43"/>
      <c r="B116" s="29"/>
      <c r="C116" s="29"/>
      <c r="D116" s="29"/>
      <c r="E116" s="41"/>
      <c r="F116" s="130"/>
      <c r="G116" s="407"/>
      <c r="H116" s="41"/>
      <c r="I116" s="162"/>
    </row>
    <row r="117" spans="1:9" ht="13.15" x14ac:dyDescent="0.25">
      <c r="A117" s="43" t="s">
        <v>44</v>
      </c>
      <c r="B117" s="29"/>
      <c r="C117" s="573">
        <f>$M$49</f>
        <v>0.11846733793705286</v>
      </c>
      <c r="D117" s="29"/>
      <c r="E117" s="1063">
        <f>C117*E115</f>
        <v>38827.319883298413</v>
      </c>
      <c r="F117" s="130"/>
      <c r="G117" s="407"/>
      <c r="H117" s="41"/>
      <c r="I117" s="162"/>
    </row>
    <row r="118" spans="1:9" ht="13.15" x14ac:dyDescent="0.25">
      <c r="A118" s="43"/>
      <c r="B118" s="29"/>
      <c r="C118" s="29"/>
      <c r="D118" s="29"/>
      <c r="E118" s="41"/>
      <c r="F118" s="130"/>
      <c r="G118" s="407"/>
      <c r="H118" s="41"/>
      <c r="I118" s="162"/>
    </row>
    <row r="119" spans="1:9" ht="13.9" thickBot="1" x14ac:dyDescent="0.3">
      <c r="A119" s="1067" t="s">
        <v>52</v>
      </c>
      <c r="B119" s="74"/>
      <c r="C119" s="74"/>
      <c r="D119" s="74"/>
      <c r="E119" s="1078">
        <f>SUM(E115:E117)</f>
        <v>366574.36442252115</v>
      </c>
      <c r="F119" s="130"/>
      <c r="G119" s="510">
        <f>E119</f>
        <v>366574.36442252115</v>
      </c>
      <c r="H119" s="1092"/>
      <c r="I119" s="516"/>
    </row>
    <row r="120" spans="1:9" ht="13.9" thickTop="1" x14ac:dyDescent="0.25">
      <c r="A120" s="43"/>
      <c r="B120" s="29"/>
      <c r="C120" s="29"/>
      <c r="D120" s="29"/>
      <c r="E120" s="41"/>
      <c r="F120" s="130"/>
      <c r="G120" s="407"/>
      <c r="H120" s="41"/>
      <c r="I120" s="162"/>
    </row>
    <row r="121" spans="1:9" ht="13.15" x14ac:dyDescent="0.25">
      <c r="A121" s="43"/>
      <c r="B121" s="29"/>
      <c r="C121" s="575"/>
      <c r="D121" s="29"/>
      <c r="E121" s="1068">
        <f>E119*(1+C121)</f>
        <v>366574.36442252115</v>
      </c>
      <c r="F121" s="130"/>
      <c r="G121" s="408">
        <f>G119*(1+C121)</f>
        <v>366574.36442252115</v>
      </c>
      <c r="H121" s="1077"/>
      <c r="I121" s="395"/>
    </row>
    <row r="122" spans="1:9" ht="13.15" x14ac:dyDescent="0.25">
      <c r="A122" s="43"/>
      <c r="B122" s="29"/>
      <c r="C122" s="29"/>
      <c r="D122" s="29"/>
      <c r="E122" s="41"/>
      <c r="F122" s="130"/>
      <c r="G122" s="407"/>
      <c r="H122" s="41"/>
      <c r="I122" s="162"/>
    </row>
    <row r="123" spans="1:9" ht="13.15" x14ac:dyDescent="0.25">
      <c r="A123" s="43"/>
      <c r="B123" s="29"/>
      <c r="C123" s="29"/>
      <c r="D123" s="29"/>
      <c r="E123" s="1069" t="s">
        <v>787</v>
      </c>
      <c r="F123" s="130"/>
      <c r="G123" s="409" t="s">
        <v>56</v>
      </c>
      <c r="H123" s="1069"/>
      <c r="I123" s="397"/>
    </row>
    <row r="124" spans="1:9" ht="13.9" thickBot="1" x14ac:dyDescent="0.3">
      <c r="A124" s="43" t="s">
        <v>55</v>
      </c>
      <c r="B124" s="29"/>
      <c r="C124" s="29"/>
      <c r="D124" s="428">
        <f>E119/E92</f>
        <v>200.8626654369979</v>
      </c>
      <c r="E124" s="1079">
        <f>D124*(1+C121)</f>
        <v>200.8626654369979</v>
      </c>
      <c r="F124" s="130"/>
      <c r="G124" s="408">
        <f>G121/12</f>
        <v>30547.863701876762</v>
      </c>
      <c r="H124" s="1077"/>
      <c r="I124" s="395"/>
    </row>
    <row r="125" spans="1:9" ht="13.9" thickBot="1" x14ac:dyDescent="0.3">
      <c r="A125" s="1071" t="s">
        <v>762</v>
      </c>
      <c r="B125" s="1072"/>
      <c r="C125" s="1073"/>
      <c r="D125" s="1074"/>
      <c r="E125" s="1099"/>
      <c r="F125" s="1074">
        <f>E124*(1+C125)</f>
        <v>200.8626654369979</v>
      </c>
      <c r="G125" s="1094">
        <f>ROUND(G124*(1+C125),0)</f>
        <v>30548</v>
      </c>
      <c r="H125" s="1409">
        <f>ROUNDUP(G125/B92,0)</f>
        <v>6110</v>
      </c>
      <c r="I125" s="1190"/>
    </row>
    <row r="126" spans="1:9" ht="13.9" thickBot="1" x14ac:dyDescent="0.3">
      <c r="A126" s="1373" t="s">
        <v>761</v>
      </c>
      <c r="B126" s="1374"/>
      <c r="C126" s="1375">
        <f>M51</f>
        <v>2.3900000000000001E-2</v>
      </c>
      <c r="D126" s="1085"/>
      <c r="E126" s="1141"/>
      <c r="F126" s="394"/>
      <c r="G126" s="394"/>
      <c r="H126" s="1360">
        <f>H125*(C126+1)</f>
        <v>6256.0290000000005</v>
      </c>
      <c r="I126" s="394"/>
    </row>
    <row r="127" spans="1:9" ht="13.15" x14ac:dyDescent="0.25">
      <c r="A127" s="959"/>
      <c r="B127" s="475"/>
      <c r="C127" s="476"/>
      <c r="D127" s="389"/>
      <c r="E127" s="389"/>
      <c r="F127" s="394"/>
      <c r="G127" s="394"/>
      <c r="H127" s="394"/>
      <c r="I127" s="394"/>
    </row>
    <row r="128" spans="1:9" ht="13.15" x14ac:dyDescent="0.25">
      <c r="A128" s="162"/>
      <c r="B128" s="415"/>
      <c r="C128" s="162"/>
      <c r="D128" s="389"/>
      <c r="E128" s="389"/>
      <c r="F128" s="394"/>
      <c r="G128" s="394"/>
      <c r="H128" s="394"/>
      <c r="I128" s="394"/>
    </row>
    <row r="130" spans="1:9" ht="13.9" thickBot="1" x14ac:dyDescent="0.3"/>
    <row r="131" spans="1:9" x14ac:dyDescent="0.2">
      <c r="A131" s="36"/>
      <c r="B131" s="37"/>
      <c r="C131" s="37"/>
      <c r="D131" s="37"/>
      <c r="E131" s="39"/>
      <c r="F131" s="1468" t="s">
        <v>460</v>
      </c>
      <c r="G131" s="1470" t="s">
        <v>458</v>
      </c>
      <c r="H131" s="1471" t="s">
        <v>668</v>
      </c>
      <c r="I131" s="1144"/>
    </row>
    <row r="132" spans="1:9" ht="24.6" customHeight="1" x14ac:dyDescent="0.2">
      <c r="A132" s="43"/>
      <c r="B132" s="29"/>
      <c r="C132" s="29"/>
      <c r="D132" s="29"/>
      <c r="E132" s="41"/>
      <c r="F132" s="1433"/>
      <c r="G132" s="1462"/>
      <c r="H132" s="1472"/>
      <c r="I132" s="1144"/>
    </row>
    <row r="133" spans="1:9" ht="15" customHeight="1" thickBot="1" x14ac:dyDescent="0.25">
      <c r="A133" s="1473" t="s">
        <v>106</v>
      </c>
      <c r="B133" s="1474"/>
      <c r="C133" s="1474"/>
      <c r="D133" s="1474"/>
      <c r="E133" s="1475"/>
      <c r="F133" s="1469"/>
      <c r="G133" s="1463"/>
      <c r="H133" s="1472"/>
      <c r="I133" s="1144"/>
    </row>
    <row r="134" spans="1:9" ht="13.15" x14ac:dyDescent="0.25">
      <c r="A134" s="50" t="s">
        <v>0</v>
      </c>
      <c r="B134" s="566">
        <f>O$28</f>
        <v>4</v>
      </c>
      <c r="C134" s="120"/>
      <c r="D134" s="120" t="s">
        <v>1</v>
      </c>
      <c r="E134" s="1059">
        <f>B134*365</f>
        <v>1460</v>
      </c>
      <c r="F134" s="667"/>
      <c r="G134" s="407"/>
      <c r="H134" s="41"/>
      <c r="I134" s="162"/>
    </row>
    <row r="135" spans="1:9" ht="13.15" x14ac:dyDescent="0.25">
      <c r="A135" s="43"/>
      <c r="B135" s="29"/>
      <c r="C135" s="29"/>
      <c r="D135" s="29"/>
      <c r="E135" s="41"/>
      <c r="F135" s="130"/>
      <c r="G135" s="407"/>
      <c r="H135" s="41"/>
      <c r="I135" s="162"/>
    </row>
    <row r="136" spans="1:9" ht="13.15" x14ac:dyDescent="0.25">
      <c r="A136" s="1060"/>
      <c r="B136" s="26"/>
      <c r="C136" s="27" t="s">
        <v>2</v>
      </c>
      <c r="D136" s="27" t="s">
        <v>3</v>
      </c>
      <c r="E136" s="1075" t="s">
        <v>4</v>
      </c>
      <c r="F136" s="130"/>
      <c r="G136" s="407"/>
      <c r="H136" s="41"/>
      <c r="I136" s="162"/>
    </row>
    <row r="137" spans="1:9" ht="13.15" x14ac:dyDescent="0.25">
      <c r="A137" s="1062" t="s">
        <v>19</v>
      </c>
      <c r="B137" s="29"/>
      <c r="C137" s="40">
        <f>M13</f>
        <v>56249</v>
      </c>
      <c r="D137" s="46">
        <f>O29</f>
        <v>0.2</v>
      </c>
      <c r="E137" s="1063">
        <f>C137*D137</f>
        <v>11249.800000000001</v>
      </c>
      <c r="F137" s="130"/>
      <c r="G137" s="407"/>
      <c r="H137" s="41"/>
      <c r="I137" s="162"/>
    </row>
    <row r="138" spans="1:9" ht="13.15" x14ac:dyDescent="0.25">
      <c r="A138" s="7" t="s">
        <v>5</v>
      </c>
      <c r="B138" s="29"/>
      <c r="C138" s="40"/>
      <c r="D138" s="46"/>
      <c r="E138" s="1063"/>
      <c r="F138" s="130"/>
      <c r="G138" s="407"/>
      <c r="H138" s="41"/>
      <c r="I138" s="162"/>
    </row>
    <row r="139" spans="1:9" ht="13.15" x14ac:dyDescent="0.25">
      <c r="A139" s="11" t="s">
        <v>60</v>
      </c>
      <c r="B139" s="29"/>
      <c r="C139" s="40">
        <f>M20</f>
        <v>39042.381025800001</v>
      </c>
      <c r="D139" s="46">
        <f>O36</f>
        <v>1</v>
      </c>
      <c r="E139" s="1063">
        <f>C139*D139</f>
        <v>39042.381025800001</v>
      </c>
      <c r="F139" s="130"/>
      <c r="G139" s="407"/>
      <c r="H139" s="41"/>
      <c r="I139" s="162"/>
    </row>
    <row r="140" spans="1:9" ht="13.15" x14ac:dyDescent="0.25">
      <c r="A140" s="1065" t="s">
        <v>7</v>
      </c>
      <c r="B140" s="31"/>
      <c r="C140" s="31"/>
      <c r="D140" s="32">
        <f>SUM(D137:D139)</f>
        <v>1.2</v>
      </c>
      <c r="E140" s="1076">
        <f>SUM(E137:E139)</f>
        <v>50292.181025800004</v>
      </c>
      <c r="F140" s="130"/>
      <c r="G140" s="407"/>
      <c r="H140" s="41"/>
      <c r="I140" s="162"/>
    </row>
    <row r="141" spans="1:9" ht="13.15" x14ac:dyDescent="0.25">
      <c r="A141" s="43"/>
      <c r="B141" s="29"/>
      <c r="C141" s="29"/>
      <c r="D141" s="29"/>
      <c r="E141" s="41"/>
      <c r="F141" s="130"/>
      <c r="G141" s="407"/>
      <c r="H141" s="41"/>
      <c r="I141" s="162"/>
    </row>
    <row r="142" spans="1:9" ht="13.15" x14ac:dyDescent="0.25">
      <c r="A142" s="50" t="s">
        <v>21</v>
      </c>
      <c r="B142" s="29"/>
      <c r="C142" s="29"/>
      <c r="D142" s="120" t="s">
        <v>20</v>
      </c>
      <c r="E142" s="41"/>
      <c r="F142" s="130"/>
      <c r="G142" s="407"/>
      <c r="H142" s="41"/>
      <c r="I142" s="162"/>
    </row>
    <row r="143" spans="1:9" ht="13.15" x14ac:dyDescent="0.25">
      <c r="A143" s="43" t="s">
        <v>22</v>
      </c>
      <c r="B143" s="29"/>
      <c r="C143" s="573">
        <f>$M$43</f>
        <v>0.23424901786252411</v>
      </c>
      <c r="D143" s="29"/>
      <c r="E143" s="1063">
        <f>C143*E140</f>
        <v>11780.894011457922</v>
      </c>
      <c r="F143" s="130"/>
      <c r="G143" s="407"/>
      <c r="H143" s="41"/>
      <c r="I143" s="162"/>
    </row>
    <row r="144" spans="1:9" ht="13.15" x14ac:dyDescent="0.25">
      <c r="A144" s="1065" t="s">
        <v>51</v>
      </c>
      <c r="B144" s="31"/>
      <c r="C144" s="31"/>
      <c r="D144" s="70">
        <f>E144/E134</f>
        <v>42.515804820039676</v>
      </c>
      <c r="E144" s="1076">
        <f>E143+E140</f>
        <v>62073.075037257928</v>
      </c>
      <c r="F144" s="130"/>
      <c r="G144" s="407"/>
      <c r="H144" s="41"/>
      <c r="I144" s="162"/>
    </row>
    <row r="145" spans="1:9" ht="13.15" x14ac:dyDescent="0.25">
      <c r="A145" s="43"/>
      <c r="B145" s="29"/>
      <c r="C145" s="29"/>
      <c r="D145" s="29"/>
      <c r="E145" s="41"/>
      <c r="F145" s="130"/>
      <c r="G145" s="407"/>
      <c r="H145" s="41"/>
      <c r="I145" s="162"/>
    </row>
    <row r="146" spans="1:9" ht="13.15" x14ac:dyDescent="0.25">
      <c r="A146" s="43" t="s">
        <v>39</v>
      </c>
      <c r="B146" s="29"/>
      <c r="C146" s="29"/>
      <c r="D146" s="61">
        <f>$M$45</f>
        <v>27.74</v>
      </c>
      <c r="E146" s="1077">
        <f>D146*E134</f>
        <v>40500.399999999994</v>
      </c>
      <c r="F146" s="130"/>
      <c r="G146" s="407"/>
      <c r="H146" s="41"/>
      <c r="I146" s="162"/>
    </row>
    <row r="147" spans="1:9" ht="13.15" x14ac:dyDescent="0.25">
      <c r="A147" s="43" t="s">
        <v>40</v>
      </c>
      <c r="B147" s="29"/>
      <c r="C147" s="29"/>
      <c r="D147" s="61">
        <f>$M$46</f>
        <v>12.872</v>
      </c>
      <c r="E147" s="1077">
        <f>D147*E134</f>
        <v>18793.12</v>
      </c>
      <c r="F147" s="130"/>
      <c r="G147" s="407"/>
      <c r="H147" s="41"/>
      <c r="I147" s="162"/>
    </row>
    <row r="148" spans="1:9" ht="13.15" x14ac:dyDescent="0.25">
      <c r="A148" s="43"/>
      <c r="B148" s="29"/>
      <c r="C148" s="29"/>
      <c r="D148" s="72">
        <f>SUM(D146:D147)</f>
        <v>40.611999999999995</v>
      </c>
      <c r="E148" s="41"/>
      <c r="F148" s="130"/>
      <c r="G148" s="407"/>
      <c r="H148" s="41"/>
      <c r="I148" s="162"/>
    </row>
    <row r="149" spans="1:9" ht="13.15" x14ac:dyDescent="0.25">
      <c r="A149" s="43"/>
      <c r="B149" s="29"/>
      <c r="C149" s="29"/>
      <c r="D149" s="29"/>
      <c r="E149" s="41"/>
      <c r="F149" s="130"/>
      <c r="G149" s="407"/>
      <c r="H149" s="41"/>
      <c r="I149" s="162"/>
    </row>
    <row r="150" spans="1:9" ht="13.15" x14ac:dyDescent="0.25">
      <c r="A150" s="1065" t="s">
        <v>43</v>
      </c>
      <c r="B150" s="31"/>
      <c r="C150" s="31"/>
      <c r="D150" s="31"/>
      <c r="E150" s="1076">
        <f>SUM(E144:E147)</f>
        <v>121366.59503725791</v>
      </c>
      <c r="F150" s="130"/>
      <c r="G150" s="407"/>
      <c r="H150" s="41"/>
      <c r="I150" s="162"/>
    </row>
    <row r="151" spans="1:9" ht="13.15" x14ac:dyDescent="0.25">
      <c r="A151" s="43"/>
      <c r="B151" s="29"/>
      <c r="C151" s="29"/>
      <c r="D151" s="29"/>
      <c r="E151" s="41"/>
      <c r="F151" s="130"/>
      <c r="G151" s="407"/>
      <c r="H151" s="41"/>
      <c r="I151" s="162"/>
    </row>
    <row r="152" spans="1:9" ht="13.15" x14ac:dyDescent="0.25">
      <c r="A152" s="43" t="s">
        <v>44</v>
      </c>
      <c r="B152" s="29"/>
      <c r="C152" s="573">
        <f>$M$49</f>
        <v>0.11846733793705286</v>
      </c>
      <c r="D152" s="29"/>
      <c r="E152" s="1063">
        <f>C152*E150</f>
        <v>14377.977428548274</v>
      </c>
      <c r="F152" s="130"/>
      <c r="G152" s="407"/>
      <c r="H152" s="41"/>
      <c r="I152" s="162"/>
    </row>
    <row r="153" spans="1:9" ht="13.15" x14ac:dyDescent="0.25">
      <c r="A153" s="43"/>
      <c r="B153" s="29"/>
      <c r="C153" s="29"/>
      <c r="D153" s="29"/>
      <c r="E153" s="41"/>
      <c r="F153" s="130"/>
      <c r="G153" s="407"/>
      <c r="H153" s="41"/>
      <c r="I153" s="162"/>
    </row>
    <row r="154" spans="1:9" ht="13.9" thickBot="1" x14ac:dyDescent="0.3">
      <c r="A154" s="1067" t="s">
        <v>52</v>
      </c>
      <c r="B154" s="74"/>
      <c r="C154" s="74"/>
      <c r="D154" s="74"/>
      <c r="E154" s="1078">
        <f>SUM(E150:E152)</f>
        <v>135744.57246580618</v>
      </c>
      <c r="F154" s="130"/>
      <c r="G154" s="510">
        <f>E154</f>
        <v>135744.57246580618</v>
      </c>
      <c r="H154" s="1092"/>
      <c r="I154" s="516"/>
    </row>
    <row r="155" spans="1:9" ht="13.9" thickTop="1" x14ac:dyDescent="0.25">
      <c r="A155" s="43"/>
      <c r="B155" s="29"/>
      <c r="C155" s="29"/>
      <c r="D155" s="29"/>
      <c r="E155" s="41"/>
      <c r="F155" s="130"/>
      <c r="G155" s="407"/>
      <c r="H155" s="41"/>
      <c r="I155" s="162"/>
    </row>
    <row r="156" spans="1:9" ht="13.15" x14ac:dyDescent="0.25">
      <c r="A156" s="43"/>
      <c r="B156" s="29"/>
      <c r="C156" s="575"/>
      <c r="D156" s="29"/>
      <c r="E156" s="1068">
        <f>E154*(1+C156)</f>
        <v>135744.57246580618</v>
      </c>
      <c r="F156" s="130"/>
      <c r="G156" s="511">
        <f>G154*(1+C156)</f>
        <v>135744.57246580618</v>
      </c>
      <c r="H156" s="1100"/>
      <c r="I156" s="1191"/>
    </row>
    <row r="157" spans="1:9" ht="13.15" x14ac:dyDescent="0.25">
      <c r="A157" s="43"/>
      <c r="B157" s="29"/>
      <c r="C157" s="29"/>
      <c r="D157" s="29"/>
      <c r="E157" s="41"/>
      <c r="F157" s="130"/>
      <c r="G157" s="407"/>
      <c r="H157" s="41"/>
      <c r="I157" s="162"/>
    </row>
    <row r="158" spans="1:9" ht="13.15" x14ac:dyDescent="0.25">
      <c r="A158" s="43"/>
      <c r="B158" s="29"/>
      <c r="C158" s="29"/>
      <c r="D158" s="29"/>
      <c r="E158" s="1069" t="s">
        <v>787</v>
      </c>
      <c r="F158" s="130"/>
      <c r="G158" s="409" t="s">
        <v>56</v>
      </c>
      <c r="H158" s="1069"/>
      <c r="I158" s="397"/>
    </row>
    <row r="159" spans="1:9" ht="13.9" thickBot="1" x14ac:dyDescent="0.3">
      <c r="A159" s="43" t="s">
        <v>55</v>
      </c>
      <c r="B159" s="29"/>
      <c r="C159" s="29"/>
      <c r="D159" s="428">
        <f>E154/E134</f>
        <v>92.97573456562067</v>
      </c>
      <c r="E159" s="1079">
        <f>D159*(1+C156)</f>
        <v>92.97573456562067</v>
      </c>
      <c r="F159" s="130"/>
      <c r="G159" s="408">
        <f>G156/12</f>
        <v>11312.047705483848</v>
      </c>
      <c r="H159" s="1077"/>
      <c r="I159" s="395"/>
    </row>
    <row r="160" spans="1:9" ht="13.9" thickBot="1" x14ac:dyDescent="0.3">
      <c r="A160" s="1071" t="s">
        <v>762</v>
      </c>
      <c r="B160" s="1072"/>
      <c r="C160" s="1073"/>
      <c r="D160" s="1074"/>
      <c r="E160" s="1099"/>
      <c r="F160" s="1074">
        <f>E159*(1+C160)</f>
        <v>92.97573456562067</v>
      </c>
      <c r="G160" s="1094">
        <f>ROUND(G159*(1+C160),0)</f>
        <v>11312</v>
      </c>
      <c r="H160" s="1409">
        <f>ROUNDUP(G160/B134,0)</f>
        <v>2828</v>
      </c>
      <c r="I160" s="1190"/>
    </row>
    <row r="161" spans="1:8" ht="13.9" thickBot="1" x14ac:dyDescent="0.3">
      <c r="A161" s="1373" t="s">
        <v>761</v>
      </c>
      <c r="B161" s="1374"/>
      <c r="C161" s="1375">
        <f>M51</f>
        <v>2.3900000000000001E-2</v>
      </c>
      <c r="D161" s="1085"/>
      <c r="E161" s="1141"/>
      <c r="F161" s="394"/>
      <c r="G161" s="394"/>
      <c r="H161" s="1360">
        <f>H160*(C161+1)</f>
        <v>2895.5891999999999</v>
      </c>
    </row>
  </sheetData>
  <mergeCells count="18">
    <mergeCell ref="K1:N1"/>
    <mergeCell ref="L3:M3"/>
    <mergeCell ref="F6:F7"/>
    <mergeCell ref="A7:E7"/>
    <mergeCell ref="F47:F48"/>
    <mergeCell ref="G47:G48"/>
    <mergeCell ref="H47:H48"/>
    <mergeCell ref="A48:E48"/>
    <mergeCell ref="A6:E6"/>
    <mergeCell ref="H6:H7"/>
    <mergeCell ref="F89:F91"/>
    <mergeCell ref="G89:G91"/>
    <mergeCell ref="H89:H91"/>
    <mergeCell ref="A91:E91"/>
    <mergeCell ref="F131:F133"/>
    <mergeCell ref="G131:G133"/>
    <mergeCell ref="H131:H133"/>
    <mergeCell ref="A133:E133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rowBreaks count="3" manualBreakCount="3">
    <brk id="46" max="16383" man="1"/>
    <brk id="89" max="16383" man="1"/>
    <brk id="131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opLeftCell="G1" zoomScale="85" zoomScaleNormal="85" zoomScaleSheetLayoutView="80" workbookViewId="0">
      <selection activeCell="J229" sqref="J229:J234"/>
    </sheetView>
  </sheetViews>
  <sheetFormatPr defaultColWidth="9.140625" defaultRowHeight="12.75" x14ac:dyDescent="0.2"/>
  <cols>
    <col min="1" max="1" width="31.85546875" style="281" hidden="1" customWidth="1"/>
    <col min="2" max="2" width="5.7109375" style="281" hidden="1" customWidth="1"/>
    <col min="3" max="3" width="12.85546875" style="281" hidden="1" customWidth="1"/>
    <col min="4" max="4" width="10.85546875" style="281" hidden="1" customWidth="1"/>
    <col min="5" max="6" width="13.140625" style="281" hidden="1" customWidth="1"/>
    <col min="7" max="7" width="13.140625" style="281" customWidth="1"/>
    <col min="8" max="8" width="31.85546875" style="281" customWidth="1"/>
    <col min="9" max="9" width="5.7109375" style="281" customWidth="1"/>
    <col min="10" max="10" width="12.85546875" style="281" customWidth="1"/>
    <col min="11" max="11" width="10.85546875" style="281" customWidth="1"/>
    <col min="12" max="12" width="13.140625" style="281" customWidth="1"/>
    <col min="13" max="13" width="23.7109375" style="281" customWidth="1"/>
    <col min="14" max="14" width="31.85546875" style="281" bestFit="1" customWidth="1"/>
    <col min="15" max="15" width="10.140625" style="281" customWidth="1"/>
    <col min="16" max="16" width="12.140625" style="281" customWidth="1"/>
    <col min="17" max="18" width="10.140625" style="281" customWidth="1"/>
    <col min="19" max="16384" width="9.140625" style="281"/>
  </cols>
  <sheetData>
    <row r="1" spans="1:19" ht="13.9" thickBot="1" x14ac:dyDescent="0.3">
      <c r="N1" s="1493" t="s">
        <v>8</v>
      </c>
      <c r="O1" s="1493"/>
      <c r="P1" s="1493"/>
      <c r="Q1" s="1493"/>
    </row>
    <row r="2" spans="1:19" ht="13.9" thickBot="1" x14ac:dyDescent="0.3"/>
    <row r="3" spans="1:19" ht="13.15" x14ac:dyDescent="0.25">
      <c r="N3" s="1142" t="s">
        <v>9</v>
      </c>
      <c r="O3" s="1432" t="s">
        <v>10</v>
      </c>
      <c r="P3" s="1432"/>
      <c r="Q3" s="6"/>
      <c r="R3" s="472"/>
      <c r="S3" s="472"/>
    </row>
    <row r="4" spans="1:19" ht="13.15" x14ac:dyDescent="0.25">
      <c r="N4" s="440"/>
      <c r="O4" s="8" t="s">
        <v>11</v>
      </c>
      <c r="P4" s="1143" t="s">
        <v>12</v>
      </c>
      <c r="Q4" s="10"/>
      <c r="R4" s="472"/>
      <c r="S4" s="472"/>
    </row>
    <row r="5" spans="1:19" ht="15" customHeight="1" thickBot="1" x14ac:dyDescent="0.3">
      <c r="H5" s="1500" t="s">
        <v>786</v>
      </c>
      <c r="I5" s="1500"/>
      <c r="J5" s="1500"/>
      <c r="K5" s="1500"/>
      <c r="L5" s="1500"/>
      <c r="N5" s="434" t="s">
        <v>13</v>
      </c>
      <c r="O5" s="12">
        <v>13</v>
      </c>
      <c r="P5" s="13">
        <f>O5*8</f>
        <v>104</v>
      </c>
      <c r="Q5" s="10"/>
      <c r="R5" s="472"/>
      <c r="S5" s="472"/>
    </row>
    <row r="6" spans="1:19" ht="13.15" customHeight="1" x14ac:dyDescent="0.2">
      <c r="A6" s="1484" t="s">
        <v>505</v>
      </c>
      <c r="B6" s="1485"/>
      <c r="C6" s="1485"/>
      <c r="D6" s="1485"/>
      <c r="E6" s="1485"/>
      <c r="F6" s="1484" t="s">
        <v>460</v>
      </c>
      <c r="G6" s="1345"/>
      <c r="H6" s="1494" t="s">
        <v>509</v>
      </c>
      <c r="I6" s="1495"/>
      <c r="J6" s="1495"/>
      <c r="K6" s="1495"/>
      <c r="L6" s="1496"/>
      <c r="N6" s="434" t="s">
        <v>14</v>
      </c>
      <c r="O6" s="12">
        <v>10</v>
      </c>
      <c r="P6" s="13">
        <f>O6*8</f>
        <v>80</v>
      </c>
      <c r="Q6" s="10"/>
      <c r="R6" s="472"/>
      <c r="S6" s="472"/>
    </row>
    <row r="7" spans="1:19" ht="17.45" customHeight="1" thickBot="1" x14ac:dyDescent="0.25">
      <c r="A7" s="1486"/>
      <c r="B7" s="1486"/>
      <c r="C7" s="1486"/>
      <c r="D7" s="1486"/>
      <c r="E7" s="1486"/>
      <c r="F7" s="1487"/>
      <c r="G7" s="625"/>
      <c r="H7" s="1497"/>
      <c r="I7" s="1498"/>
      <c r="J7" s="1498"/>
      <c r="K7" s="1498"/>
      <c r="L7" s="1499"/>
      <c r="N7" s="434" t="s">
        <v>15</v>
      </c>
      <c r="O7" s="12">
        <v>11</v>
      </c>
      <c r="P7" s="13">
        <f>O7*8</f>
        <v>88</v>
      </c>
      <c r="Q7" s="10"/>
      <c r="R7" s="472"/>
      <c r="S7" s="472"/>
    </row>
    <row r="8" spans="1:19" ht="13.15" x14ac:dyDescent="0.25">
      <c r="A8" s="1146" t="s">
        <v>0</v>
      </c>
      <c r="B8" s="1147">
        <f>O$30</f>
        <v>12</v>
      </c>
      <c r="C8" s="1146"/>
      <c r="D8" s="1146" t="s">
        <v>1</v>
      </c>
      <c r="E8" s="629">
        <f>B8*365</f>
        <v>4380</v>
      </c>
      <c r="F8" s="1148"/>
      <c r="G8" s="162"/>
      <c r="H8" s="1135" t="s">
        <v>0</v>
      </c>
      <c r="I8" s="1149">
        <v>12</v>
      </c>
      <c r="J8" s="391"/>
      <c r="K8" s="391" t="s">
        <v>1</v>
      </c>
      <c r="L8" s="1150">
        <f>I8*365</f>
        <v>4380</v>
      </c>
      <c r="N8" s="433" t="s">
        <v>16</v>
      </c>
      <c r="O8" s="15">
        <v>7</v>
      </c>
      <c r="P8" s="16">
        <f>O8*8</f>
        <v>56</v>
      </c>
      <c r="Q8" s="17"/>
      <c r="R8" s="472"/>
      <c r="S8" s="472"/>
    </row>
    <row r="9" spans="1:19" ht="13.15" x14ac:dyDescent="0.25">
      <c r="F9" s="1047"/>
      <c r="G9" s="162"/>
      <c r="H9" s="448"/>
      <c r="I9" s="162"/>
      <c r="J9" s="162"/>
      <c r="K9" s="162"/>
      <c r="L9" s="455"/>
      <c r="N9" s="434"/>
      <c r="O9" s="18" t="s">
        <v>17</v>
      </c>
      <c r="P9" s="13">
        <f>SUM(P5:P8)</f>
        <v>328</v>
      </c>
      <c r="Q9" s="19"/>
      <c r="R9" s="472"/>
      <c r="S9" s="472"/>
    </row>
    <row r="10" spans="1:19" ht="13.9" thickBot="1" x14ac:dyDescent="0.3">
      <c r="A10" s="1151"/>
      <c r="B10" s="1151"/>
      <c r="C10" s="1152" t="s">
        <v>2</v>
      </c>
      <c r="D10" s="1152" t="s">
        <v>3</v>
      </c>
      <c r="E10" s="1152" t="s">
        <v>4</v>
      </c>
      <c r="F10" s="1047"/>
      <c r="G10" s="162"/>
      <c r="H10" s="1153"/>
      <c r="I10" s="1151"/>
      <c r="J10" s="1152" t="s">
        <v>2</v>
      </c>
      <c r="K10" s="1152" t="s">
        <v>3</v>
      </c>
      <c r="L10" s="1154" t="s">
        <v>4</v>
      </c>
      <c r="N10" s="435"/>
      <c r="O10" s="21" t="s">
        <v>18</v>
      </c>
      <c r="P10" s="22">
        <f>P9/(52*40)</f>
        <v>0.15769230769230769</v>
      </c>
      <c r="Q10" s="56"/>
    </row>
    <row r="11" spans="1:19" ht="13.9" thickBot="1" x14ac:dyDescent="0.3">
      <c r="A11" s="1155" t="s">
        <v>19</v>
      </c>
      <c r="C11" s="282">
        <f>P$13</f>
        <v>56249</v>
      </c>
      <c r="D11" s="283">
        <f>O$31</f>
        <v>1.75</v>
      </c>
      <c r="E11" s="284">
        <f>C11*D11</f>
        <v>98435.75</v>
      </c>
      <c r="F11" s="1047"/>
      <c r="G11" s="162"/>
      <c r="H11" s="1156" t="s">
        <v>19</v>
      </c>
      <c r="I11" s="162"/>
      <c r="J11" s="280">
        <f>P13</f>
        <v>56249</v>
      </c>
      <c r="K11" s="195">
        <v>1.75</v>
      </c>
      <c r="L11" s="1133">
        <f>J11*K11</f>
        <v>98435.75</v>
      </c>
    </row>
    <row r="12" spans="1:19" ht="13.15" x14ac:dyDescent="0.25">
      <c r="A12" s="285" t="s">
        <v>227</v>
      </c>
      <c r="C12" s="282"/>
      <c r="D12" s="283"/>
      <c r="E12" s="284"/>
      <c r="F12" s="1047"/>
      <c r="G12" s="162"/>
      <c r="H12" s="440" t="s">
        <v>227</v>
      </c>
      <c r="I12" s="162"/>
      <c r="J12" s="280"/>
      <c r="K12" s="195"/>
      <c r="L12" s="1133"/>
      <c r="N12" s="436"/>
      <c r="O12" s="437"/>
      <c r="P12" s="438" t="s">
        <v>75</v>
      </c>
      <c r="Q12" s="438"/>
      <c r="R12" s="473"/>
    </row>
    <row r="13" spans="1:19" ht="13.15" x14ac:dyDescent="0.25">
      <c r="A13" s="173" t="s">
        <v>23</v>
      </c>
      <c r="C13" s="282">
        <f>P15</f>
        <v>215212</v>
      </c>
      <c r="D13" s="283">
        <f>O33</f>
        <v>0.1</v>
      </c>
      <c r="E13" s="284">
        <f t="shared" ref="E13:E22" si="0">C13*D13</f>
        <v>21521.200000000001</v>
      </c>
      <c r="F13" s="1047"/>
      <c r="G13" s="162"/>
      <c r="H13" s="434" t="s">
        <v>23</v>
      </c>
      <c r="I13" s="162"/>
      <c r="J13" s="280">
        <f>P15</f>
        <v>215212</v>
      </c>
      <c r="K13" s="195">
        <v>0.1</v>
      </c>
      <c r="L13" s="1133">
        <f>J13*K13</f>
        <v>21521.200000000001</v>
      </c>
      <c r="N13" s="440" t="s">
        <v>19</v>
      </c>
      <c r="O13" s="162"/>
      <c r="P13" s="280">
        <v>56249</v>
      </c>
      <c r="Q13" s="280"/>
      <c r="R13" s="1157"/>
    </row>
    <row r="14" spans="1:19" ht="13.15" x14ac:dyDescent="0.25">
      <c r="A14" s="173" t="s">
        <v>24</v>
      </c>
      <c r="C14" s="282">
        <f>P16</f>
        <v>69547</v>
      </c>
      <c r="D14" s="283">
        <f>O34</f>
        <v>0.25</v>
      </c>
      <c r="E14" s="284">
        <f t="shared" si="0"/>
        <v>17386.75</v>
      </c>
      <c r="F14" s="1047"/>
      <c r="G14" s="162"/>
      <c r="H14" s="434" t="s">
        <v>24</v>
      </c>
      <c r="I14" s="162"/>
      <c r="J14" s="280">
        <f>P16</f>
        <v>69547</v>
      </c>
      <c r="K14" s="195">
        <f>0.25 + (I8*0.5/40)</f>
        <v>0.4</v>
      </c>
      <c r="L14" s="1133">
        <f>J14*K14</f>
        <v>27818.800000000003</v>
      </c>
      <c r="N14" s="440" t="s">
        <v>227</v>
      </c>
      <c r="O14" s="162"/>
      <c r="P14" s="280"/>
      <c r="Q14" s="280"/>
      <c r="R14" s="1157"/>
    </row>
    <row r="15" spans="1:19" ht="13.15" x14ac:dyDescent="0.25">
      <c r="A15" s="173" t="s">
        <v>25</v>
      </c>
      <c r="C15" s="282">
        <f>P17</f>
        <v>66376</v>
      </c>
      <c r="D15" s="283">
        <f>O35</f>
        <v>0.5</v>
      </c>
      <c r="E15" s="284">
        <f t="shared" si="0"/>
        <v>33188</v>
      </c>
      <c r="F15" s="1047"/>
      <c r="G15" s="162"/>
      <c r="H15" s="434" t="s">
        <v>25</v>
      </c>
      <c r="I15" s="162"/>
      <c r="J15" s="280">
        <f>P17</f>
        <v>66376</v>
      </c>
      <c r="K15" s="195">
        <v>0.5</v>
      </c>
      <c r="L15" s="1133">
        <f>J15*K15</f>
        <v>33188</v>
      </c>
      <c r="N15" s="434" t="s">
        <v>23</v>
      </c>
      <c r="O15" s="162"/>
      <c r="P15" s="280">
        <v>215212</v>
      </c>
      <c r="Q15" s="1158" t="s">
        <v>84</v>
      </c>
      <c r="R15" s="1157"/>
    </row>
    <row r="16" spans="1:19" ht="13.15" x14ac:dyDescent="0.25">
      <c r="A16" s="173" t="s">
        <v>26</v>
      </c>
      <c r="C16" s="282">
        <f>P18</f>
        <v>53768</v>
      </c>
      <c r="D16" s="283">
        <f>O36</f>
        <v>1</v>
      </c>
      <c r="E16" s="284">
        <f t="shared" si="0"/>
        <v>53768</v>
      </c>
      <c r="F16" s="1047"/>
      <c r="G16" s="162"/>
      <c r="H16" s="434" t="s">
        <v>26</v>
      </c>
      <c r="I16" s="162"/>
      <c r="J16" s="280">
        <f>P18</f>
        <v>53768</v>
      </c>
      <c r="K16" s="195">
        <v>1</v>
      </c>
      <c r="L16" s="1133">
        <f>J16*K16</f>
        <v>53768</v>
      </c>
      <c r="N16" s="434" t="s">
        <v>24</v>
      </c>
      <c r="O16" s="162"/>
      <c r="P16" s="280">
        <v>69547</v>
      </c>
      <c r="Q16" s="1158" t="s">
        <v>69</v>
      </c>
      <c r="R16" s="1157"/>
    </row>
    <row r="17" spans="1:19" ht="13.15" x14ac:dyDescent="0.25">
      <c r="A17" s="285" t="s">
        <v>5</v>
      </c>
      <c r="C17" s="282"/>
      <c r="D17" s="283"/>
      <c r="E17" s="284"/>
      <c r="F17" s="1047"/>
      <c r="G17" s="162"/>
      <c r="H17" s="440" t="s">
        <v>5</v>
      </c>
      <c r="I17" s="162"/>
      <c r="J17" s="280"/>
      <c r="K17" s="195"/>
      <c r="L17" s="1133"/>
      <c r="N17" s="434" t="s">
        <v>25</v>
      </c>
      <c r="O17" s="162"/>
      <c r="P17" s="280">
        <v>66376</v>
      </c>
      <c r="Q17" s="1158" t="s">
        <v>82</v>
      </c>
      <c r="R17" s="1157"/>
    </row>
    <row r="18" spans="1:19" ht="13.15" x14ac:dyDescent="0.25">
      <c r="A18" s="173" t="s">
        <v>59</v>
      </c>
      <c r="C18" s="282">
        <f>P21</f>
        <v>47584</v>
      </c>
      <c r="D18" s="283">
        <f>O39</f>
        <v>1</v>
      </c>
      <c r="E18" s="284">
        <f t="shared" si="0"/>
        <v>47584</v>
      </c>
      <c r="F18" s="1047"/>
      <c r="G18" s="162"/>
      <c r="H18" s="434" t="s">
        <v>59</v>
      </c>
      <c r="I18" s="162"/>
      <c r="J18" s="280">
        <f>P21</f>
        <v>47584</v>
      </c>
      <c r="K18" s="195">
        <v>1</v>
      </c>
      <c r="L18" s="1133">
        <f>J18*K18</f>
        <v>47584</v>
      </c>
      <c r="N18" s="434" t="s">
        <v>26</v>
      </c>
      <c r="O18" s="162"/>
      <c r="P18" s="280">
        <v>53768</v>
      </c>
      <c r="Q18" s="1159"/>
      <c r="R18" s="1157"/>
    </row>
    <row r="19" spans="1:19" ht="13.15" x14ac:dyDescent="0.25">
      <c r="A19" s="173" t="s">
        <v>30</v>
      </c>
      <c r="C19" s="282">
        <f>P23</f>
        <v>30648</v>
      </c>
      <c r="D19" s="283">
        <f>O41</f>
        <v>15</v>
      </c>
      <c r="E19" s="284">
        <f t="shared" si="0"/>
        <v>459720</v>
      </c>
      <c r="F19" s="1047"/>
      <c r="G19" s="162"/>
      <c r="H19" s="434" t="s">
        <v>30</v>
      </c>
      <c r="I19" s="162"/>
      <c r="J19" s="280">
        <f>P23</f>
        <v>30648</v>
      </c>
      <c r="K19" s="195">
        <v>15</v>
      </c>
      <c r="L19" s="1133">
        <f>J19*K19</f>
        <v>459720</v>
      </c>
      <c r="N19" s="440" t="s">
        <v>5</v>
      </c>
      <c r="O19" s="162"/>
      <c r="P19" s="280"/>
      <c r="Q19" s="1159"/>
      <c r="R19" s="1157"/>
    </row>
    <row r="20" spans="1:19" ht="13.15" x14ac:dyDescent="0.25">
      <c r="A20" s="286" t="s">
        <v>31</v>
      </c>
      <c r="C20" s="282">
        <f>P24</f>
        <v>30648</v>
      </c>
      <c r="D20" s="283">
        <f>O42</f>
        <v>2.3653846153846154</v>
      </c>
      <c r="E20" s="284">
        <f>C20*D20</f>
        <v>72494.307692307688</v>
      </c>
      <c r="F20" s="1047"/>
      <c r="G20" s="162"/>
      <c r="H20" s="443" t="s">
        <v>31</v>
      </c>
      <c r="I20" s="162"/>
      <c r="J20" s="280">
        <f>P24</f>
        <v>30648</v>
      </c>
      <c r="K20" s="195">
        <v>2.3653846153846154</v>
      </c>
      <c r="L20" s="1133">
        <f>J20*K20</f>
        <v>72494.307692307688</v>
      </c>
      <c r="N20" s="434" t="s">
        <v>85</v>
      </c>
      <c r="O20" s="162"/>
      <c r="P20" s="280">
        <v>24604</v>
      </c>
      <c r="Q20" s="1159"/>
      <c r="R20" s="1157"/>
      <c r="S20" s="759"/>
    </row>
    <row r="21" spans="1:19" ht="13.15" x14ac:dyDescent="0.25">
      <c r="A21" s="285" t="s">
        <v>6</v>
      </c>
      <c r="C21" s="282"/>
      <c r="D21" s="283"/>
      <c r="E21" s="284"/>
      <c r="F21" s="1047"/>
      <c r="G21" s="162"/>
      <c r="H21" s="440" t="s">
        <v>6</v>
      </c>
      <c r="I21" s="162"/>
      <c r="J21" s="280"/>
      <c r="K21" s="195"/>
      <c r="L21" s="1133"/>
      <c r="N21" s="434" t="s">
        <v>59</v>
      </c>
      <c r="O21" s="162"/>
      <c r="P21" s="280">
        <v>47584</v>
      </c>
      <c r="Q21" s="1159"/>
      <c r="R21" s="1157"/>
    </row>
    <row r="22" spans="1:19" ht="13.15" x14ac:dyDescent="0.25">
      <c r="A22" s="173" t="s">
        <v>32</v>
      </c>
      <c r="C22" s="282">
        <f>P26</f>
        <v>30648</v>
      </c>
      <c r="D22" s="283">
        <f>O44</f>
        <v>0.25</v>
      </c>
      <c r="E22" s="284">
        <f t="shared" si="0"/>
        <v>7662</v>
      </c>
      <c r="F22" s="1047"/>
      <c r="G22" s="162"/>
      <c r="H22" s="434" t="s">
        <v>32</v>
      </c>
      <c r="I22" s="162"/>
      <c r="J22" s="280">
        <f>P26</f>
        <v>30648</v>
      </c>
      <c r="K22" s="195">
        <v>0.25</v>
      </c>
      <c r="L22" s="1133">
        <f>J22*K22</f>
        <v>7662</v>
      </c>
      <c r="N22" s="434" t="s">
        <v>60</v>
      </c>
      <c r="O22" s="162"/>
      <c r="P22" s="280">
        <v>39040</v>
      </c>
      <c r="Q22" s="1159"/>
      <c r="R22" s="1157"/>
    </row>
    <row r="23" spans="1:19" ht="13.15" x14ac:dyDescent="0.25">
      <c r="A23" s="1039" t="s">
        <v>7</v>
      </c>
      <c r="B23" s="1039"/>
      <c r="C23" s="1039"/>
      <c r="D23" s="1040">
        <f>SUM(D11:D22)</f>
        <v>22.215384615384618</v>
      </c>
      <c r="E23" s="1041">
        <f>SUM(E11:E22)</f>
        <v>811760.0076923077</v>
      </c>
      <c r="F23" s="1047"/>
      <c r="G23" s="162"/>
      <c r="H23" s="1137" t="s">
        <v>7</v>
      </c>
      <c r="I23" s="1039"/>
      <c r="J23" s="1039"/>
      <c r="K23" s="1040">
        <f>SUM(K11:K22)</f>
        <v>22.365384615384617</v>
      </c>
      <c r="L23" s="1134">
        <f>SUM(L11:L22)</f>
        <v>822192.05769230775</v>
      </c>
      <c r="N23" s="434" t="s">
        <v>30</v>
      </c>
      <c r="O23" s="162"/>
      <c r="P23" s="280">
        <v>30648</v>
      </c>
      <c r="Q23" s="1158" t="s">
        <v>86</v>
      </c>
      <c r="R23" s="1157"/>
    </row>
    <row r="24" spans="1:19" ht="13.15" x14ac:dyDescent="0.25">
      <c r="F24" s="1047"/>
      <c r="G24" s="162"/>
      <c r="H24" s="448"/>
      <c r="I24" s="162"/>
      <c r="J24" s="162"/>
      <c r="K24" s="162"/>
      <c r="L24" s="455"/>
      <c r="N24" s="443" t="s">
        <v>31</v>
      </c>
      <c r="O24" s="162"/>
      <c r="P24" s="280">
        <v>30648</v>
      </c>
      <c r="Q24" s="1159"/>
      <c r="R24" s="1157"/>
    </row>
    <row r="25" spans="1:19" ht="13.15" x14ac:dyDescent="0.25">
      <c r="A25" s="1146" t="s">
        <v>21</v>
      </c>
      <c r="D25" s="1146" t="s">
        <v>20</v>
      </c>
      <c r="F25" s="1047"/>
      <c r="G25" s="162"/>
      <c r="H25" s="1135" t="s">
        <v>21</v>
      </c>
      <c r="I25" s="162"/>
      <c r="J25" s="162"/>
      <c r="K25" s="391" t="s">
        <v>20</v>
      </c>
      <c r="L25" s="455"/>
      <c r="N25" s="440" t="s">
        <v>6</v>
      </c>
      <c r="O25" s="162"/>
      <c r="P25" s="280"/>
      <c r="Q25" s="1159"/>
      <c r="R25" s="1157"/>
    </row>
    <row r="26" spans="1:19" ht="13.15" x14ac:dyDescent="0.25">
      <c r="A26" s="281" t="s">
        <v>22</v>
      </c>
      <c r="C26" s="823">
        <f>$P$47</f>
        <v>0.23424901786252411</v>
      </c>
      <c r="E26" s="284">
        <f>C26*E23</f>
        <v>190153.9845419981</v>
      </c>
      <c r="F26" s="1047"/>
      <c r="G26" s="162"/>
      <c r="H26" s="448" t="s">
        <v>22</v>
      </c>
      <c r="I26" s="162"/>
      <c r="J26" s="1043">
        <f>$P$47</f>
        <v>0.23424901786252411</v>
      </c>
      <c r="K26" s="162"/>
      <c r="L26" s="1133">
        <f>J26*L23</f>
        <v>192597.68200879084</v>
      </c>
      <c r="N26" s="434" t="s">
        <v>32</v>
      </c>
      <c r="O26" s="162"/>
      <c r="P26" s="280">
        <f>IF('[9]Avg Salary'!$J$44&gt;P23,P23,'[9]Avg Salary'!$J$44)</f>
        <v>30648</v>
      </c>
      <c r="Q26" s="1159" t="s">
        <v>70</v>
      </c>
      <c r="R26" s="1157"/>
    </row>
    <row r="27" spans="1:19" ht="13.15" x14ac:dyDescent="0.25">
      <c r="A27" s="1039" t="s">
        <v>51</v>
      </c>
      <c r="B27" s="1039"/>
      <c r="C27" s="1039"/>
      <c r="D27" s="1044">
        <f>E27/E8</f>
        <v>228.74748681148535</v>
      </c>
      <c r="E27" s="1041">
        <f>E26+E23</f>
        <v>1001913.9922343058</v>
      </c>
      <c r="F27" s="1047"/>
      <c r="G27" s="162"/>
      <c r="H27" s="1137" t="s">
        <v>51</v>
      </c>
      <c r="I27" s="1039"/>
      <c r="J27" s="1039"/>
      <c r="K27" s="1044">
        <f>L27/L8</f>
        <v>231.6871551828992</v>
      </c>
      <c r="L27" s="1134">
        <f>L26+L23</f>
        <v>1014789.7397010985</v>
      </c>
      <c r="N27" s="434"/>
      <c r="O27" s="162"/>
      <c r="P27" s="280"/>
      <c r="Q27" s="280"/>
      <c r="R27" s="455"/>
    </row>
    <row r="28" spans="1:19" ht="13.15" x14ac:dyDescent="0.25">
      <c r="F28" s="1047"/>
      <c r="G28" s="162"/>
      <c r="H28" s="448"/>
      <c r="I28" s="162"/>
      <c r="J28" s="162"/>
      <c r="K28" s="162"/>
      <c r="L28" s="455"/>
      <c r="N28" s="448"/>
      <c r="O28" s="162"/>
      <c r="P28" s="449" t="s">
        <v>37</v>
      </c>
      <c r="Q28" s="449"/>
      <c r="R28" s="455"/>
    </row>
    <row r="29" spans="1:19" ht="13.15" x14ac:dyDescent="0.25">
      <c r="A29" s="281" t="s">
        <v>39</v>
      </c>
      <c r="D29" s="657">
        <f>$P$49</f>
        <v>22.102</v>
      </c>
      <c r="E29" s="630">
        <f>D29*E8</f>
        <v>96806.76</v>
      </c>
      <c r="F29" s="1047"/>
      <c r="G29" s="162"/>
      <c r="H29" s="448" t="s">
        <v>39</v>
      </c>
      <c r="I29" s="162"/>
      <c r="J29" s="162"/>
      <c r="K29" s="394">
        <f>$P$49</f>
        <v>22.102</v>
      </c>
      <c r="L29" s="1136">
        <f>K29*L8</f>
        <v>96806.76</v>
      </c>
      <c r="N29" s="448" t="s">
        <v>35</v>
      </c>
      <c r="O29" s="451" t="s">
        <v>98</v>
      </c>
      <c r="P29" s="451" t="s">
        <v>88</v>
      </c>
      <c r="Q29" s="451" t="s">
        <v>89</v>
      </c>
      <c r="R29" s="452" t="s">
        <v>90</v>
      </c>
    </row>
    <row r="30" spans="1:19" ht="13.15" x14ac:dyDescent="0.25">
      <c r="A30" s="162" t="s">
        <v>40</v>
      </c>
      <c r="D30" s="657">
        <f>$P$50</f>
        <v>17.654</v>
      </c>
      <c r="E30" s="630">
        <f>D30*E8</f>
        <v>77324.52</v>
      </c>
      <c r="F30" s="1047"/>
      <c r="G30" s="162"/>
      <c r="H30" s="448" t="s">
        <v>40</v>
      </c>
      <c r="I30" s="162"/>
      <c r="J30" s="162"/>
      <c r="K30" s="394">
        <f>P50</f>
        <v>17.654</v>
      </c>
      <c r="L30" s="1136">
        <f>K30*L8</f>
        <v>77324.52</v>
      </c>
      <c r="N30" s="448" t="s">
        <v>36</v>
      </c>
      <c r="O30" s="453">
        <f>'[9]Rate Options'!I28</f>
        <v>12</v>
      </c>
      <c r="P30" s="453">
        <f>'[9]Rate Options'!J28</f>
        <v>12</v>
      </c>
      <c r="Q30" s="453">
        <f>'[9]Rate Options'!K28</f>
        <v>10</v>
      </c>
      <c r="R30" s="454">
        <f>'[9]Rate Options'!L28</f>
        <v>12</v>
      </c>
    </row>
    <row r="31" spans="1:19" ht="13.15" x14ac:dyDescent="0.25">
      <c r="A31" s="162" t="s">
        <v>41</v>
      </c>
      <c r="D31" s="657">
        <f>$P$51</f>
        <v>0.71</v>
      </c>
      <c r="E31" s="630">
        <f>D31*E8</f>
        <v>3109.7999999999997</v>
      </c>
      <c r="F31" s="1047"/>
      <c r="G31" s="162"/>
      <c r="H31" s="448" t="s">
        <v>41</v>
      </c>
      <c r="I31" s="162"/>
      <c r="J31" s="162"/>
      <c r="K31" s="394">
        <f>$P$51</f>
        <v>0.71</v>
      </c>
      <c r="L31" s="1136">
        <f>K31*L8</f>
        <v>3109.7999999999997</v>
      </c>
      <c r="N31" s="440" t="s">
        <v>19</v>
      </c>
      <c r="O31" s="189">
        <f>'[9]Rate Options'!I30</f>
        <v>1.75</v>
      </c>
      <c r="P31" s="189">
        <f>'[9]Rate Options'!J30</f>
        <v>1.75</v>
      </c>
      <c r="Q31" s="189">
        <f>'[9]Rate Options'!K30</f>
        <v>1</v>
      </c>
      <c r="R31" s="190">
        <f>'[9]Rate Options'!L30</f>
        <v>1</v>
      </c>
    </row>
    <row r="32" spans="1:19" ht="13.15" x14ac:dyDescent="0.25">
      <c r="A32" s="162" t="s">
        <v>42</v>
      </c>
      <c r="D32" s="657">
        <f>$P$52</f>
        <v>-1.9951315068493152</v>
      </c>
      <c r="E32" s="630">
        <f>D32*E8</f>
        <v>-8738.6760000000013</v>
      </c>
      <c r="F32" s="1047"/>
      <c r="G32" s="162"/>
      <c r="H32" s="448" t="s">
        <v>42</v>
      </c>
      <c r="I32" s="162"/>
      <c r="J32" s="162"/>
      <c r="K32" s="394">
        <f>$P$52</f>
        <v>-1.9951315068493152</v>
      </c>
      <c r="L32" s="1136">
        <f>K32*L8</f>
        <v>-8738.6760000000013</v>
      </c>
      <c r="N32" s="440" t="s">
        <v>227</v>
      </c>
      <c r="O32" s="189"/>
      <c r="P32" s="189"/>
      <c r="Q32" s="189"/>
      <c r="R32" s="190"/>
    </row>
    <row r="33" spans="1:19" ht="13.15" x14ac:dyDescent="0.25">
      <c r="D33" s="1049">
        <f>SUM(D29:D32)</f>
        <v>38.470868493150689</v>
      </c>
      <c r="F33" s="1047"/>
      <c r="G33" s="162"/>
      <c r="H33" s="448"/>
      <c r="I33" s="162"/>
      <c r="J33" s="162"/>
      <c r="K33" s="1049">
        <f>SUM(K29:K32)</f>
        <v>38.470868493150689</v>
      </c>
      <c r="L33" s="455"/>
      <c r="N33" s="434" t="s">
        <v>23</v>
      </c>
      <c r="O33" s="189">
        <f>'[9]Rate Options'!I32</f>
        <v>0.1</v>
      </c>
      <c r="P33" s="189"/>
      <c r="Q33" s="189"/>
      <c r="R33" s="190"/>
    </row>
    <row r="34" spans="1:19" ht="13.15" x14ac:dyDescent="0.25">
      <c r="F34" s="1047"/>
      <c r="G34" s="162"/>
      <c r="H34" s="448"/>
      <c r="I34" s="162"/>
      <c r="J34" s="162"/>
      <c r="K34" s="162"/>
      <c r="L34" s="455"/>
      <c r="N34" s="434" t="s">
        <v>24</v>
      </c>
      <c r="O34" s="189">
        <f>'[9]Rate Options'!I33</f>
        <v>0.25</v>
      </c>
      <c r="P34" s="189">
        <f>'[9]Rate Options'!J33</f>
        <v>0.25</v>
      </c>
      <c r="Q34" s="189">
        <f>'[9]Rate Options'!K33</f>
        <v>0.1</v>
      </c>
      <c r="R34" s="190"/>
    </row>
    <row r="35" spans="1:19" ht="13.15" x14ac:dyDescent="0.25">
      <c r="A35" s="1039" t="s">
        <v>43</v>
      </c>
      <c r="B35" s="1039"/>
      <c r="C35" s="1039"/>
      <c r="D35" s="1039"/>
      <c r="E35" s="1041">
        <f>SUM(E27:E32)</f>
        <v>1170416.3962343058</v>
      </c>
      <c r="F35" s="1047"/>
      <c r="G35" s="162"/>
      <c r="H35" s="1137" t="s">
        <v>43</v>
      </c>
      <c r="I35" s="1039"/>
      <c r="J35" s="1039"/>
      <c r="K35" s="1039"/>
      <c r="L35" s="1134">
        <f>SUM(L27:L32)</f>
        <v>1183292.1437010986</v>
      </c>
      <c r="N35" s="434" t="s">
        <v>25</v>
      </c>
      <c r="O35" s="189">
        <f>'[9]Rate Options'!I34</f>
        <v>0.5</v>
      </c>
      <c r="P35" s="189"/>
      <c r="Q35" s="189"/>
      <c r="R35" s="190"/>
    </row>
    <row r="36" spans="1:19" ht="13.15" x14ac:dyDescent="0.25">
      <c r="F36" s="1047"/>
      <c r="G36" s="162"/>
      <c r="H36" s="448"/>
      <c r="I36" s="162"/>
      <c r="J36" s="162"/>
      <c r="K36" s="162"/>
      <c r="L36" s="455"/>
      <c r="N36" s="434" t="s">
        <v>26</v>
      </c>
      <c r="O36" s="189">
        <f>'[9]Rate Options'!I35</f>
        <v>1</v>
      </c>
      <c r="P36" s="189">
        <f>'[9]Rate Options'!J35</f>
        <v>0.5</v>
      </c>
      <c r="Q36" s="189" t="s">
        <v>91</v>
      </c>
      <c r="R36" s="190"/>
    </row>
    <row r="37" spans="1:19" ht="13.15" x14ac:dyDescent="0.25">
      <c r="A37" s="281" t="s">
        <v>44</v>
      </c>
      <c r="C37" s="823">
        <f>$P$55</f>
        <v>0.11846733793705286</v>
      </c>
      <c r="E37" s="284">
        <f>C37*E35</f>
        <v>138656.11473975706</v>
      </c>
      <c r="F37" s="1047"/>
      <c r="G37" s="162"/>
      <c r="H37" s="448" t="s">
        <v>44</v>
      </c>
      <c r="I37" s="162"/>
      <c r="J37" s="1043">
        <f>$P$55</f>
        <v>0.11846733793705286</v>
      </c>
      <c r="K37" s="162"/>
      <c r="L37" s="1133">
        <f>J37*L35</f>
        <v>140181.47026609775</v>
      </c>
      <c r="N37" s="440" t="s">
        <v>5</v>
      </c>
      <c r="O37" s="189"/>
      <c r="P37" s="189"/>
      <c r="Q37" s="189"/>
      <c r="R37" s="190"/>
    </row>
    <row r="38" spans="1:19" ht="13.15" x14ac:dyDescent="0.25">
      <c r="F38" s="1047"/>
      <c r="G38" s="162"/>
      <c r="H38" s="448"/>
      <c r="I38" s="162"/>
      <c r="J38" s="162"/>
      <c r="K38" s="162"/>
      <c r="L38" s="455"/>
      <c r="N38" s="434" t="s">
        <v>85</v>
      </c>
      <c r="O38" s="189"/>
      <c r="P38" s="189"/>
      <c r="Q38" s="189">
        <f>'[9]Rate Options'!K37</f>
        <v>0.5</v>
      </c>
      <c r="R38" s="190">
        <f>'[9]Rate Options'!L37</f>
        <v>0.5</v>
      </c>
    </row>
    <row r="39" spans="1:19" ht="13.9" thickBot="1" x14ac:dyDescent="0.3">
      <c r="A39" s="1160" t="s">
        <v>52</v>
      </c>
      <c r="B39" s="1050"/>
      <c r="C39" s="1050"/>
      <c r="D39" s="1050"/>
      <c r="E39" s="1051">
        <f>SUM(E35:E37)</f>
        <v>1309072.5109740628</v>
      </c>
      <c r="F39" s="1047"/>
      <c r="G39" s="162"/>
      <c r="H39" s="1161" t="s">
        <v>52</v>
      </c>
      <c r="I39" s="1050"/>
      <c r="J39" s="1050"/>
      <c r="K39" s="1050"/>
      <c r="L39" s="1138">
        <f>SUM(L35:L37)</f>
        <v>1323473.6139671963</v>
      </c>
      <c r="N39" s="434" t="s">
        <v>59</v>
      </c>
      <c r="O39" s="189">
        <f>'[9]Rate Options'!I38</f>
        <v>1</v>
      </c>
      <c r="P39" s="189">
        <f>'[9]Rate Options'!J38</f>
        <v>1</v>
      </c>
      <c r="Q39" s="189"/>
      <c r="R39" s="190"/>
    </row>
    <row r="40" spans="1:19" ht="13.9" thickTop="1" x14ac:dyDescent="0.25">
      <c r="F40" s="1047"/>
      <c r="G40" s="162"/>
      <c r="H40" s="448"/>
      <c r="I40" s="162"/>
      <c r="J40" s="162"/>
      <c r="K40" s="162"/>
      <c r="L40" s="455"/>
      <c r="N40" s="434" t="s">
        <v>60</v>
      </c>
      <c r="O40" s="189"/>
      <c r="P40" s="189"/>
      <c r="Q40" s="189">
        <f>'[9]Rate Options'!K39</f>
        <v>1</v>
      </c>
      <c r="R40" s="190">
        <f>'[9]Rate Options'!L39</f>
        <v>2</v>
      </c>
    </row>
    <row r="41" spans="1:19" x14ac:dyDescent="0.2">
      <c r="A41" s="281" t="s">
        <v>53</v>
      </c>
      <c r="C41" s="1162">
        <f>$P$57</f>
        <v>2.3900000000000001E-2</v>
      </c>
      <c r="E41" s="631">
        <f>E39*(1+C41)</f>
        <v>1340359.3439863429</v>
      </c>
      <c r="F41" s="1047"/>
      <c r="G41" s="162"/>
      <c r="H41" s="448"/>
      <c r="I41" s="162"/>
      <c r="J41" s="1055"/>
      <c r="K41" s="162"/>
      <c r="L41" s="1139">
        <f>L39*(1+J41)</f>
        <v>1323473.6139671963</v>
      </c>
      <c r="N41" s="434" t="s">
        <v>30</v>
      </c>
      <c r="O41" s="189">
        <f>'[9]Rate Options'!I40</f>
        <v>15</v>
      </c>
      <c r="P41" s="189">
        <f>'[9]Rate Options'!J40</f>
        <v>13</v>
      </c>
      <c r="Q41" s="189">
        <f>'[9]Rate Options'!K40</f>
        <v>6</v>
      </c>
      <c r="R41" s="190"/>
      <c r="S41" s="1163" t="s">
        <v>92</v>
      </c>
    </row>
    <row r="42" spans="1:19" ht="13.15" x14ac:dyDescent="0.25">
      <c r="F42" s="1047"/>
      <c r="G42" s="162"/>
      <c r="H42" s="448"/>
      <c r="I42" s="162"/>
      <c r="J42" s="162"/>
      <c r="K42" s="162"/>
      <c r="L42" s="455"/>
      <c r="N42" s="443" t="s">
        <v>31</v>
      </c>
      <c r="O42" s="187">
        <f>O41*$P$10</f>
        <v>2.3653846153846154</v>
      </c>
      <c r="P42" s="187">
        <f>P41*$P$10</f>
        <v>2.0499999999999998</v>
      </c>
      <c r="Q42" s="187">
        <f>Q41*$P$10</f>
        <v>0.94615384615384612</v>
      </c>
      <c r="R42" s="188"/>
    </row>
    <row r="43" spans="1:19" ht="13.15" x14ac:dyDescent="0.25">
      <c r="E43" s="632" t="s">
        <v>56</v>
      </c>
      <c r="F43" s="1047"/>
      <c r="G43" s="162"/>
      <c r="H43" s="448"/>
      <c r="I43" s="162"/>
      <c r="J43" s="162"/>
      <c r="K43" s="162"/>
      <c r="L43" s="1140" t="s">
        <v>789</v>
      </c>
      <c r="N43" s="440" t="s">
        <v>6</v>
      </c>
      <c r="O43" s="189"/>
      <c r="P43" s="189"/>
      <c r="Q43" s="189"/>
      <c r="R43" s="190"/>
    </row>
    <row r="44" spans="1:19" ht="13.15" x14ac:dyDescent="0.25">
      <c r="A44" s="281" t="s">
        <v>55</v>
      </c>
      <c r="D44" s="633">
        <f>E39/E8</f>
        <v>298.8750025054938</v>
      </c>
      <c r="E44" s="633">
        <f>D44*(1+C41)</f>
        <v>306.01811506537513</v>
      </c>
      <c r="F44" s="1047"/>
      <c r="G44" s="162"/>
      <c r="H44" s="448" t="s">
        <v>55</v>
      </c>
      <c r="I44" s="162"/>
      <c r="J44" s="162"/>
      <c r="K44" s="398">
        <f>L39/L8</f>
        <v>302.16292556328682</v>
      </c>
      <c r="L44" s="1081">
        <f>K44*(1+J41)</f>
        <v>302.16292556328682</v>
      </c>
      <c r="N44" s="434" t="s">
        <v>32</v>
      </c>
      <c r="O44" s="189">
        <f>'[9]Rate Options'!I43</f>
        <v>0.25</v>
      </c>
      <c r="P44" s="189">
        <f>'[9]Rate Options'!J43</f>
        <v>0.25</v>
      </c>
      <c r="Q44" s="189">
        <f>'[9]Rate Options'!K43</f>
        <v>0.25</v>
      </c>
      <c r="R44" s="190">
        <f>'[9]Rate Options'!L43</f>
        <v>0.25</v>
      </c>
    </row>
    <row r="45" spans="1:19" ht="13.9" thickBot="1" x14ac:dyDescent="0.3">
      <c r="A45" s="759" t="s">
        <v>456</v>
      </c>
      <c r="C45" s="1164">
        <f>'CAF Spring 2015'!$BC$24</f>
        <v>2.0354406130268236E-2</v>
      </c>
      <c r="D45" s="633"/>
      <c r="E45" s="633"/>
      <c r="F45" s="1165">
        <f>E44*(1+C45)</f>
        <v>312.24693206263493</v>
      </c>
      <c r="G45" s="398"/>
      <c r="H45" s="1080" t="s">
        <v>762</v>
      </c>
      <c r="I45" s="162"/>
      <c r="J45" s="1026"/>
      <c r="K45" s="398"/>
      <c r="L45" s="1081">
        <f>L44*(1+J45)</f>
        <v>302.16292556328682</v>
      </c>
      <c r="N45" s="448"/>
      <c r="O45" s="162"/>
      <c r="P45" s="162"/>
      <c r="Q45" s="162"/>
      <c r="R45" s="455"/>
    </row>
    <row r="46" spans="1:19" ht="13.9" thickBot="1" x14ac:dyDescent="0.3">
      <c r="A46" s="1166" t="s">
        <v>54</v>
      </c>
      <c r="B46" s="1167">
        <v>0.9</v>
      </c>
      <c r="C46" s="1168"/>
      <c r="D46" s="742">
        <f>E39/(E8*B46)</f>
        <v>332.08333611721531</v>
      </c>
      <c r="E46" s="742">
        <f>D46*(1+C41)</f>
        <v>340.02012785041677</v>
      </c>
      <c r="F46" s="1169">
        <f>F45/B46</f>
        <v>346.94103562514994</v>
      </c>
      <c r="G46" s="394"/>
      <c r="H46" s="1082" t="s">
        <v>54</v>
      </c>
      <c r="I46" s="1083">
        <v>0.9</v>
      </c>
      <c r="J46" s="1084"/>
      <c r="K46" s="1085"/>
      <c r="L46" s="1141">
        <f>L45/I46</f>
        <v>335.73658395920756</v>
      </c>
      <c r="M46" s="416"/>
      <c r="N46" s="448"/>
      <c r="O46" s="162"/>
      <c r="P46" s="449" t="s">
        <v>38</v>
      </c>
      <c r="Q46" s="449"/>
      <c r="R46" s="455"/>
    </row>
    <row r="47" spans="1:19" ht="13.9" thickBot="1" x14ac:dyDescent="0.3">
      <c r="A47" s="474"/>
      <c r="B47" s="475">
        <v>0.85</v>
      </c>
      <c r="C47" s="476"/>
      <c r="D47" s="389">
        <f>E39/(E8*B47)</f>
        <v>351.61765000646329</v>
      </c>
      <c r="E47" s="745">
        <f>D47*(1+C41)</f>
        <v>360.02131184161777</v>
      </c>
      <c r="F47" s="1048"/>
      <c r="G47" s="394"/>
      <c r="H47" s="1373" t="s">
        <v>761</v>
      </c>
      <c r="I47" s="1374"/>
      <c r="J47" s="1375">
        <f>P57</f>
        <v>2.3900000000000001E-2</v>
      </c>
      <c r="K47" s="1085"/>
      <c r="L47" s="1372">
        <f>L46*(J47+1)</f>
        <v>343.76068831583262</v>
      </c>
      <c r="M47" s="416"/>
      <c r="N47" s="448" t="s">
        <v>22</v>
      </c>
      <c r="O47" s="162"/>
      <c r="P47" s="456">
        <f>[10]Summary!$C$18</f>
        <v>0.23424901786252411</v>
      </c>
      <c r="Q47" s="1170" t="s">
        <v>68</v>
      </c>
      <c r="R47" s="455"/>
      <c r="S47" s="759"/>
    </row>
    <row r="48" spans="1:19" ht="13.15" x14ac:dyDescent="0.25">
      <c r="A48" s="368"/>
      <c r="B48" s="369">
        <v>0.8</v>
      </c>
      <c r="C48" s="370"/>
      <c r="D48" s="371">
        <f>E39/(E8*B48)</f>
        <v>373.59375313186723</v>
      </c>
      <c r="E48" s="375">
        <f>D48*(1+C41)</f>
        <v>382.52264383171888</v>
      </c>
      <c r="F48" s="1171"/>
      <c r="G48" s="394"/>
      <c r="H48" s="162"/>
      <c r="I48" s="415"/>
      <c r="J48" s="162"/>
      <c r="K48" s="389"/>
      <c r="L48" s="389"/>
      <c r="M48" s="759"/>
      <c r="N48" s="448"/>
      <c r="O48" s="162"/>
      <c r="P48" s="458"/>
      <c r="Q48" s="458"/>
      <c r="R48" s="455"/>
    </row>
    <row r="49" spans="1:18" ht="13.15" x14ac:dyDescent="0.25">
      <c r="N49" s="448" t="s">
        <v>39</v>
      </c>
      <c r="O49" s="162"/>
      <c r="P49" s="460">
        <v>22.102</v>
      </c>
      <c r="Q49" s="460"/>
      <c r="R49" s="455"/>
    </row>
    <row r="50" spans="1:18" ht="13.9" thickBot="1" x14ac:dyDescent="0.3">
      <c r="N50" s="448" t="s">
        <v>40</v>
      </c>
      <c r="O50" s="162"/>
      <c r="P50" s="460">
        <v>17.654</v>
      </c>
      <c r="Q50" s="460"/>
      <c r="R50" s="455"/>
    </row>
    <row r="51" spans="1:18" ht="13.15" customHeight="1" x14ac:dyDescent="0.2">
      <c r="A51" s="1484" t="s">
        <v>506</v>
      </c>
      <c r="B51" s="1485"/>
      <c r="C51" s="1485"/>
      <c r="D51" s="1485"/>
      <c r="E51" s="1485"/>
      <c r="F51" s="1484" t="s">
        <v>460</v>
      </c>
      <c r="G51" s="1345"/>
      <c r="H51" s="1488" t="s">
        <v>831</v>
      </c>
      <c r="I51" s="1489"/>
      <c r="J51" s="1489"/>
      <c r="K51" s="1489"/>
      <c r="L51" s="1490"/>
      <c r="N51" s="448" t="s">
        <v>41</v>
      </c>
      <c r="O51" s="162"/>
      <c r="P51" s="460">
        <v>0.71</v>
      </c>
      <c r="Q51" s="460"/>
      <c r="R51" s="455"/>
    </row>
    <row r="52" spans="1:18" ht="15" customHeight="1" thickBot="1" x14ac:dyDescent="0.25">
      <c r="A52" s="1486"/>
      <c r="B52" s="1486"/>
      <c r="C52" s="1486"/>
      <c r="D52" s="1486"/>
      <c r="E52" s="1486"/>
      <c r="F52" s="1487"/>
      <c r="G52" s="625"/>
      <c r="H52" s="1491"/>
      <c r="I52" s="1486"/>
      <c r="J52" s="1486"/>
      <c r="K52" s="1486"/>
      <c r="L52" s="1492"/>
      <c r="N52" s="448" t="s">
        <v>42</v>
      </c>
      <c r="O52" s="162"/>
      <c r="P52" s="460">
        <f>-1*[11]Sheet1!$F$26</f>
        <v>-1.9951315068493152</v>
      </c>
      <c r="Q52" s="460"/>
      <c r="R52" s="455"/>
    </row>
    <row r="53" spans="1:18" ht="13.15" x14ac:dyDescent="0.25">
      <c r="A53" s="1146" t="s">
        <v>0</v>
      </c>
      <c r="B53" s="1147">
        <f>P$30</f>
        <v>12</v>
      </c>
      <c r="C53" s="1146"/>
      <c r="D53" s="1146" t="s">
        <v>1</v>
      </c>
      <c r="E53" s="629">
        <f>B53*365</f>
        <v>4380</v>
      </c>
      <c r="F53" s="1148"/>
      <c r="G53" s="162"/>
      <c r="H53" s="1135" t="s">
        <v>0</v>
      </c>
      <c r="I53" s="1149">
        <v>12</v>
      </c>
      <c r="J53" s="391"/>
      <c r="K53" s="391" t="s">
        <v>1</v>
      </c>
      <c r="L53" s="1150">
        <f>I53*365</f>
        <v>4380</v>
      </c>
      <c r="N53" s="462" t="s">
        <v>43</v>
      </c>
      <c r="O53" s="463"/>
      <c r="P53" s="464">
        <f>SUM(P49:P52)</f>
        <v>38.470868493150689</v>
      </c>
      <c r="Q53" s="464"/>
      <c r="R53" s="1172"/>
    </row>
    <row r="54" spans="1:18" ht="13.15" x14ac:dyDescent="0.25">
      <c r="F54" s="1047"/>
      <c r="G54" s="162"/>
      <c r="H54" s="448"/>
      <c r="I54" s="162"/>
      <c r="J54" s="162"/>
      <c r="K54" s="162"/>
      <c r="L54" s="455"/>
      <c r="N54" s="448"/>
      <c r="O54" s="162"/>
      <c r="P54" s="162"/>
      <c r="Q54" s="162"/>
      <c r="R54" s="455"/>
    </row>
    <row r="55" spans="1:18" ht="13.15" x14ac:dyDescent="0.25">
      <c r="A55" s="1151"/>
      <c r="B55" s="1151"/>
      <c r="C55" s="1152" t="s">
        <v>2</v>
      </c>
      <c r="D55" s="1152" t="s">
        <v>3</v>
      </c>
      <c r="E55" s="1152" t="s">
        <v>4</v>
      </c>
      <c r="F55" s="1047"/>
      <c r="G55" s="162"/>
      <c r="H55" s="1153"/>
      <c r="I55" s="1151"/>
      <c r="J55" s="1152" t="s">
        <v>2</v>
      </c>
      <c r="K55" s="1152" t="s">
        <v>3</v>
      </c>
      <c r="L55" s="1154" t="s">
        <v>4</v>
      </c>
      <c r="N55" s="448" t="s">
        <v>44</v>
      </c>
      <c r="O55" s="162"/>
      <c r="P55" s="456">
        <f>'STARR (rebased)'!T47</f>
        <v>0.11846733793705286</v>
      </c>
      <c r="Q55" s="1170" t="s">
        <v>93</v>
      </c>
      <c r="R55" s="455"/>
    </row>
    <row r="56" spans="1:18" ht="13.15" x14ac:dyDescent="0.25">
      <c r="A56" s="1155" t="s">
        <v>19</v>
      </c>
      <c r="C56" s="282">
        <f>P$13</f>
        <v>56249</v>
      </c>
      <c r="D56" s="283">
        <f>P$31</f>
        <v>1.75</v>
      </c>
      <c r="E56" s="284">
        <f>C56*D56</f>
        <v>98435.75</v>
      </c>
      <c r="F56" s="1047"/>
      <c r="G56" s="162"/>
      <c r="H56" s="1156" t="s">
        <v>19</v>
      </c>
      <c r="I56" s="162"/>
      <c r="J56" s="280">
        <f>P13</f>
        <v>56249</v>
      </c>
      <c r="K56" s="195">
        <v>1.75</v>
      </c>
      <c r="L56" s="1133">
        <f>J56*K56</f>
        <v>98435.75</v>
      </c>
      <c r="N56" s="448"/>
      <c r="O56" s="162"/>
      <c r="P56" s="162"/>
      <c r="Q56" s="162"/>
      <c r="R56" s="455"/>
    </row>
    <row r="57" spans="1:18" ht="13.9" thickBot="1" x14ac:dyDescent="0.3">
      <c r="A57" s="285" t="s">
        <v>227</v>
      </c>
      <c r="C57" s="282"/>
      <c r="D57" s="283"/>
      <c r="E57" s="284"/>
      <c r="F57" s="1047"/>
      <c r="G57" s="162"/>
      <c r="H57" s="440" t="s">
        <v>227</v>
      </c>
      <c r="I57" s="162"/>
      <c r="J57" s="280"/>
      <c r="K57" s="195"/>
      <c r="L57" s="1133"/>
      <c r="N57" s="1207" t="s">
        <v>824</v>
      </c>
      <c r="O57" s="1174"/>
      <c r="P57" s="1175">
        <v>2.3900000000000001E-2</v>
      </c>
      <c r="Q57" s="1175"/>
      <c r="R57" s="1176"/>
    </row>
    <row r="58" spans="1:18" ht="13.15" x14ac:dyDescent="0.25">
      <c r="A58" s="173" t="s">
        <v>24</v>
      </c>
      <c r="C58" s="282">
        <f>P16</f>
        <v>69547</v>
      </c>
      <c r="D58" s="283">
        <f>P34</f>
        <v>0.25</v>
      </c>
      <c r="E58" s="284">
        <f>C58*D58</f>
        <v>17386.75</v>
      </c>
      <c r="F58" s="1047"/>
      <c r="G58" s="162"/>
      <c r="H58" s="434" t="s">
        <v>24</v>
      </c>
      <c r="I58" s="162"/>
      <c r="J58" s="280">
        <f>P16</f>
        <v>69547</v>
      </c>
      <c r="K58" s="195">
        <f>0.25 + (I53*0.5/40)</f>
        <v>0.4</v>
      </c>
      <c r="L58" s="1133">
        <f>J58*K58</f>
        <v>27818.800000000003</v>
      </c>
      <c r="N58" s="1177" t="s">
        <v>50</v>
      </c>
      <c r="O58" s="1178" t="s">
        <v>46</v>
      </c>
    </row>
    <row r="59" spans="1:18" ht="13.15" x14ac:dyDescent="0.25">
      <c r="A59" s="173" t="s">
        <v>26</v>
      </c>
      <c r="C59" s="282">
        <f>P18</f>
        <v>53768</v>
      </c>
      <c r="D59" s="283">
        <f>P36</f>
        <v>0.5</v>
      </c>
      <c r="E59" s="284">
        <f>C59*D59</f>
        <v>26884</v>
      </c>
      <c r="F59" s="1047"/>
      <c r="G59" s="162"/>
      <c r="H59" s="434" t="s">
        <v>26</v>
      </c>
      <c r="I59" s="162"/>
      <c r="J59" s="280">
        <f>P18</f>
        <v>53768</v>
      </c>
      <c r="K59" s="195">
        <v>0.5</v>
      </c>
      <c r="L59" s="1133">
        <f>J59*K59</f>
        <v>26884</v>
      </c>
      <c r="N59" s="472" t="s">
        <v>47</v>
      </c>
    </row>
    <row r="60" spans="1:18" ht="13.15" x14ac:dyDescent="0.25">
      <c r="A60" s="285" t="s">
        <v>5</v>
      </c>
      <c r="C60" s="282"/>
      <c r="D60" s="283"/>
      <c r="E60" s="284"/>
      <c r="F60" s="1047"/>
      <c r="G60" s="162"/>
      <c r="H60" s="440" t="s">
        <v>5</v>
      </c>
      <c r="I60" s="162"/>
      <c r="J60" s="280"/>
      <c r="K60" s="195"/>
      <c r="L60" s="1133"/>
      <c r="N60" s="281" t="s">
        <v>63</v>
      </c>
    </row>
    <row r="61" spans="1:18" ht="13.15" x14ac:dyDescent="0.25">
      <c r="A61" s="173" t="s">
        <v>59</v>
      </c>
      <c r="C61" s="282">
        <f>P21</f>
        <v>47584</v>
      </c>
      <c r="D61" s="283">
        <f>P39</f>
        <v>1</v>
      </c>
      <c r="E61" s="284">
        <f>C61*D61</f>
        <v>47584</v>
      </c>
      <c r="F61" s="1047"/>
      <c r="G61" s="162"/>
      <c r="H61" s="434" t="s">
        <v>59</v>
      </c>
      <c r="I61" s="162"/>
      <c r="J61" s="280">
        <f>P21</f>
        <v>47584</v>
      </c>
      <c r="K61" s="195">
        <v>1</v>
      </c>
      <c r="L61" s="1133">
        <f>J61*K61</f>
        <v>47584</v>
      </c>
      <c r="N61" s="1179" t="s">
        <v>48</v>
      </c>
    </row>
    <row r="62" spans="1:18" ht="13.15" x14ac:dyDescent="0.25">
      <c r="A62" s="173" t="s">
        <v>30</v>
      </c>
      <c r="C62" s="282">
        <f>P23</f>
        <v>30648</v>
      </c>
      <c r="D62" s="283">
        <f>P41</f>
        <v>13</v>
      </c>
      <c r="E62" s="284">
        <f>C62*D62</f>
        <v>398424</v>
      </c>
      <c r="F62" s="1047"/>
      <c r="G62" s="162"/>
      <c r="H62" s="434" t="s">
        <v>30</v>
      </c>
      <c r="I62" s="162"/>
      <c r="J62" s="280">
        <f>P23</f>
        <v>30648</v>
      </c>
      <c r="K62" s="195">
        <v>13</v>
      </c>
      <c r="L62" s="1133">
        <f>J62*K62</f>
        <v>398424</v>
      </c>
    </row>
    <row r="63" spans="1:18" ht="13.15" x14ac:dyDescent="0.25">
      <c r="A63" s="286" t="s">
        <v>31</v>
      </c>
      <c r="C63" s="282">
        <f>P24</f>
        <v>30648</v>
      </c>
      <c r="D63" s="283">
        <f>P42</f>
        <v>2.0499999999999998</v>
      </c>
      <c r="E63" s="284">
        <f>C63*D63</f>
        <v>62828.399999999994</v>
      </c>
      <c r="F63" s="1047"/>
      <c r="G63" s="162"/>
      <c r="H63" s="443" t="s">
        <v>31</v>
      </c>
      <c r="I63" s="162"/>
      <c r="J63" s="280">
        <f>P24</f>
        <v>30648</v>
      </c>
      <c r="K63" s="195">
        <v>2.0499999999999998</v>
      </c>
      <c r="L63" s="1133">
        <f>J63*K63</f>
        <v>62828.399999999994</v>
      </c>
      <c r="N63" s="1180" t="s">
        <v>49</v>
      </c>
    </row>
    <row r="64" spans="1:18" ht="13.15" x14ac:dyDescent="0.25">
      <c r="A64" s="285" t="s">
        <v>6</v>
      </c>
      <c r="C64" s="282"/>
      <c r="D64" s="283"/>
      <c r="E64" s="284"/>
      <c r="F64" s="1047"/>
      <c r="G64" s="162"/>
      <c r="H64" s="440" t="s">
        <v>6</v>
      </c>
      <c r="I64" s="162"/>
      <c r="J64" s="280"/>
      <c r="K64" s="195"/>
      <c r="L64" s="1133"/>
      <c r="N64" s="281" t="s">
        <v>67</v>
      </c>
    </row>
    <row r="65" spans="1:14" ht="13.15" x14ac:dyDescent="0.25">
      <c r="A65" s="173" t="s">
        <v>32</v>
      </c>
      <c r="C65" s="282">
        <f>P26</f>
        <v>30648</v>
      </c>
      <c r="D65" s="283">
        <f>P44</f>
        <v>0.25</v>
      </c>
      <c r="E65" s="284">
        <f>C65*D65</f>
        <v>7662</v>
      </c>
      <c r="F65" s="1047"/>
      <c r="G65" s="162"/>
      <c r="H65" s="434" t="s">
        <v>32</v>
      </c>
      <c r="I65" s="162"/>
      <c r="J65" s="280">
        <f>P26</f>
        <v>30648</v>
      </c>
      <c r="K65" s="195">
        <v>0.25</v>
      </c>
      <c r="L65" s="1133">
        <f>J65*K65</f>
        <v>7662</v>
      </c>
      <c r="N65" s="281" t="s">
        <v>83</v>
      </c>
    </row>
    <row r="66" spans="1:14" x14ac:dyDescent="0.2">
      <c r="A66" s="1039" t="s">
        <v>7</v>
      </c>
      <c r="B66" s="1039"/>
      <c r="C66" s="1039"/>
      <c r="D66" s="1040">
        <f>SUM(D56:D65)</f>
        <v>18.8</v>
      </c>
      <c r="E66" s="1041">
        <f>SUM(E56:E65)</f>
        <v>659204.9</v>
      </c>
      <c r="F66" s="1047"/>
      <c r="G66" s="162"/>
      <c r="H66" s="1137" t="s">
        <v>7</v>
      </c>
      <c r="I66" s="1039"/>
      <c r="J66" s="1039"/>
      <c r="K66" s="1040">
        <f>SUM(K56:K65)</f>
        <v>18.95</v>
      </c>
      <c r="L66" s="1134">
        <f>SUM(L56:L65)</f>
        <v>669636.95000000007</v>
      </c>
      <c r="N66" s="281" t="s">
        <v>57</v>
      </c>
    </row>
    <row r="67" spans="1:14" x14ac:dyDescent="0.2">
      <c r="F67" s="1047"/>
      <c r="G67" s="162"/>
      <c r="H67" s="448"/>
      <c r="I67" s="162"/>
      <c r="J67" s="162"/>
      <c r="K67" s="162"/>
      <c r="L67" s="455"/>
      <c r="N67" s="100" t="s">
        <v>76</v>
      </c>
    </row>
    <row r="68" spans="1:14" x14ac:dyDescent="0.2">
      <c r="A68" s="1146" t="s">
        <v>21</v>
      </c>
      <c r="D68" s="1146" t="s">
        <v>20</v>
      </c>
      <c r="F68" s="1047"/>
      <c r="G68" s="162"/>
      <c r="H68" s="1135" t="s">
        <v>21</v>
      </c>
      <c r="I68" s="162"/>
      <c r="J68" s="162"/>
      <c r="K68" s="391" t="s">
        <v>20</v>
      </c>
      <c r="L68" s="455"/>
      <c r="N68" s="1181" t="s">
        <v>87</v>
      </c>
    </row>
    <row r="69" spans="1:14" x14ac:dyDescent="0.2">
      <c r="A69" s="281" t="s">
        <v>22</v>
      </c>
      <c r="C69" s="823">
        <f>$P$47</f>
        <v>0.23424901786252411</v>
      </c>
      <c r="E69" s="284">
        <f>C69*E66</f>
        <v>154418.10039516343</v>
      </c>
      <c r="F69" s="1047"/>
      <c r="G69" s="162"/>
      <c r="H69" s="448" t="s">
        <v>22</v>
      </c>
      <c r="I69" s="162"/>
      <c r="J69" s="1043">
        <f>$P$47</f>
        <v>0.23424901786252411</v>
      </c>
      <c r="K69" s="162"/>
      <c r="L69" s="1133">
        <f>J69*L66</f>
        <v>156861.79786195618</v>
      </c>
      <c r="N69" s="1182" t="s">
        <v>66</v>
      </c>
    </row>
    <row r="70" spans="1:14" x14ac:dyDescent="0.2">
      <c r="A70" s="1039" t="s">
        <v>51</v>
      </c>
      <c r="B70" s="1039"/>
      <c r="C70" s="1039"/>
      <c r="D70" s="1044">
        <f>E70/E53</f>
        <v>185.75867588930672</v>
      </c>
      <c r="E70" s="1041">
        <f>E69+E66</f>
        <v>813623.00039516343</v>
      </c>
      <c r="F70" s="1047"/>
      <c r="G70" s="162"/>
      <c r="H70" s="1137" t="s">
        <v>51</v>
      </c>
      <c r="I70" s="1039"/>
      <c r="J70" s="1039"/>
      <c r="K70" s="1044">
        <f>L70/L53</f>
        <v>188.6983442607206</v>
      </c>
      <c r="L70" s="1134">
        <f>L69+L66</f>
        <v>826498.74786195625</v>
      </c>
      <c r="N70" s="1183" t="s">
        <v>141</v>
      </c>
    </row>
    <row r="71" spans="1:14" x14ac:dyDescent="0.2">
      <c r="F71" s="1047"/>
      <c r="G71" s="162"/>
      <c r="H71" s="448"/>
      <c r="I71" s="162"/>
      <c r="J71" s="162"/>
      <c r="K71" s="162"/>
      <c r="L71" s="455"/>
      <c r="N71" s="1182" t="s">
        <v>94</v>
      </c>
    </row>
    <row r="72" spans="1:14" x14ac:dyDescent="0.2">
      <c r="A72" s="281" t="s">
        <v>39</v>
      </c>
      <c r="D72" s="657">
        <f>$P$49</f>
        <v>22.102</v>
      </c>
      <c r="E72" s="630">
        <f>D72*E53</f>
        <v>96806.76</v>
      </c>
      <c r="F72" s="1047"/>
      <c r="G72" s="162"/>
      <c r="H72" s="448" t="s">
        <v>39</v>
      </c>
      <c r="I72" s="162"/>
      <c r="J72" s="162"/>
      <c r="K72" s="394">
        <f>$P$49</f>
        <v>22.102</v>
      </c>
      <c r="L72" s="1136">
        <f>K72*L53</f>
        <v>96806.76</v>
      </c>
    </row>
    <row r="73" spans="1:14" x14ac:dyDescent="0.2">
      <c r="A73" s="162" t="s">
        <v>40</v>
      </c>
      <c r="D73" s="657">
        <f>$P$50</f>
        <v>17.654</v>
      </c>
      <c r="E73" s="630">
        <f>D73*E53</f>
        <v>77324.52</v>
      </c>
      <c r="F73" s="1047"/>
      <c r="G73" s="162"/>
      <c r="H73" s="448" t="s">
        <v>40</v>
      </c>
      <c r="I73" s="162"/>
      <c r="J73" s="162"/>
      <c r="K73" s="394">
        <f>$P$50</f>
        <v>17.654</v>
      </c>
      <c r="L73" s="1136">
        <f>K73*L53</f>
        <v>77324.52</v>
      </c>
    </row>
    <row r="74" spans="1:14" x14ac:dyDescent="0.2">
      <c r="A74" s="162" t="s">
        <v>41</v>
      </c>
      <c r="D74" s="657">
        <f>$P$51</f>
        <v>0.71</v>
      </c>
      <c r="E74" s="630">
        <f>D74*E53</f>
        <v>3109.7999999999997</v>
      </c>
      <c r="F74" s="1047"/>
      <c r="G74" s="162"/>
      <c r="H74" s="448" t="s">
        <v>41</v>
      </c>
      <c r="I74" s="162"/>
      <c r="J74" s="162"/>
      <c r="K74" s="394">
        <f>$P$51</f>
        <v>0.71</v>
      </c>
      <c r="L74" s="1136">
        <f>K74*L53</f>
        <v>3109.7999999999997</v>
      </c>
    </row>
    <row r="75" spans="1:14" x14ac:dyDescent="0.2">
      <c r="A75" s="162" t="s">
        <v>42</v>
      </c>
      <c r="D75" s="657">
        <f>$P$52</f>
        <v>-1.9951315068493152</v>
      </c>
      <c r="E75" s="630">
        <f>D75*E53</f>
        <v>-8738.6760000000013</v>
      </c>
      <c r="F75" s="1047"/>
      <c r="G75" s="162"/>
      <c r="H75" s="448" t="s">
        <v>42</v>
      </c>
      <c r="I75" s="162"/>
      <c r="J75" s="162"/>
      <c r="K75" s="394">
        <f>$P$52</f>
        <v>-1.9951315068493152</v>
      </c>
      <c r="L75" s="1136">
        <f>K75*L53</f>
        <v>-8738.6760000000013</v>
      </c>
    </row>
    <row r="76" spans="1:14" x14ac:dyDescent="0.2">
      <c r="D76" s="1049">
        <f>SUM(D72:D75)</f>
        <v>38.470868493150689</v>
      </c>
      <c r="F76" s="1047"/>
      <c r="G76" s="162"/>
      <c r="H76" s="448"/>
      <c r="I76" s="162"/>
      <c r="J76" s="162"/>
      <c r="K76" s="1049">
        <f>SUM(K72:K75)</f>
        <v>38.470868493150689</v>
      </c>
      <c r="L76" s="455"/>
    </row>
    <row r="77" spans="1:14" x14ac:dyDescent="0.2">
      <c r="F77" s="1047"/>
      <c r="G77" s="162"/>
      <c r="H77" s="448"/>
      <c r="I77" s="162"/>
      <c r="J77" s="162"/>
      <c r="K77" s="162"/>
      <c r="L77" s="455"/>
    </row>
    <row r="78" spans="1:14" x14ac:dyDescent="0.2">
      <c r="A78" s="1039" t="s">
        <v>43</v>
      </c>
      <c r="B78" s="1039"/>
      <c r="C78" s="1039"/>
      <c r="D78" s="1039"/>
      <c r="E78" s="1041">
        <f>SUM(E70:E75)</f>
        <v>982125.40439516352</v>
      </c>
      <c r="F78" s="1047"/>
      <c r="G78" s="162"/>
      <c r="H78" s="1137" t="s">
        <v>43</v>
      </c>
      <c r="I78" s="1039"/>
      <c r="J78" s="1039"/>
      <c r="K78" s="1039"/>
      <c r="L78" s="1134">
        <f>SUM(L70:L75)</f>
        <v>995001.15186195634</v>
      </c>
    </row>
    <row r="79" spans="1:14" x14ac:dyDescent="0.2">
      <c r="F79" s="1047"/>
      <c r="G79" s="162"/>
      <c r="H79" s="448"/>
      <c r="I79" s="162"/>
      <c r="J79" s="162"/>
      <c r="K79" s="162"/>
      <c r="L79" s="455"/>
    </row>
    <row r="80" spans="1:14" x14ac:dyDescent="0.2">
      <c r="A80" s="281" t="s">
        <v>44</v>
      </c>
      <c r="C80" s="823">
        <f>$P$55</f>
        <v>0.11846733793705286</v>
      </c>
      <c r="E80" s="284">
        <f>C80*E78</f>
        <v>116349.78217904654</v>
      </c>
      <c r="F80" s="1047"/>
      <c r="G80" s="162"/>
      <c r="H80" s="448" t="s">
        <v>44</v>
      </c>
      <c r="I80" s="162"/>
      <c r="J80" s="1043">
        <f>$P$55</f>
        <v>0.11846733793705286</v>
      </c>
      <c r="K80" s="162"/>
      <c r="L80" s="1133">
        <f>J80*L78</f>
        <v>117875.13770538723</v>
      </c>
    </row>
    <row r="81" spans="1:13" x14ac:dyDescent="0.2">
      <c r="F81" s="1047"/>
      <c r="G81" s="162"/>
      <c r="H81" s="448"/>
      <c r="I81" s="162"/>
      <c r="J81" s="162"/>
      <c r="K81" s="162"/>
      <c r="L81" s="455"/>
    </row>
    <row r="82" spans="1:13" ht="13.5" thickBot="1" x14ac:dyDescent="0.25">
      <c r="A82" s="1160" t="s">
        <v>52</v>
      </c>
      <c r="B82" s="1050"/>
      <c r="C82" s="1050"/>
      <c r="D82" s="1050"/>
      <c r="E82" s="1051">
        <f>SUM(E78:E80)</f>
        <v>1098475.1865742099</v>
      </c>
      <c r="F82" s="1047"/>
      <c r="G82" s="162"/>
      <c r="H82" s="1161" t="s">
        <v>52</v>
      </c>
      <c r="I82" s="1050"/>
      <c r="J82" s="1050"/>
      <c r="K82" s="1050"/>
      <c r="L82" s="1138">
        <f>SUM(L78:L80)</f>
        <v>1112876.2895673437</v>
      </c>
    </row>
    <row r="83" spans="1:13" ht="13.5" thickTop="1" x14ac:dyDescent="0.2">
      <c r="F83" s="1047"/>
      <c r="G83" s="162"/>
      <c r="H83" s="448"/>
      <c r="I83" s="162"/>
      <c r="J83" s="162"/>
      <c r="K83" s="162"/>
      <c r="L83" s="455"/>
    </row>
    <row r="84" spans="1:13" x14ac:dyDescent="0.2">
      <c r="A84" s="281" t="s">
        <v>53</v>
      </c>
      <c r="C84" s="1162">
        <f>$P$57</f>
        <v>2.3900000000000001E-2</v>
      </c>
      <c r="E84" s="631">
        <f>E82*(1+C84)</f>
        <v>1124728.7435333335</v>
      </c>
      <c r="F84" s="1047"/>
      <c r="G84" s="162"/>
      <c r="H84" s="448"/>
      <c r="I84" s="162"/>
      <c r="J84" s="1055"/>
      <c r="K84" s="162"/>
      <c r="L84" s="1139">
        <f>L82*(1+J84)</f>
        <v>1112876.2895673437</v>
      </c>
    </row>
    <row r="85" spans="1:13" x14ac:dyDescent="0.2">
      <c r="F85" s="1047"/>
      <c r="G85" s="162"/>
      <c r="H85" s="448"/>
      <c r="I85" s="162"/>
      <c r="J85" s="162"/>
      <c r="K85" s="162"/>
      <c r="L85" s="455"/>
    </row>
    <row r="86" spans="1:13" x14ac:dyDescent="0.2">
      <c r="E86" s="632" t="s">
        <v>56</v>
      </c>
      <c r="F86" s="1047"/>
      <c r="G86" s="162"/>
      <c r="H86" s="448"/>
      <c r="I86" s="162"/>
      <c r="J86" s="162"/>
      <c r="K86" s="162"/>
      <c r="L86" s="1140" t="s">
        <v>789</v>
      </c>
    </row>
    <row r="87" spans="1:13" x14ac:dyDescent="0.2">
      <c r="A87" s="281" t="s">
        <v>55</v>
      </c>
      <c r="D87" s="633">
        <f>E82/E53</f>
        <v>250.79342159228537</v>
      </c>
      <c r="E87" s="633">
        <f>D87*(1+C84)</f>
        <v>256.78738436834101</v>
      </c>
      <c r="F87" s="1047"/>
      <c r="G87" s="162"/>
      <c r="H87" s="448" t="s">
        <v>55</v>
      </c>
      <c r="I87" s="162"/>
      <c r="J87" s="162"/>
      <c r="K87" s="398">
        <f>L82/L53</f>
        <v>254.08134465007845</v>
      </c>
      <c r="L87" s="1081">
        <f>K87*(1+J84)</f>
        <v>254.08134465007845</v>
      </c>
    </row>
    <row r="88" spans="1:13" ht="13.5" thickBot="1" x14ac:dyDescent="0.25">
      <c r="A88" s="759" t="s">
        <v>456</v>
      </c>
      <c r="C88" s="1164">
        <f>'CAF Spring 2015'!$BC$24</f>
        <v>2.0354406130268236E-2</v>
      </c>
      <c r="D88" s="633"/>
      <c r="E88" s="633"/>
      <c r="F88" s="1165">
        <f>E87*(1+C88)</f>
        <v>262.01413907890355</v>
      </c>
      <c r="G88" s="398"/>
      <c r="H88" s="1080" t="s">
        <v>762</v>
      </c>
      <c r="I88" s="162"/>
      <c r="J88" s="1026"/>
      <c r="K88" s="398"/>
      <c r="L88" s="1081">
        <f>L87*(1+J88)</f>
        <v>254.08134465007845</v>
      </c>
    </row>
    <row r="89" spans="1:13" ht="13.5" thickBot="1" x14ac:dyDescent="0.25">
      <c r="A89" s="1166" t="s">
        <v>54</v>
      </c>
      <c r="B89" s="1167">
        <v>0.9</v>
      </c>
      <c r="C89" s="1168"/>
      <c r="D89" s="742">
        <f>E82/(E53*B89)</f>
        <v>278.65935732476152</v>
      </c>
      <c r="E89" s="742">
        <f>D89*(1+C84)</f>
        <v>285.31931596482332</v>
      </c>
      <c r="F89" s="1169">
        <f>F88/B89</f>
        <v>291.12682119878173</v>
      </c>
      <c r="G89" s="394"/>
      <c r="H89" s="1184" t="s">
        <v>54</v>
      </c>
      <c r="I89" s="1185">
        <v>0.9</v>
      </c>
      <c r="J89" s="1086"/>
      <c r="K89" s="1087"/>
      <c r="L89" s="1186">
        <f>L88/I89</f>
        <v>282.31260516675383</v>
      </c>
      <c r="M89" s="416"/>
    </row>
    <row r="90" spans="1:13" ht="13.5" thickBot="1" x14ac:dyDescent="0.25">
      <c r="A90" s="474"/>
      <c r="B90" s="475">
        <v>0.85</v>
      </c>
      <c r="C90" s="476"/>
      <c r="D90" s="389">
        <f>E82/(E53*B90)</f>
        <v>295.05108422621811</v>
      </c>
      <c r="E90" s="745">
        <f>D90*(1+C84)</f>
        <v>302.10280513922476</v>
      </c>
      <c r="F90" s="1048"/>
      <c r="G90" s="394"/>
      <c r="H90" s="1373" t="s">
        <v>761</v>
      </c>
      <c r="I90" s="1374"/>
      <c r="J90" s="1375">
        <f>P57</f>
        <v>2.3900000000000001E-2</v>
      </c>
      <c r="K90" s="1085"/>
      <c r="L90" s="1372">
        <f>L89*(J90+1)</f>
        <v>289.05987643023923</v>
      </c>
      <c r="M90" s="416"/>
    </row>
    <row r="91" spans="1:13" x14ac:dyDescent="0.2">
      <c r="A91" s="368"/>
      <c r="B91" s="369">
        <v>0.8</v>
      </c>
      <c r="C91" s="370"/>
      <c r="D91" s="371">
        <f>E82/(E53*B91)</f>
        <v>313.4917769903567</v>
      </c>
      <c r="E91" s="375">
        <f>D91*(1+C84)</f>
        <v>320.98423046042626</v>
      </c>
      <c r="F91" s="1171"/>
      <c r="G91" s="394"/>
      <c r="H91" s="368"/>
      <c r="I91" s="369"/>
      <c r="J91" s="370"/>
      <c r="K91" s="371"/>
      <c r="L91" s="375"/>
    </row>
    <row r="92" spans="1:13" x14ac:dyDescent="0.2">
      <c r="M92" s="618"/>
    </row>
    <row r="93" spans="1:13" ht="13.5" thickBot="1" x14ac:dyDescent="0.25">
      <c r="M93" s="162"/>
    </row>
    <row r="94" spans="1:13" ht="13.15" customHeight="1" x14ac:dyDescent="0.2">
      <c r="A94" s="1484" t="s">
        <v>507</v>
      </c>
      <c r="B94" s="1485"/>
      <c r="C94" s="1485"/>
      <c r="D94" s="1485"/>
      <c r="E94" s="1485"/>
      <c r="F94" s="1484" t="s">
        <v>460</v>
      </c>
      <c r="G94" s="1345"/>
      <c r="H94" s="1488" t="s">
        <v>511</v>
      </c>
      <c r="I94" s="1489"/>
      <c r="J94" s="1489"/>
      <c r="K94" s="1489"/>
      <c r="L94" s="1490"/>
      <c r="M94" s="162"/>
    </row>
    <row r="95" spans="1:13" ht="15" customHeight="1" thickBot="1" x14ac:dyDescent="0.25">
      <c r="A95" s="1486"/>
      <c r="B95" s="1486"/>
      <c r="C95" s="1486"/>
      <c r="D95" s="1486"/>
      <c r="E95" s="1486"/>
      <c r="F95" s="1487"/>
      <c r="G95" s="625"/>
      <c r="H95" s="1491"/>
      <c r="I95" s="1486"/>
      <c r="J95" s="1486"/>
      <c r="K95" s="1486"/>
      <c r="L95" s="1492"/>
      <c r="M95" s="1346"/>
    </row>
    <row r="96" spans="1:13" x14ac:dyDescent="0.2">
      <c r="A96" s="1146" t="s">
        <v>0</v>
      </c>
      <c r="B96" s="1147">
        <f>Q$30</f>
        <v>10</v>
      </c>
      <c r="C96" s="1146"/>
      <c r="D96" s="1146" t="s">
        <v>1</v>
      </c>
      <c r="E96" s="629">
        <f>B96*365</f>
        <v>3650</v>
      </c>
      <c r="F96" s="1148"/>
      <c r="G96" s="162"/>
      <c r="H96" s="1135" t="s">
        <v>0</v>
      </c>
      <c r="I96" s="1149">
        <v>10</v>
      </c>
      <c r="J96" s="391"/>
      <c r="K96" s="391" t="s">
        <v>1</v>
      </c>
      <c r="L96" s="1150">
        <f>I96*365</f>
        <v>3650</v>
      </c>
      <c r="M96" s="395"/>
    </row>
    <row r="97" spans="1:15" x14ac:dyDescent="0.2">
      <c r="F97" s="1047"/>
      <c r="G97" s="162"/>
      <c r="H97" s="448"/>
      <c r="I97" s="162"/>
      <c r="J97" s="162"/>
      <c r="K97" s="162"/>
      <c r="L97" s="455"/>
      <c r="M97" s="395"/>
    </row>
    <row r="98" spans="1:15" x14ac:dyDescent="0.2">
      <c r="A98" s="1151"/>
      <c r="B98" s="1151"/>
      <c r="C98" s="1152" t="s">
        <v>2</v>
      </c>
      <c r="D98" s="1152" t="s">
        <v>3</v>
      </c>
      <c r="E98" s="1152" t="s">
        <v>4</v>
      </c>
      <c r="F98" s="1047"/>
      <c r="G98" s="162"/>
      <c r="H98" s="1153"/>
      <c r="I98" s="1151"/>
      <c r="J98" s="1152" t="s">
        <v>2</v>
      </c>
      <c r="K98" s="1152" t="s">
        <v>3</v>
      </c>
      <c r="L98" s="1154" t="s">
        <v>4</v>
      </c>
    </row>
    <row r="99" spans="1:15" x14ac:dyDescent="0.2">
      <c r="A99" s="1155" t="s">
        <v>19</v>
      </c>
      <c r="C99" s="282">
        <f>P13</f>
        <v>56249</v>
      </c>
      <c r="D99" s="283">
        <f>Q31</f>
        <v>1</v>
      </c>
      <c r="E99" s="284">
        <f>C99*D99</f>
        <v>56249</v>
      </c>
      <c r="F99" s="1047"/>
      <c r="G99" s="162"/>
      <c r="H99" s="1156" t="s">
        <v>19</v>
      </c>
      <c r="I99" s="162"/>
      <c r="J99" s="280">
        <f>P13</f>
        <v>56249</v>
      </c>
      <c r="K99" s="195">
        <v>1</v>
      </c>
      <c r="L99" s="1133">
        <f>J99*K99</f>
        <v>56249</v>
      </c>
    </row>
    <row r="100" spans="1:15" x14ac:dyDescent="0.2">
      <c r="A100" s="285" t="s">
        <v>227</v>
      </c>
      <c r="C100" s="282"/>
      <c r="D100" s="283"/>
      <c r="E100" s="284"/>
      <c r="F100" s="1047"/>
      <c r="G100" s="162"/>
      <c r="H100" s="440" t="s">
        <v>227</v>
      </c>
      <c r="I100" s="162"/>
      <c r="J100" s="280"/>
      <c r="K100" s="195"/>
      <c r="L100" s="1133"/>
    </row>
    <row r="101" spans="1:15" x14ac:dyDescent="0.2">
      <c r="A101" s="173" t="s">
        <v>24</v>
      </c>
      <c r="C101" s="282">
        <f>P16</f>
        <v>69547</v>
      </c>
      <c r="D101" s="283">
        <f>Q34</f>
        <v>0.1</v>
      </c>
      <c r="E101" s="284">
        <f>C101*D101</f>
        <v>6954.7000000000007</v>
      </c>
      <c r="F101" s="1047"/>
      <c r="G101" s="162"/>
      <c r="H101" s="434" t="s">
        <v>24</v>
      </c>
      <c r="I101" s="162"/>
      <c r="J101" s="280">
        <f>P16</f>
        <v>69547</v>
      </c>
      <c r="K101" s="195">
        <f>0.1 + (I96*0.5/40)</f>
        <v>0.22500000000000001</v>
      </c>
      <c r="L101" s="1133">
        <f>J101*K101</f>
        <v>15648.075000000001</v>
      </c>
    </row>
    <row r="102" spans="1:15" x14ac:dyDescent="0.2">
      <c r="A102" s="285" t="s">
        <v>5</v>
      </c>
      <c r="C102" s="282"/>
      <c r="D102" s="283"/>
      <c r="E102" s="284"/>
      <c r="F102" s="1047"/>
      <c r="G102" s="162"/>
      <c r="H102" s="440" t="s">
        <v>5</v>
      </c>
      <c r="I102" s="162"/>
      <c r="J102" s="280"/>
      <c r="K102" s="195"/>
      <c r="L102" s="1133"/>
    </row>
    <row r="103" spans="1:15" x14ac:dyDescent="0.2">
      <c r="A103" s="173" t="s">
        <v>85</v>
      </c>
      <c r="C103" s="282">
        <f>P20</f>
        <v>24604</v>
      </c>
      <c r="D103" s="283">
        <f>Q38</f>
        <v>0.5</v>
      </c>
      <c r="E103" s="284">
        <f>C103*D103</f>
        <v>12302</v>
      </c>
      <c r="F103" s="1047"/>
      <c r="G103" s="162"/>
      <c r="H103" s="434" t="s">
        <v>85</v>
      </c>
      <c r="I103" s="162"/>
      <c r="J103" s="280">
        <f>P20</f>
        <v>24604</v>
      </c>
      <c r="K103" s="195">
        <v>0.5</v>
      </c>
      <c r="L103" s="1133">
        <f>J103*K103</f>
        <v>12302</v>
      </c>
    </row>
    <row r="104" spans="1:15" x14ac:dyDescent="0.2">
      <c r="A104" s="173" t="s">
        <v>60</v>
      </c>
      <c r="C104" s="282">
        <f>P22</f>
        <v>39040</v>
      </c>
      <c r="D104" s="283">
        <f>Q40</f>
        <v>1</v>
      </c>
      <c r="E104" s="284">
        <f>C104*D104</f>
        <v>39040</v>
      </c>
      <c r="F104" s="1047"/>
      <c r="G104" s="162"/>
      <c r="H104" s="434" t="s">
        <v>60</v>
      </c>
      <c r="I104" s="162"/>
      <c r="J104" s="280">
        <f>P22</f>
        <v>39040</v>
      </c>
      <c r="K104" s="195">
        <v>1</v>
      </c>
      <c r="L104" s="1133">
        <f>J104*K104</f>
        <v>39040</v>
      </c>
    </row>
    <row r="105" spans="1:15" x14ac:dyDescent="0.2">
      <c r="A105" s="173" t="s">
        <v>30</v>
      </c>
      <c r="C105" s="282">
        <f>P23</f>
        <v>30648</v>
      </c>
      <c r="D105" s="283">
        <v>6</v>
      </c>
      <c r="E105" s="284">
        <f>C105*D105</f>
        <v>183888</v>
      </c>
      <c r="F105" s="1047"/>
      <c r="G105" s="162"/>
      <c r="H105" s="434" t="s">
        <v>30</v>
      </c>
      <c r="I105" s="162"/>
      <c r="J105" s="280">
        <f>P23</f>
        <v>30648</v>
      </c>
      <c r="K105" s="658">
        <v>9.1999999999999993</v>
      </c>
      <c r="L105" s="1133">
        <f>J105*K105</f>
        <v>281961.59999999998</v>
      </c>
    </row>
    <row r="106" spans="1:15" x14ac:dyDescent="0.2">
      <c r="A106" s="286" t="s">
        <v>31</v>
      </c>
      <c r="C106" s="282">
        <f>P24</f>
        <v>30648</v>
      </c>
      <c r="D106" s="283">
        <f>Q42</f>
        <v>0.94615384615384612</v>
      </c>
      <c r="E106" s="284">
        <f>C106*D106</f>
        <v>28997.723076923077</v>
      </c>
      <c r="F106" s="1047"/>
      <c r="G106" s="162"/>
      <c r="H106" s="443" t="s">
        <v>31</v>
      </c>
      <c r="I106" s="162"/>
      <c r="J106" s="280">
        <f>P24</f>
        <v>30648</v>
      </c>
      <c r="K106" s="658">
        <f>K105*P10</f>
        <v>1.4507692307692306</v>
      </c>
      <c r="L106" s="1133">
        <f>J106*K106</f>
        <v>44463.175384615381</v>
      </c>
    </row>
    <row r="107" spans="1:15" x14ac:dyDescent="0.2">
      <c r="A107" s="285" t="s">
        <v>6</v>
      </c>
      <c r="C107" s="282"/>
      <c r="D107" s="283"/>
      <c r="E107" s="284"/>
      <c r="F107" s="1047"/>
      <c r="G107" s="162"/>
      <c r="H107" s="440" t="s">
        <v>6</v>
      </c>
      <c r="I107" s="162"/>
      <c r="J107" s="280"/>
      <c r="K107" s="195"/>
      <c r="L107" s="1133"/>
    </row>
    <row r="108" spans="1:15" x14ac:dyDescent="0.2">
      <c r="A108" s="173" t="s">
        <v>32</v>
      </c>
      <c r="C108" s="282">
        <f>P26</f>
        <v>30648</v>
      </c>
      <c r="D108" s="283">
        <f>Q44</f>
        <v>0.25</v>
      </c>
      <c r="E108" s="284">
        <f>C108*D108</f>
        <v>7662</v>
      </c>
      <c r="F108" s="1047"/>
      <c r="G108" s="162"/>
      <c r="H108" s="434" t="s">
        <v>32</v>
      </c>
      <c r="I108" s="162"/>
      <c r="J108" s="280">
        <f>P26</f>
        <v>30648</v>
      </c>
      <c r="K108" s="195">
        <v>0.25</v>
      </c>
      <c r="L108" s="1133">
        <f>J108*K108</f>
        <v>7662</v>
      </c>
      <c r="O108" s="162"/>
    </row>
    <row r="109" spans="1:15" x14ac:dyDescent="0.2">
      <c r="A109" s="1039" t="s">
        <v>7</v>
      </c>
      <c r="B109" s="1039"/>
      <c r="C109" s="1039"/>
      <c r="D109" s="1040">
        <f>SUM(D99:D108)</f>
        <v>9.796153846153846</v>
      </c>
      <c r="E109" s="1041">
        <f>SUM(E99:E108)</f>
        <v>335093.42307692306</v>
      </c>
      <c r="F109" s="1047"/>
      <c r="G109" s="162"/>
      <c r="H109" s="1137" t="s">
        <v>7</v>
      </c>
      <c r="I109" s="1039"/>
      <c r="J109" s="1039"/>
      <c r="K109" s="1040">
        <f>SUM(K99:K108)</f>
        <v>13.62576923076923</v>
      </c>
      <c r="L109" s="1134">
        <f>SUM(L99:L108)</f>
        <v>457325.85038461536</v>
      </c>
    </row>
    <row r="110" spans="1:15" x14ac:dyDescent="0.2">
      <c r="F110" s="1047"/>
      <c r="G110" s="162"/>
      <c r="H110" s="448"/>
      <c r="I110" s="162"/>
      <c r="J110" s="162"/>
      <c r="K110" s="162"/>
      <c r="L110" s="455"/>
    </row>
    <row r="111" spans="1:15" x14ac:dyDescent="0.2">
      <c r="A111" s="1146" t="s">
        <v>21</v>
      </c>
      <c r="D111" s="1146" t="s">
        <v>20</v>
      </c>
      <c r="F111" s="1047"/>
      <c r="G111" s="162"/>
      <c r="H111" s="1135" t="s">
        <v>21</v>
      </c>
      <c r="I111" s="162"/>
      <c r="J111" s="162"/>
      <c r="K111" s="391" t="s">
        <v>20</v>
      </c>
      <c r="L111" s="455"/>
    </row>
    <row r="112" spans="1:15" x14ac:dyDescent="0.2">
      <c r="A112" s="281" t="s">
        <v>22</v>
      </c>
      <c r="C112" s="823">
        <f>$P$47</f>
        <v>0.23424901786252411</v>
      </c>
      <c r="E112" s="284">
        <f>C112*E109</f>
        <v>78495.305247960496</v>
      </c>
      <c r="F112" s="1047"/>
      <c r="G112" s="162"/>
      <c r="H112" s="448" t="s">
        <v>22</v>
      </c>
      <c r="I112" s="162"/>
      <c r="J112" s="1043">
        <f>$P$47</f>
        <v>0.23424901786252411</v>
      </c>
      <c r="K112" s="162"/>
      <c r="L112" s="1133">
        <f>J112*L109</f>
        <v>107128.13129573979</v>
      </c>
    </row>
    <row r="113" spans="1:14" x14ac:dyDescent="0.2">
      <c r="A113" s="1039" t="s">
        <v>51</v>
      </c>
      <c r="B113" s="1039"/>
      <c r="C113" s="1039"/>
      <c r="D113" s="1044">
        <f>E113/E96</f>
        <v>113.3119803629818</v>
      </c>
      <c r="E113" s="1041">
        <f>E112+E109</f>
        <v>413588.72832488356</v>
      </c>
      <c r="F113" s="1047"/>
      <c r="G113" s="162"/>
      <c r="H113" s="1137" t="s">
        <v>51</v>
      </c>
      <c r="I113" s="1039"/>
      <c r="J113" s="1039"/>
      <c r="K113" s="1044">
        <f>L113/L96</f>
        <v>154.64492648776854</v>
      </c>
      <c r="L113" s="1134">
        <f>L112+L109</f>
        <v>564453.98168035515</v>
      </c>
    </row>
    <row r="114" spans="1:14" x14ac:dyDescent="0.2">
      <c r="F114" s="1047"/>
      <c r="G114" s="162"/>
      <c r="H114" s="448"/>
      <c r="I114" s="162"/>
      <c r="J114" s="162"/>
      <c r="K114" s="162"/>
      <c r="L114" s="455"/>
    </row>
    <row r="115" spans="1:14" x14ac:dyDescent="0.2">
      <c r="A115" s="281" t="s">
        <v>39</v>
      </c>
      <c r="D115" s="657">
        <f>$P$49</f>
        <v>22.102</v>
      </c>
      <c r="E115" s="630">
        <f>D115*E96</f>
        <v>80672.3</v>
      </c>
      <c r="F115" s="1047"/>
      <c r="G115" s="162"/>
      <c r="H115" s="448" t="s">
        <v>39</v>
      </c>
      <c r="I115" s="162"/>
      <c r="J115" s="162"/>
      <c r="K115" s="394">
        <f>$P$49</f>
        <v>22.102</v>
      </c>
      <c r="L115" s="1136">
        <f>K115*L96</f>
        <v>80672.3</v>
      </c>
    </row>
    <row r="116" spans="1:14" x14ac:dyDescent="0.2">
      <c r="A116" s="162" t="s">
        <v>40</v>
      </c>
      <c r="D116" s="657">
        <f>$P$50</f>
        <v>17.654</v>
      </c>
      <c r="E116" s="630">
        <f>D116*E96</f>
        <v>64437.1</v>
      </c>
      <c r="F116" s="1047"/>
      <c r="G116" s="162"/>
      <c r="H116" s="448" t="s">
        <v>40</v>
      </c>
      <c r="I116" s="162"/>
      <c r="J116" s="162"/>
      <c r="K116" s="394">
        <f>$P$50</f>
        <v>17.654</v>
      </c>
      <c r="L116" s="1136">
        <f>K116*L96</f>
        <v>64437.1</v>
      </c>
    </row>
    <row r="117" spans="1:14" x14ac:dyDescent="0.2">
      <c r="D117" s="1049">
        <f>SUM(D115:D116)</f>
        <v>39.756</v>
      </c>
      <c r="F117" s="1047"/>
      <c r="G117" s="162"/>
      <c r="H117" s="448"/>
      <c r="I117" s="162"/>
      <c r="J117" s="162"/>
      <c r="K117" s="1049">
        <f>SUM(K115:K116)</f>
        <v>39.756</v>
      </c>
      <c r="L117" s="455"/>
    </row>
    <row r="118" spans="1:14" x14ac:dyDescent="0.2">
      <c r="F118" s="1047"/>
      <c r="G118" s="162"/>
      <c r="H118" s="448"/>
      <c r="I118" s="162"/>
      <c r="J118" s="162"/>
      <c r="K118" s="162"/>
      <c r="L118" s="455"/>
    </row>
    <row r="119" spans="1:14" x14ac:dyDescent="0.2">
      <c r="A119" s="1039" t="s">
        <v>43</v>
      </c>
      <c r="B119" s="1039"/>
      <c r="C119" s="1039"/>
      <c r="D119" s="1039"/>
      <c r="E119" s="1041">
        <f>SUM(E113:E116)</f>
        <v>558698.12832488352</v>
      </c>
      <c r="F119" s="1047"/>
      <c r="G119" s="162"/>
      <c r="H119" s="1137" t="s">
        <v>43</v>
      </c>
      <c r="I119" s="1039"/>
      <c r="J119" s="1039"/>
      <c r="K119" s="1039"/>
      <c r="L119" s="1134">
        <f>SUM(L113:L116)</f>
        <v>709563.38168035517</v>
      </c>
    </row>
    <row r="120" spans="1:14" x14ac:dyDescent="0.2">
      <c r="F120" s="1047"/>
      <c r="G120" s="162"/>
      <c r="H120" s="448"/>
      <c r="I120" s="162"/>
      <c r="J120" s="162"/>
      <c r="K120" s="162"/>
      <c r="L120" s="455"/>
    </row>
    <row r="121" spans="1:14" x14ac:dyDescent="0.2">
      <c r="A121" s="281" t="s">
        <v>44</v>
      </c>
      <c r="C121" s="823">
        <f>$P$55</f>
        <v>0.11846733793705286</v>
      </c>
      <c r="E121" s="284">
        <f>C121*E119</f>
        <v>66187.479973062902</v>
      </c>
      <c r="F121" s="1047"/>
      <c r="G121" s="162"/>
      <c r="H121" s="448" t="s">
        <v>44</v>
      </c>
      <c r="I121" s="162"/>
      <c r="J121" s="1043">
        <f>$P$55</f>
        <v>0.11846733793705286</v>
      </c>
      <c r="K121" s="162"/>
      <c r="L121" s="1133">
        <f>J121*L119</f>
        <v>84060.084925284653</v>
      </c>
    </row>
    <row r="122" spans="1:14" x14ac:dyDescent="0.2">
      <c r="F122" s="1047"/>
      <c r="G122" s="162"/>
      <c r="H122" s="448"/>
      <c r="I122" s="162"/>
      <c r="J122" s="162"/>
      <c r="K122" s="162"/>
      <c r="L122" s="455"/>
    </row>
    <row r="123" spans="1:14" ht="13.5" thickBot="1" x14ac:dyDescent="0.25">
      <c r="A123" s="1160" t="s">
        <v>52</v>
      </c>
      <c r="B123" s="1050"/>
      <c r="C123" s="1050"/>
      <c r="D123" s="1050"/>
      <c r="E123" s="1051">
        <f>SUM(E119:E121)</f>
        <v>624885.6082979464</v>
      </c>
      <c r="F123" s="1047"/>
      <c r="G123" s="162"/>
      <c r="H123" s="1161" t="s">
        <v>52</v>
      </c>
      <c r="I123" s="1050"/>
      <c r="J123" s="1050"/>
      <c r="K123" s="1050"/>
      <c r="L123" s="1138">
        <f>SUM(L119:L121)</f>
        <v>793623.46660563978</v>
      </c>
    </row>
    <row r="124" spans="1:14" ht="13.5" thickTop="1" x14ac:dyDescent="0.2">
      <c r="F124" s="1047"/>
      <c r="G124" s="162"/>
      <c r="H124" s="448"/>
      <c r="I124" s="162"/>
      <c r="J124" s="162"/>
      <c r="K124" s="162"/>
      <c r="L124" s="455"/>
    </row>
    <row r="125" spans="1:14" x14ac:dyDescent="0.2">
      <c r="A125" s="281" t="s">
        <v>53</v>
      </c>
      <c r="C125" s="1162"/>
      <c r="E125" s="631">
        <f>E123*(1+C125)</f>
        <v>624885.6082979464</v>
      </c>
      <c r="F125" s="1047"/>
      <c r="G125" s="162"/>
      <c r="H125" s="448"/>
      <c r="I125" s="162"/>
      <c r="J125" s="1055"/>
      <c r="K125" s="162"/>
      <c r="L125" s="1139">
        <f>L123*(1+J125)</f>
        <v>793623.46660563978</v>
      </c>
    </row>
    <row r="126" spans="1:14" x14ac:dyDescent="0.2">
      <c r="F126" s="1047"/>
      <c r="G126" s="162"/>
      <c r="H126" s="448"/>
      <c r="I126" s="162"/>
      <c r="J126" s="162"/>
      <c r="K126" s="162"/>
      <c r="L126" s="455"/>
    </row>
    <row r="127" spans="1:14" x14ac:dyDescent="0.2">
      <c r="E127" s="632" t="s">
        <v>56</v>
      </c>
      <c r="F127" s="1047"/>
      <c r="G127" s="162"/>
      <c r="H127" s="448"/>
      <c r="I127" s="162"/>
      <c r="J127" s="162"/>
      <c r="K127" s="162"/>
      <c r="L127" s="1140" t="s">
        <v>789</v>
      </c>
    </row>
    <row r="128" spans="1:14" x14ac:dyDescent="0.2">
      <c r="A128" s="281" t="s">
        <v>55</v>
      </c>
      <c r="D128" s="633">
        <f>E123/E96</f>
        <v>171.20153651998532</v>
      </c>
      <c r="E128" s="633">
        <f>D128*(1+C125)</f>
        <v>171.20153651998532</v>
      </c>
      <c r="F128" s="1048"/>
      <c r="G128" s="394"/>
      <c r="H128" s="448" t="s">
        <v>55</v>
      </c>
      <c r="I128" s="162"/>
      <c r="J128" s="162"/>
      <c r="K128" s="398">
        <f>L123/L96</f>
        <v>217.43108674127117</v>
      </c>
      <c r="L128" s="1081">
        <f>K128*(1+J125)</f>
        <v>217.43108674127117</v>
      </c>
      <c r="N128" s="624"/>
    </row>
    <row r="129" spans="1:14" ht="13.5" thickBot="1" x14ac:dyDescent="0.25">
      <c r="A129" s="759" t="s">
        <v>456</v>
      </c>
      <c r="C129" s="1164"/>
      <c r="D129" s="633"/>
      <c r="E129" s="633"/>
      <c r="F129" s="1165">
        <f>E128*(1+C129)</f>
        <v>171.20153651998532</v>
      </c>
      <c r="G129" s="398"/>
      <c r="H129" s="1080" t="s">
        <v>762</v>
      </c>
      <c r="I129" s="162"/>
      <c r="J129" s="1026"/>
      <c r="K129" s="398"/>
      <c r="L129" s="1081">
        <f>L128*(1+J129)</f>
        <v>217.43108674127117</v>
      </c>
    </row>
    <row r="130" spans="1:14" ht="13.5" thickBot="1" x14ac:dyDescent="0.25">
      <c r="A130" s="1166" t="s">
        <v>54</v>
      </c>
      <c r="B130" s="1167">
        <v>0.9</v>
      </c>
      <c r="C130" s="1168"/>
      <c r="D130" s="742">
        <f>E123/(E96*B130)</f>
        <v>190.22392946665036</v>
      </c>
      <c r="E130" s="742">
        <f>D130*(1+C125)</f>
        <v>190.22392946665036</v>
      </c>
      <c r="F130" s="1169">
        <f>F129/B130</f>
        <v>190.22392946665036</v>
      </c>
      <c r="G130" s="394"/>
      <c r="H130" s="1082" t="s">
        <v>54</v>
      </c>
      <c r="I130" s="1083">
        <v>0.9</v>
      </c>
      <c r="J130" s="1084"/>
      <c r="K130" s="1085"/>
      <c r="L130" s="1187">
        <f>L129/I130+0.19</f>
        <v>241.78009637919018</v>
      </c>
      <c r="M130" s="416"/>
      <c r="N130" s="1188"/>
    </row>
    <row r="131" spans="1:14" ht="13.5" thickBot="1" x14ac:dyDescent="0.25">
      <c r="A131" s="474"/>
      <c r="B131" s="475">
        <v>0.85</v>
      </c>
      <c r="C131" s="476"/>
      <c r="D131" s="389">
        <f>E123/(E96*B131)</f>
        <v>201.41357237645332</v>
      </c>
      <c r="E131" s="745">
        <f>D131*(1+C125)</f>
        <v>201.41357237645332</v>
      </c>
      <c r="F131" s="1048"/>
      <c r="G131" s="394"/>
      <c r="H131" s="1373" t="s">
        <v>761</v>
      </c>
      <c r="I131" s="1374"/>
      <c r="J131" s="1375">
        <f>P57</f>
        <v>2.3900000000000001E-2</v>
      </c>
      <c r="K131" s="1085"/>
      <c r="L131" s="1372">
        <f>L130*(J131+1)</f>
        <v>247.55864068265285</v>
      </c>
      <c r="M131" s="416"/>
    </row>
    <row r="132" spans="1:14" x14ac:dyDescent="0.2">
      <c r="A132" s="368"/>
      <c r="B132" s="369">
        <v>0.8</v>
      </c>
      <c r="C132" s="370"/>
      <c r="D132" s="371">
        <f>E123/(E96*B132)</f>
        <v>214.00192064998166</v>
      </c>
      <c r="E132" s="375">
        <f>D132*(1+C125)</f>
        <v>214.00192064998166</v>
      </c>
      <c r="F132" s="1171"/>
      <c r="G132" s="394"/>
      <c r="H132" s="162"/>
      <c r="I132" s="415"/>
      <c r="J132" s="162"/>
      <c r="K132" s="389"/>
      <c r="L132" s="389"/>
    </row>
    <row r="133" spans="1:14" x14ac:dyDescent="0.2">
      <c r="H133" s="162"/>
      <c r="I133" s="162"/>
      <c r="J133" s="162"/>
      <c r="K133" s="162"/>
      <c r="L133" s="162"/>
    </row>
    <row r="134" spans="1:14" ht="13.5" thickBot="1" x14ac:dyDescent="0.25">
      <c r="F134" s="624"/>
      <c r="G134" s="624"/>
      <c r="H134" s="162"/>
      <c r="I134" s="162"/>
      <c r="J134" s="162"/>
      <c r="K134" s="162"/>
      <c r="L134" s="162"/>
    </row>
    <row r="135" spans="1:14" ht="13.15" customHeight="1" x14ac:dyDescent="0.2">
      <c r="A135" s="1484" t="s">
        <v>508</v>
      </c>
      <c r="B135" s="1485"/>
      <c r="C135" s="1485"/>
      <c r="D135" s="1485"/>
      <c r="E135" s="1485"/>
      <c r="F135" s="1484" t="s">
        <v>460</v>
      </c>
      <c r="G135" s="1345"/>
      <c r="H135" s="1488" t="s">
        <v>512</v>
      </c>
      <c r="I135" s="1489"/>
      <c r="J135" s="1489"/>
      <c r="K135" s="1489"/>
      <c r="L135" s="1490"/>
    </row>
    <row r="136" spans="1:14" ht="15" customHeight="1" thickBot="1" x14ac:dyDescent="0.25">
      <c r="A136" s="1486"/>
      <c r="B136" s="1486"/>
      <c r="C136" s="1486"/>
      <c r="D136" s="1486"/>
      <c r="E136" s="1486"/>
      <c r="F136" s="1487"/>
      <c r="G136" s="625"/>
      <c r="H136" s="1491"/>
      <c r="I136" s="1486"/>
      <c r="J136" s="1486"/>
      <c r="K136" s="1486"/>
      <c r="L136" s="1492"/>
    </row>
    <row r="137" spans="1:14" x14ac:dyDescent="0.2">
      <c r="A137" s="1146" t="s">
        <v>0</v>
      </c>
      <c r="B137" s="1147">
        <f>R$30</f>
        <v>12</v>
      </c>
      <c r="C137" s="1146"/>
      <c r="D137" s="1146" t="s">
        <v>1</v>
      </c>
      <c r="E137" s="629">
        <f>B137*365</f>
        <v>4380</v>
      </c>
      <c r="F137" s="1148"/>
      <c r="G137" s="162"/>
      <c r="H137" s="1135" t="s">
        <v>0</v>
      </c>
      <c r="I137" s="1149">
        <v>12</v>
      </c>
      <c r="J137" s="391"/>
      <c r="K137" s="391" t="s">
        <v>1</v>
      </c>
      <c r="L137" s="1150">
        <f>I137*365</f>
        <v>4380</v>
      </c>
    </row>
    <row r="138" spans="1:14" x14ac:dyDescent="0.2">
      <c r="F138" s="1047"/>
      <c r="G138" s="162"/>
      <c r="H138" s="448"/>
      <c r="I138" s="162"/>
      <c r="J138" s="162"/>
      <c r="K138" s="162"/>
      <c r="L138" s="455"/>
    </row>
    <row r="139" spans="1:14" x14ac:dyDescent="0.2">
      <c r="A139" s="1151"/>
      <c r="B139" s="1151"/>
      <c r="C139" s="1152" t="s">
        <v>2</v>
      </c>
      <c r="D139" s="1152" t="s">
        <v>3</v>
      </c>
      <c r="E139" s="1152" t="s">
        <v>4</v>
      </c>
      <c r="F139" s="1047"/>
      <c r="G139" s="162"/>
      <c r="H139" s="1153"/>
      <c r="I139" s="1151"/>
      <c r="J139" s="1152" t="s">
        <v>2</v>
      </c>
      <c r="K139" s="1152" t="s">
        <v>3</v>
      </c>
      <c r="L139" s="1154" t="s">
        <v>4</v>
      </c>
    </row>
    <row r="140" spans="1:14" x14ac:dyDescent="0.2">
      <c r="A140" s="1155" t="s">
        <v>19</v>
      </c>
      <c r="C140" s="282">
        <f>P13</f>
        <v>56249</v>
      </c>
      <c r="D140" s="283">
        <f>R31</f>
        <v>1</v>
      </c>
      <c r="E140" s="284">
        <f>C140*D140</f>
        <v>56249</v>
      </c>
      <c r="F140" s="1047"/>
      <c r="G140" s="162"/>
      <c r="H140" s="1156" t="s">
        <v>19</v>
      </c>
      <c r="I140" s="162"/>
      <c r="J140" s="280">
        <f>P13</f>
        <v>56249</v>
      </c>
      <c r="K140" s="195">
        <v>1</v>
      </c>
      <c r="L140" s="1133">
        <f>J140*K140</f>
        <v>56249</v>
      </c>
    </row>
    <row r="141" spans="1:14" x14ac:dyDescent="0.2">
      <c r="A141" s="285" t="s">
        <v>5</v>
      </c>
      <c r="C141" s="282"/>
      <c r="D141" s="283"/>
      <c r="E141" s="284"/>
      <c r="F141" s="1047"/>
      <c r="G141" s="162"/>
      <c r="H141" s="440" t="s">
        <v>5</v>
      </c>
      <c r="I141" s="162"/>
      <c r="J141" s="280"/>
      <c r="K141" s="195"/>
      <c r="L141" s="1133"/>
    </row>
    <row r="142" spans="1:14" x14ac:dyDescent="0.2">
      <c r="A142" s="173" t="s">
        <v>85</v>
      </c>
      <c r="C142" s="282">
        <f>P20</f>
        <v>24604</v>
      </c>
      <c r="D142" s="283">
        <f>R38</f>
        <v>0.5</v>
      </c>
      <c r="E142" s="284">
        <f>C142*D142</f>
        <v>12302</v>
      </c>
      <c r="F142" s="1047"/>
      <c r="G142" s="162"/>
      <c r="H142" s="434" t="s">
        <v>85</v>
      </c>
      <c r="I142" s="162"/>
      <c r="J142" s="280">
        <f>P20</f>
        <v>24604</v>
      </c>
      <c r="K142" s="195">
        <v>0.5</v>
      </c>
      <c r="L142" s="1133">
        <f>J142*K142</f>
        <v>12302</v>
      </c>
    </row>
    <row r="143" spans="1:14" x14ac:dyDescent="0.2">
      <c r="A143" s="173" t="s">
        <v>60</v>
      </c>
      <c r="C143" s="282">
        <f>P22</f>
        <v>39040</v>
      </c>
      <c r="D143" s="283">
        <f>R40</f>
        <v>2</v>
      </c>
      <c r="E143" s="284">
        <f>C143*D143</f>
        <v>78080</v>
      </c>
      <c r="F143" s="1047"/>
      <c r="G143" s="162"/>
      <c r="H143" s="434" t="s">
        <v>60</v>
      </c>
      <c r="I143" s="162"/>
      <c r="J143" s="280">
        <f>P22</f>
        <v>39040</v>
      </c>
      <c r="K143" s="195">
        <v>2</v>
      </c>
      <c r="L143" s="1133">
        <f>J143*K143</f>
        <v>78080</v>
      </c>
    </row>
    <row r="144" spans="1:14" x14ac:dyDescent="0.2">
      <c r="A144" s="285" t="s">
        <v>6</v>
      </c>
      <c r="C144" s="282"/>
      <c r="D144" s="283"/>
      <c r="E144" s="284"/>
      <c r="F144" s="1047"/>
      <c r="G144" s="162"/>
      <c r="H144" s="440" t="s">
        <v>6</v>
      </c>
      <c r="I144" s="162"/>
      <c r="J144" s="280"/>
      <c r="K144" s="195"/>
      <c r="L144" s="1133"/>
    </row>
    <row r="145" spans="1:12" x14ac:dyDescent="0.2">
      <c r="A145" s="173" t="s">
        <v>32</v>
      </c>
      <c r="C145" s="282">
        <f>P26</f>
        <v>30648</v>
      </c>
      <c r="D145" s="283">
        <f>R44</f>
        <v>0.25</v>
      </c>
      <c r="E145" s="284">
        <f>C145*D145</f>
        <v>7662</v>
      </c>
      <c r="F145" s="1047"/>
      <c r="G145" s="162"/>
      <c r="H145" s="434" t="s">
        <v>32</v>
      </c>
      <c r="I145" s="162"/>
      <c r="J145" s="280">
        <f>P26</f>
        <v>30648</v>
      </c>
      <c r="K145" s="195">
        <v>0.25</v>
      </c>
      <c r="L145" s="1133">
        <f>J145*K145</f>
        <v>7662</v>
      </c>
    </row>
    <row r="146" spans="1:12" x14ac:dyDescent="0.2">
      <c r="A146" s="1039" t="s">
        <v>7</v>
      </c>
      <c r="B146" s="1039"/>
      <c r="C146" s="1039"/>
      <c r="D146" s="1040">
        <f>SUM(D140:D145)</f>
        <v>3.75</v>
      </c>
      <c r="E146" s="1041">
        <f>SUM(E140:E145)</f>
        <v>154293</v>
      </c>
      <c r="F146" s="1047"/>
      <c r="G146" s="162"/>
      <c r="H146" s="1137" t="s">
        <v>7</v>
      </c>
      <c r="I146" s="1039"/>
      <c r="J146" s="1039"/>
      <c r="K146" s="1040">
        <f>SUM(K140:K145)</f>
        <v>3.75</v>
      </c>
      <c r="L146" s="1134">
        <f>SUM(L140:L145)</f>
        <v>154293</v>
      </c>
    </row>
    <row r="147" spans="1:12" x14ac:dyDescent="0.2">
      <c r="F147" s="1047"/>
      <c r="G147" s="162"/>
      <c r="H147" s="448"/>
      <c r="I147" s="162"/>
      <c r="J147" s="162"/>
      <c r="K147" s="162"/>
      <c r="L147" s="455"/>
    </row>
    <row r="148" spans="1:12" x14ac:dyDescent="0.2">
      <c r="A148" s="1146" t="s">
        <v>21</v>
      </c>
      <c r="D148" s="1146" t="s">
        <v>20</v>
      </c>
      <c r="F148" s="1047"/>
      <c r="G148" s="162"/>
      <c r="H148" s="1135" t="s">
        <v>21</v>
      </c>
      <c r="I148" s="162"/>
      <c r="J148" s="162"/>
      <c r="K148" s="391" t="s">
        <v>20</v>
      </c>
      <c r="L148" s="455"/>
    </row>
    <row r="149" spans="1:12" x14ac:dyDescent="0.2">
      <c r="A149" s="281" t="s">
        <v>22</v>
      </c>
      <c r="C149" s="823">
        <f>$P$47</f>
        <v>0.23424901786252411</v>
      </c>
      <c r="E149" s="284">
        <f>C149*E146</f>
        <v>36142.983713062429</v>
      </c>
      <c r="F149" s="1047"/>
      <c r="G149" s="162"/>
      <c r="H149" s="448" t="s">
        <v>22</v>
      </c>
      <c r="I149" s="162"/>
      <c r="J149" s="1043">
        <f>$P$47</f>
        <v>0.23424901786252411</v>
      </c>
      <c r="K149" s="162"/>
      <c r="L149" s="1133">
        <f>J149*L146</f>
        <v>36142.983713062429</v>
      </c>
    </row>
    <row r="150" spans="1:12" x14ac:dyDescent="0.2">
      <c r="A150" s="1039" t="s">
        <v>51</v>
      </c>
      <c r="B150" s="1039"/>
      <c r="C150" s="1039"/>
      <c r="D150" s="1044">
        <f>E150/E137</f>
        <v>43.478535094306487</v>
      </c>
      <c r="E150" s="1041">
        <f>E149+E146</f>
        <v>190435.98371306242</v>
      </c>
      <c r="F150" s="1047"/>
      <c r="G150" s="162"/>
      <c r="H150" s="1137" t="s">
        <v>51</v>
      </c>
      <c r="I150" s="1039"/>
      <c r="J150" s="1039"/>
      <c r="K150" s="1044">
        <f>L150/L137</f>
        <v>43.478535094306487</v>
      </c>
      <c r="L150" s="1134">
        <f>L149+L146</f>
        <v>190435.98371306242</v>
      </c>
    </row>
    <row r="151" spans="1:12" x14ac:dyDescent="0.2">
      <c r="F151" s="1047"/>
      <c r="G151" s="162"/>
      <c r="H151" s="448"/>
      <c r="I151" s="162"/>
      <c r="J151" s="162"/>
      <c r="K151" s="162"/>
      <c r="L151" s="455"/>
    </row>
    <row r="152" spans="1:12" x14ac:dyDescent="0.2">
      <c r="A152" s="281" t="s">
        <v>39</v>
      </c>
      <c r="D152" s="657">
        <f>$P$49</f>
        <v>22.102</v>
      </c>
      <c r="E152" s="630">
        <f>D152*E137</f>
        <v>96806.76</v>
      </c>
      <c r="F152" s="1047"/>
      <c r="G152" s="162"/>
      <c r="H152" s="448" t="s">
        <v>39</v>
      </c>
      <c r="I152" s="162"/>
      <c r="J152" s="162"/>
      <c r="K152" s="394">
        <f>$P$49</f>
        <v>22.102</v>
      </c>
      <c r="L152" s="1136">
        <f>K152*L137</f>
        <v>96806.76</v>
      </c>
    </row>
    <row r="153" spans="1:12" x14ac:dyDescent="0.2">
      <c r="A153" s="162" t="s">
        <v>40</v>
      </c>
      <c r="D153" s="657">
        <f>$P$50</f>
        <v>17.654</v>
      </c>
      <c r="E153" s="630">
        <f>D153*E137</f>
        <v>77324.52</v>
      </c>
      <c r="F153" s="1047"/>
      <c r="G153" s="162"/>
      <c r="H153" s="448" t="s">
        <v>40</v>
      </c>
      <c r="I153" s="162"/>
      <c r="J153" s="162"/>
      <c r="K153" s="394">
        <f>$P$50</f>
        <v>17.654</v>
      </c>
      <c r="L153" s="1136">
        <f>K153*L137</f>
        <v>77324.52</v>
      </c>
    </row>
    <row r="154" spans="1:12" x14ac:dyDescent="0.2">
      <c r="D154" s="1049">
        <f>SUM(D152:D153)</f>
        <v>39.756</v>
      </c>
      <c r="F154" s="1047"/>
      <c r="G154" s="162"/>
      <c r="H154" s="448"/>
      <c r="I154" s="162"/>
      <c r="J154" s="162"/>
      <c r="K154" s="1049">
        <f>SUM(K152:K153)</f>
        <v>39.756</v>
      </c>
      <c r="L154" s="455"/>
    </row>
    <row r="155" spans="1:12" x14ac:dyDescent="0.2">
      <c r="F155" s="1047"/>
      <c r="G155" s="162"/>
      <c r="H155" s="448"/>
      <c r="I155" s="162"/>
      <c r="J155" s="162"/>
      <c r="K155" s="162"/>
      <c r="L155" s="455"/>
    </row>
    <row r="156" spans="1:12" x14ac:dyDescent="0.2">
      <c r="A156" s="1039" t="s">
        <v>43</v>
      </c>
      <c r="B156" s="1039"/>
      <c r="C156" s="1039"/>
      <c r="D156" s="1039"/>
      <c r="E156" s="1041">
        <f>SUM(E150:E153)</f>
        <v>364567.26371306245</v>
      </c>
      <c r="F156" s="1047"/>
      <c r="G156" s="162"/>
      <c r="H156" s="1137" t="s">
        <v>43</v>
      </c>
      <c r="I156" s="1039"/>
      <c r="J156" s="1039"/>
      <c r="K156" s="1039"/>
      <c r="L156" s="1134">
        <f>SUM(L150:L153)</f>
        <v>364567.26371306245</v>
      </c>
    </row>
    <row r="157" spans="1:12" x14ac:dyDescent="0.2">
      <c r="F157" s="1047"/>
      <c r="G157" s="162"/>
      <c r="H157" s="448"/>
      <c r="I157" s="162"/>
      <c r="J157" s="162"/>
      <c r="K157" s="162"/>
      <c r="L157" s="455"/>
    </row>
    <row r="158" spans="1:12" x14ac:dyDescent="0.2">
      <c r="A158" s="281" t="s">
        <v>44</v>
      </c>
      <c r="C158" s="823">
        <f>$P$55</f>
        <v>0.11846733793705286</v>
      </c>
      <c r="E158" s="284">
        <f>C158*E156</f>
        <v>43189.313231082037</v>
      </c>
      <c r="F158" s="1047"/>
      <c r="G158" s="162"/>
      <c r="H158" s="448" t="s">
        <v>44</v>
      </c>
      <c r="I158" s="162"/>
      <c r="J158" s="1043">
        <f>$P$55</f>
        <v>0.11846733793705286</v>
      </c>
      <c r="K158" s="162"/>
      <c r="L158" s="1133">
        <f>J158*L156</f>
        <v>43189.313231082037</v>
      </c>
    </row>
    <row r="159" spans="1:12" x14ac:dyDescent="0.2">
      <c r="F159" s="1047"/>
      <c r="G159" s="162"/>
      <c r="H159" s="448"/>
      <c r="I159" s="162"/>
      <c r="J159" s="162"/>
      <c r="K159" s="162"/>
      <c r="L159" s="455"/>
    </row>
    <row r="160" spans="1:12" ht="13.5" thickBot="1" x14ac:dyDescent="0.25">
      <c r="A160" s="1160" t="s">
        <v>52</v>
      </c>
      <c r="B160" s="1050"/>
      <c r="C160" s="1050"/>
      <c r="D160" s="1050"/>
      <c r="E160" s="1051">
        <f>SUM(E156:E158)</f>
        <v>407756.5769441445</v>
      </c>
      <c r="F160" s="1047"/>
      <c r="G160" s="162"/>
      <c r="H160" s="1161" t="s">
        <v>52</v>
      </c>
      <c r="I160" s="1050"/>
      <c r="J160" s="1050"/>
      <c r="K160" s="1050"/>
      <c r="L160" s="1138">
        <f>SUM(L156:L158)</f>
        <v>407756.5769441445</v>
      </c>
    </row>
    <row r="161" spans="1:12" ht="13.5" thickTop="1" x14ac:dyDescent="0.2">
      <c r="F161" s="1047"/>
      <c r="G161" s="162"/>
      <c r="H161" s="448"/>
      <c r="I161" s="162"/>
      <c r="J161" s="162"/>
      <c r="K161" s="162"/>
      <c r="L161" s="455"/>
    </row>
    <row r="162" spans="1:12" x14ac:dyDescent="0.2">
      <c r="A162" s="281" t="s">
        <v>53</v>
      </c>
      <c r="C162" s="1162">
        <f>$P$57</f>
        <v>2.3900000000000001E-2</v>
      </c>
      <c r="E162" s="631">
        <f>E160*(1+C162)</f>
        <v>417501.95913310954</v>
      </c>
      <c r="F162" s="1047"/>
      <c r="G162" s="162"/>
      <c r="H162" s="448"/>
      <c r="I162" s="162"/>
      <c r="J162" s="1055"/>
      <c r="K162" s="162"/>
      <c r="L162" s="1139">
        <f>L160*(1+J162)</f>
        <v>407756.5769441445</v>
      </c>
    </row>
    <row r="163" spans="1:12" x14ac:dyDescent="0.2">
      <c r="F163" s="1047"/>
      <c r="G163" s="162"/>
      <c r="H163" s="448"/>
      <c r="I163" s="162"/>
      <c r="J163" s="162"/>
      <c r="K163" s="162"/>
      <c r="L163" s="455"/>
    </row>
    <row r="164" spans="1:12" x14ac:dyDescent="0.2">
      <c r="E164" s="632" t="s">
        <v>56</v>
      </c>
      <c r="F164" s="1047"/>
      <c r="G164" s="162"/>
      <c r="H164" s="448"/>
      <c r="I164" s="162"/>
      <c r="J164" s="162"/>
      <c r="K164" s="162"/>
      <c r="L164" s="1140" t="s">
        <v>789</v>
      </c>
    </row>
    <row r="165" spans="1:12" x14ac:dyDescent="0.2">
      <c r="A165" s="281" t="s">
        <v>55</v>
      </c>
      <c r="D165" s="633">
        <f>E160/E137</f>
        <v>93.095108891357185</v>
      </c>
      <c r="E165" s="633">
        <f>D165*(1+C162)</f>
        <v>95.320081993860626</v>
      </c>
      <c r="F165" s="1047"/>
      <c r="G165" s="162"/>
      <c r="H165" s="448" t="s">
        <v>55</v>
      </c>
      <c r="I165" s="162"/>
      <c r="J165" s="162"/>
      <c r="K165" s="398">
        <f>L160/L137</f>
        <v>93.095108891357185</v>
      </c>
      <c r="L165" s="1081">
        <f>K165*(1+J162)</f>
        <v>93.095108891357185</v>
      </c>
    </row>
    <row r="166" spans="1:12" ht="13.5" thickBot="1" x14ac:dyDescent="0.25">
      <c r="A166" s="759" t="s">
        <v>456</v>
      </c>
      <c r="C166" s="1164">
        <f>'CAF Spring 2015'!$BC$24</f>
        <v>2.0354406130268236E-2</v>
      </c>
      <c r="D166" s="633"/>
      <c r="E166" s="633"/>
      <c r="F166" s="1165">
        <f>E165*(1+C166)</f>
        <v>97.260265655134134</v>
      </c>
      <c r="G166" s="398"/>
      <c r="H166" s="1080" t="s">
        <v>762</v>
      </c>
      <c r="I166" s="162"/>
      <c r="J166" s="1026"/>
      <c r="K166" s="398"/>
      <c r="L166" s="1081">
        <f>L165*(1+J166)</f>
        <v>93.095108891357185</v>
      </c>
    </row>
    <row r="167" spans="1:12" ht="13.5" thickBot="1" x14ac:dyDescent="0.25">
      <c r="A167" s="1166" t="s">
        <v>54</v>
      </c>
      <c r="B167" s="1167">
        <v>0.9</v>
      </c>
      <c r="C167" s="1168"/>
      <c r="D167" s="742">
        <f>E160/(E137*B167)</f>
        <v>103.43900987928576</v>
      </c>
      <c r="E167" s="742">
        <f>D167*(1+C162)</f>
        <v>105.91120221540069</v>
      </c>
      <c r="F167" s="1169">
        <f>F166/B167</f>
        <v>108.06696183903793</v>
      </c>
      <c r="G167" s="394"/>
      <c r="H167" s="1082" t="s">
        <v>54</v>
      </c>
      <c r="I167" s="1083">
        <v>0.9</v>
      </c>
      <c r="J167" s="1084"/>
      <c r="K167" s="1085"/>
      <c r="L167" s="1186">
        <f>L166/I167+0.19</f>
        <v>103.62900987928576</v>
      </c>
    </row>
    <row r="168" spans="1:12" ht="13.5" thickBot="1" x14ac:dyDescent="0.25">
      <c r="A168" s="474"/>
      <c r="B168" s="475">
        <v>0.85</v>
      </c>
      <c r="C168" s="476"/>
      <c r="D168" s="389">
        <f>E160/(E137*B168)</f>
        <v>109.52365751924376</v>
      </c>
      <c r="E168" s="745">
        <f>D168*(1+C162)</f>
        <v>112.14127293395369</v>
      </c>
      <c r="F168" s="1048"/>
      <c r="G168" s="394"/>
      <c r="H168" s="1373" t="s">
        <v>761</v>
      </c>
      <c r="I168" s="1374"/>
      <c r="J168" s="1375">
        <f>P57</f>
        <v>2.3900000000000001E-2</v>
      </c>
      <c r="K168" s="1085"/>
      <c r="L168" s="1372">
        <f>L167*(J168+1)</f>
        <v>106.10574321540069</v>
      </c>
    </row>
    <row r="169" spans="1:12" x14ac:dyDescent="0.2">
      <c r="A169" s="368"/>
      <c r="B169" s="369">
        <v>0.8</v>
      </c>
      <c r="C169" s="370"/>
      <c r="D169" s="371">
        <f>E160/(E137*B169)</f>
        <v>116.36888611419648</v>
      </c>
      <c r="E169" s="375">
        <f>D169*(1+C162)</f>
        <v>119.15010249232579</v>
      </c>
      <c r="F169" s="1171"/>
      <c r="G169" s="394"/>
      <c r="H169" s="368"/>
      <c r="I169" s="369"/>
      <c r="J169" s="370"/>
      <c r="K169" s="371"/>
      <c r="L169" s="1088"/>
    </row>
  </sheetData>
  <mergeCells count="15">
    <mergeCell ref="A51:E52"/>
    <mergeCell ref="F51:F52"/>
    <mergeCell ref="H51:L52"/>
    <mergeCell ref="N1:Q1"/>
    <mergeCell ref="O3:P3"/>
    <mergeCell ref="A6:E7"/>
    <mergeCell ref="F6:F7"/>
    <mergeCell ref="H6:L7"/>
    <mergeCell ref="H5:L5"/>
    <mergeCell ref="A94:E95"/>
    <mergeCell ref="F94:F95"/>
    <mergeCell ref="H94:L95"/>
    <mergeCell ref="A135:E136"/>
    <mergeCell ref="F135:F136"/>
    <mergeCell ref="H135:L136"/>
  </mergeCells>
  <pageMargins left="0.7" right="0.7" top="0.75" bottom="0.75" header="0.3" footer="0.3"/>
  <pageSetup scale="67" fitToHeight="0" orientation="landscape" r:id="rId1"/>
  <headerFooter>
    <oddFooter>&amp;R
&amp;A
Caring Together rate review</oddFooter>
  </headerFooter>
  <rowBreaks count="3" manualBreakCount="3">
    <brk id="50" min="7" max="18" man="1"/>
    <brk id="93" min="7" max="11" man="1"/>
    <brk id="134" min="7" max="11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A181"/>
  <sheetViews>
    <sheetView topLeftCell="G1" zoomScale="70" zoomScaleNormal="70" zoomScalePageLayoutView="85" workbookViewId="0">
      <selection activeCell="Q37" sqref="Q37"/>
    </sheetView>
  </sheetViews>
  <sheetFormatPr defaultColWidth="9.140625" defaultRowHeight="12.75" x14ac:dyDescent="0.2"/>
  <cols>
    <col min="1" max="1" width="25.5703125" style="23" hidden="1" customWidth="1"/>
    <col min="2" max="2" width="5.7109375" style="23" hidden="1" customWidth="1"/>
    <col min="3" max="3" width="12.85546875" style="23" hidden="1" customWidth="1"/>
    <col min="4" max="4" width="10.85546875" style="23" hidden="1" customWidth="1"/>
    <col min="5" max="6" width="13.140625" style="23" hidden="1" customWidth="1"/>
    <col min="7" max="7" width="9.140625" style="281" customWidth="1"/>
    <col min="8" max="8" width="25.5703125" style="23" customWidth="1"/>
    <col min="9" max="9" width="5.7109375" style="23" customWidth="1"/>
    <col min="10" max="10" width="12.85546875" style="23" customWidth="1"/>
    <col min="11" max="11" width="10.85546875" style="23" customWidth="1"/>
    <col min="12" max="12" width="13.140625" style="23" customWidth="1"/>
    <col min="13" max="13" width="10.85546875" style="23" customWidth="1"/>
    <col min="14" max="14" width="13.140625" style="23" customWidth="1"/>
    <col min="15" max="15" width="17.28515625" style="23" hidden="1" customWidth="1"/>
    <col min="16" max="16" width="4.7109375" style="281" customWidth="1"/>
    <col min="17" max="17" width="14.28515625" style="23" bestFit="1" customWidth="1"/>
    <col min="18" max="18" width="31.85546875" style="23" bestFit="1" customWidth="1"/>
    <col min="19" max="22" width="10.140625" style="23" customWidth="1"/>
    <col min="23" max="25" width="9.140625" style="23"/>
    <col min="26" max="26" width="10.42578125" style="23" bestFit="1" customWidth="1"/>
    <col min="27" max="16384" width="9.140625" style="23"/>
  </cols>
  <sheetData>
    <row r="1" spans="1:23" ht="15.75" customHeight="1" thickBot="1" x14ac:dyDescent="0.3">
      <c r="R1" s="1431" t="s">
        <v>8</v>
      </c>
      <c r="S1" s="1431"/>
      <c r="T1" s="1431"/>
      <c r="U1" s="1431"/>
      <c r="V1" s="1431"/>
    </row>
    <row r="2" spans="1:23" ht="13.9" thickBot="1" x14ac:dyDescent="0.3"/>
    <row r="3" spans="1:23" ht="13.15" x14ac:dyDescent="0.25">
      <c r="R3" s="5" t="s">
        <v>9</v>
      </c>
      <c r="S3" s="1432" t="s">
        <v>10</v>
      </c>
      <c r="T3" s="1432"/>
      <c r="U3" s="6"/>
      <c r="V3" s="24"/>
      <c r="W3" s="24"/>
    </row>
    <row r="4" spans="1:23" ht="12.75" customHeight="1" x14ac:dyDescent="0.25">
      <c r="R4" s="7"/>
      <c r="S4" s="8" t="s">
        <v>11</v>
      </c>
      <c r="T4" s="9" t="s">
        <v>12</v>
      </c>
      <c r="U4" s="10"/>
      <c r="V4" s="24"/>
      <c r="W4" s="24"/>
    </row>
    <row r="5" spans="1:23" ht="14.45" customHeight="1" thickBot="1" x14ac:dyDescent="0.3">
      <c r="H5" s="1513" t="s">
        <v>786</v>
      </c>
      <c r="I5" s="1513"/>
      <c r="J5" s="1513"/>
      <c r="K5" s="1513"/>
      <c r="L5" s="1513"/>
      <c r="M5" s="1513"/>
      <c r="N5" s="1513"/>
      <c r="O5" s="1514"/>
      <c r="R5" s="11" t="s">
        <v>13</v>
      </c>
      <c r="S5" s="12">
        <v>13</v>
      </c>
      <c r="T5" s="13">
        <f>S5*8</f>
        <v>104</v>
      </c>
      <c r="U5" s="10"/>
      <c r="V5" s="24"/>
      <c r="W5" s="24"/>
    </row>
    <row r="6" spans="1:23" ht="21.6" customHeight="1" x14ac:dyDescent="0.2">
      <c r="A6" s="1464" t="s">
        <v>515</v>
      </c>
      <c r="B6" s="1501"/>
      <c r="C6" s="1501"/>
      <c r="D6" s="1501"/>
      <c r="E6" s="1501"/>
      <c r="F6" s="1433" t="s">
        <v>490</v>
      </c>
      <c r="G6" s="521"/>
      <c r="H6" s="1503" t="s">
        <v>519</v>
      </c>
      <c r="I6" s="1504"/>
      <c r="J6" s="1504"/>
      <c r="K6" s="1504"/>
      <c r="L6" s="1504"/>
      <c r="M6" s="1507"/>
      <c r="N6" s="1508"/>
      <c r="O6" s="1506" t="s">
        <v>458</v>
      </c>
      <c r="P6" s="521"/>
      <c r="R6" s="11" t="s">
        <v>14</v>
      </c>
      <c r="S6" s="12">
        <v>10</v>
      </c>
      <c r="T6" s="13">
        <f>S6*8</f>
        <v>80</v>
      </c>
      <c r="U6" s="10"/>
      <c r="V6" s="24"/>
      <c r="W6" s="24"/>
    </row>
    <row r="7" spans="1:23" ht="21.6" customHeight="1" thickBot="1" x14ac:dyDescent="0.25">
      <c r="A7" s="1502"/>
      <c r="B7" s="1502"/>
      <c r="C7" s="1502"/>
      <c r="D7" s="1502"/>
      <c r="E7" s="1502"/>
      <c r="F7" s="1434"/>
      <c r="G7" s="521"/>
      <c r="H7" s="1505"/>
      <c r="I7" s="1502"/>
      <c r="J7" s="1502"/>
      <c r="K7" s="1502"/>
      <c r="L7" s="1502"/>
      <c r="M7" s="1509"/>
      <c r="N7" s="1510"/>
      <c r="O7" s="1461"/>
      <c r="P7" s="521"/>
      <c r="R7" s="11" t="s">
        <v>15</v>
      </c>
      <c r="S7" s="12">
        <v>11</v>
      </c>
      <c r="T7" s="13">
        <f>S7*8</f>
        <v>88</v>
      </c>
      <c r="U7" s="10"/>
      <c r="V7" s="24"/>
      <c r="W7" s="24"/>
    </row>
    <row r="8" spans="1:23" ht="13.15" x14ac:dyDescent="0.25">
      <c r="A8" s="25" t="s">
        <v>0</v>
      </c>
      <c r="B8" s="69">
        <f>U$26</f>
        <v>12</v>
      </c>
      <c r="C8" s="25"/>
      <c r="D8" s="25" t="s">
        <v>1</v>
      </c>
      <c r="E8" s="68">
        <f>B8*365</f>
        <v>4380</v>
      </c>
      <c r="F8" s="411"/>
      <c r="G8" s="644"/>
      <c r="H8" s="50" t="s">
        <v>0</v>
      </c>
      <c r="I8" s="566">
        <v>12</v>
      </c>
      <c r="J8" s="120"/>
      <c r="K8" s="120" t="s">
        <v>1</v>
      </c>
      <c r="L8" s="1027">
        <f>$I$8*365</f>
        <v>4380</v>
      </c>
      <c r="M8" s="120" t="s">
        <v>1</v>
      </c>
      <c r="N8" s="1059">
        <f>$I$8*365</f>
        <v>4380</v>
      </c>
      <c r="O8" s="1348" t="s">
        <v>459</v>
      </c>
      <c r="P8" s="644"/>
      <c r="R8" s="14" t="s">
        <v>16</v>
      </c>
      <c r="S8" s="15">
        <v>7</v>
      </c>
      <c r="T8" s="16">
        <f>S8*8</f>
        <v>56</v>
      </c>
      <c r="U8" s="17"/>
      <c r="V8" s="24"/>
      <c r="W8" s="24"/>
    </row>
    <row r="9" spans="1:23" ht="13.15" x14ac:dyDescent="0.25">
      <c r="F9" s="407"/>
      <c r="G9" s="162"/>
      <c r="H9" s="43"/>
      <c r="I9" s="29"/>
      <c r="J9" s="29"/>
      <c r="K9" s="29"/>
      <c r="L9" s="29"/>
      <c r="M9" s="29"/>
      <c r="N9" s="41"/>
      <c r="O9" s="130"/>
      <c r="P9" s="162"/>
      <c r="R9" s="11"/>
      <c r="S9" s="18" t="s">
        <v>17</v>
      </c>
      <c r="T9" s="13">
        <f>SUM(T5:T8)</f>
        <v>328</v>
      </c>
      <c r="U9" s="19"/>
      <c r="V9" s="24"/>
      <c r="W9" s="24"/>
    </row>
    <row r="10" spans="1:23" ht="13.9" customHeight="1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G10" s="335"/>
      <c r="H10" s="1060"/>
      <c r="I10" s="26"/>
      <c r="J10" s="27" t="s">
        <v>2</v>
      </c>
      <c r="K10" s="27" t="s">
        <v>3</v>
      </c>
      <c r="L10" s="27" t="s">
        <v>4</v>
      </c>
      <c r="M10" s="27" t="s">
        <v>3</v>
      </c>
      <c r="N10" s="1075" t="s">
        <v>4</v>
      </c>
      <c r="O10" s="1349"/>
      <c r="P10" s="335"/>
      <c r="R10" s="20"/>
      <c r="S10" s="21" t="s">
        <v>18</v>
      </c>
      <c r="T10" s="22">
        <f>T9/(52*40)</f>
        <v>0.15769230769230769</v>
      </c>
      <c r="U10" s="56"/>
    </row>
    <row r="11" spans="1:23" ht="13.9" thickBot="1" x14ac:dyDescent="0.3">
      <c r="A11" s="1" t="s">
        <v>19</v>
      </c>
      <c r="C11" s="30">
        <f>T$13</f>
        <v>56249</v>
      </c>
      <c r="D11" s="35">
        <f>U$27</f>
        <v>2</v>
      </c>
      <c r="E11" s="28">
        <f>C11*D11</f>
        <v>112498</v>
      </c>
      <c r="F11" s="407"/>
      <c r="G11" s="392"/>
      <c r="H11" s="1156" t="s">
        <v>19</v>
      </c>
      <c r="I11" s="162"/>
      <c r="J11" s="280">
        <f>T13</f>
        <v>56249</v>
      </c>
      <c r="K11" s="195">
        <v>2</v>
      </c>
      <c r="L11" s="392">
        <f>$J$11*K11</f>
        <v>112498</v>
      </c>
      <c r="M11" s="195">
        <v>2</v>
      </c>
      <c r="N11" s="1133">
        <f>$J$11*M11</f>
        <v>112498</v>
      </c>
      <c r="O11" s="400"/>
      <c r="P11" s="392"/>
    </row>
    <row r="12" spans="1:23" ht="13.15" x14ac:dyDescent="0.25">
      <c r="A12" s="2" t="s">
        <v>227</v>
      </c>
      <c r="C12" s="30"/>
      <c r="D12" s="35"/>
      <c r="E12" s="28"/>
      <c r="F12" s="407"/>
      <c r="G12" s="392"/>
      <c r="H12" s="440" t="s">
        <v>227</v>
      </c>
      <c r="I12" s="162"/>
      <c r="J12" s="280"/>
      <c r="K12" s="195"/>
      <c r="L12" s="392"/>
      <c r="M12" s="195"/>
      <c r="N12" s="1133"/>
      <c r="O12" s="400"/>
      <c r="P12" s="392"/>
      <c r="R12" s="36"/>
      <c r="S12" s="37"/>
      <c r="T12" s="38" t="s">
        <v>62</v>
      </c>
      <c r="U12" s="38"/>
      <c r="V12" s="39"/>
    </row>
    <row r="13" spans="1:23" ht="13.15" x14ac:dyDescent="0.25">
      <c r="A13" s="3" t="s">
        <v>24</v>
      </c>
      <c r="C13" s="30">
        <f>T15</f>
        <v>69550</v>
      </c>
      <c r="D13" s="35">
        <f>U29</f>
        <v>0.3</v>
      </c>
      <c r="E13" s="28">
        <f t="shared" ref="E13:E20" si="0">C13*D13</f>
        <v>20865</v>
      </c>
      <c r="F13" s="407"/>
      <c r="G13" s="392"/>
      <c r="H13" s="434" t="s">
        <v>24</v>
      </c>
      <c r="I13" s="162"/>
      <c r="J13" s="280">
        <f>T15</f>
        <v>69550</v>
      </c>
      <c r="K13" s="195">
        <v>0.3</v>
      </c>
      <c r="L13" s="392">
        <f>$J$13*K13</f>
        <v>20865</v>
      </c>
      <c r="M13" s="195">
        <f>$K$13+(0.5*$I$8/40)</f>
        <v>0.44999999999999996</v>
      </c>
      <c r="N13" s="1133">
        <f>$J$13*M13</f>
        <v>31297.499999999996</v>
      </c>
      <c r="O13" s="400"/>
      <c r="P13" s="392"/>
      <c r="R13" s="7" t="s">
        <v>19</v>
      </c>
      <c r="S13" s="29"/>
      <c r="T13" s="40">
        <v>56249</v>
      </c>
      <c r="U13" s="93"/>
      <c r="V13" s="41"/>
    </row>
    <row r="14" spans="1:23" ht="13.15" x14ac:dyDescent="0.25">
      <c r="A14" s="2" t="s">
        <v>5</v>
      </c>
      <c r="C14" s="282"/>
      <c r="D14" s="283"/>
      <c r="E14" s="28"/>
      <c r="F14" s="407"/>
      <c r="G14" s="392"/>
      <c r="H14" s="440" t="s">
        <v>5</v>
      </c>
      <c r="I14" s="162"/>
      <c r="J14" s="280"/>
      <c r="K14" s="195"/>
      <c r="L14" s="392"/>
      <c r="M14" s="195"/>
      <c r="N14" s="1133"/>
      <c r="O14" s="400"/>
      <c r="P14" s="392"/>
      <c r="R14" s="7" t="s">
        <v>227</v>
      </c>
      <c r="S14" s="29"/>
      <c r="T14" s="40"/>
      <c r="U14" s="93"/>
      <c r="V14" s="41"/>
    </row>
    <row r="15" spans="1:23" ht="13.15" x14ac:dyDescent="0.25">
      <c r="A15" s="3" t="s">
        <v>26</v>
      </c>
      <c r="C15" s="282">
        <f>T17</f>
        <v>53770</v>
      </c>
      <c r="D15" s="283">
        <f>U31</f>
        <v>1</v>
      </c>
      <c r="E15" s="28">
        <f>C15*D15</f>
        <v>53770</v>
      </c>
      <c r="F15" s="407"/>
      <c r="G15" s="392"/>
      <c r="H15" s="434" t="s">
        <v>26</v>
      </c>
      <c r="I15" s="162"/>
      <c r="J15" s="280">
        <f>T17</f>
        <v>53770</v>
      </c>
      <c r="K15" s="195">
        <v>1</v>
      </c>
      <c r="L15" s="392">
        <f>$J$15*K15</f>
        <v>53770</v>
      </c>
      <c r="M15" s="195">
        <v>2</v>
      </c>
      <c r="N15" s="1133">
        <f>$J$15*M15</f>
        <v>107540</v>
      </c>
      <c r="O15" s="400"/>
      <c r="P15" s="392"/>
      <c r="R15" s="11" t="s">
        <v>24</v>
      </c>
      <c r="S15" s="29"/>
      <c r="T15" s="40">
        <v>69550</v>
      </c>
      <c r="U15" s="93" t="s">
        <v>58</v>
      </c>
      <c r="V15" s="41"/>
    </row>
    <row r="16" spans="1:23" ht="13.15" x14ac:dyDescent="0.25">
      <c r="A16" s="3" t="s">
        <v>59</v>
      </c>
      <c r="C16" s="282">
        <f>T18</f>
        <v>47586</v>
      </c>
      <c r="D16" s="283">
        <f>U32</f>
        <v>1</v>
      </c>
      <c r="E16" s="28">
        <f t="shared" si="0"/>
        <v>47586</v>
      </c>
      <c r="F16" s="407"/>
      <c r="G16" s="392"/>
      <c r="H16" s="434" t="s">
        <v>59</v>
      </c>
      <c r="I16" s="162"/>
      <c r="J16" s="280">
        <f>T18</f>
        <v>47586</v>
      </c>
      <c r="K16" s="195">
        <v>1</v>
      </c>
      <c r="L16" s="392">
        <f>$J$16*K16</f>
        <v>47586</v>
      </c>
      <c r="M16" s="195">
        <v>1</v>
      </c>
      <c r="N16" s="1133">
        <f>$J$16*M16</f>
        <v>47586</v>
      </c>
      <c r="O16" s="400"/>
      <c r="P16" s="392"/>
      <c r="Q16" s="77"/>
      <c r="R16" s="7" t="s">
        <v>5</v>
      </c>
      <c r="S16" s="29"/>
      <c r="T16" s="40"/>
      <c r="U16" s="93"/>
      <c r="V16" s="41"/>
    </row>
    <row r="17" spans="1:23" ht="13.15" x14ac:dyDescent="0.25">
      <c r="A17" s="3" t="s">
        <v>30</v>
      </c>
      <c r="C17" s="282">
        <f>T19</f>
        <v>31369</v>
      </c>
      <c r="D17" s="283">
        <f>U33</f>
        <v>13.6</v>
      </c>
      <c r="E17" s="28">
        <f t="shared" si="0"/>
        <v>426618.39999999997</v>
      </c>
      <c r="F17" s="407"/>
      <c r="G17" s="645"/>
      <c r="H17" s="434" t="s">
        <v>30</v>
      </c>
      <c r="I17" s="162"/>
      <c r="J17" s="280">
        <f>T19</f>
        <v>31369</v>
      </c>
      <c r="K17" s="195">
        <v>13.6</v>
      </c>
      <c r="L17" s="392">
        <f>$J$17*K17</f>
        <v>426618.39999999997</v>
      </c>
      <c r="M17" s="195">
        <v>13.6</v>
      </c>
      <c r="N17" s="1133">
        <f>$J$17*M17</f>
        <v>426618.39999999997</v>
      </c>
      <c r="O17" s="400"/>
      <c r="P17" s="392"/>
      <c r="R17" s="7" t="s">
        <v>331</v>
      </c>
      <c r="S17" s="29"/>
      <c r="T17" s="280">
        <v>53770</v>
      </c>
      <c r="U17" s="93"/>
      <c r="V17" s="41"/>
      <c r="W17" s="177"/>
    </row>
    <row r="18" spans="1:23" ht="13.15" x14ac:dyDescent="0.25">
      <c r="A18" s="4" t="s">
        <v>31</v>
      </c>
      <c r="C18" s="282">
        <f>T20</f>
        <v>31369</v>
      </c>
      <c r="D18" s="283">
        <f>U34</f>
        <v>2.1446153846153844</v>
      </c>
      <c r="E18" s="28">
        <f t="shared" si="0"/>
        <v>67274.439999999988</v>
      </c>
      <c r="F18" s="407"/>
      <c r="G18" s="645"/>
      <c r="H18" s="443" t="s">
        <v>31</v>
      </c>
      <c r="I18" s="162"/>
      <c r="J18" s="280">
        <f>T20</f>
        <v>31369</v>
      </c>
      <c r="K18" s="195">
        <v>2.1446153846153844</v>
      </c>
      <c r="L18" s="392">
        <f>$J$18*K18</f>
        <v>67274.439999999988</v>
      </c>
      <c r="M18" s="195">
        <f>SUM(M17)*T10</f>
        <v>2.1446153846153844</v>
      </c>
      <c r="N18" s="1133">
        <f>$J$18*M18</f>
        <v>67274.439999999988</v>
      </c>
      <c r="O18" s="400"/>
      <c r="P18" s="392"/>
      <c r="R18" s="11" t="s">
        <v>59</v>
      </c>
      <c r="S18" s="29"/>
      <c r="T18" s="40">
        <v>47586</v>
      </c>
      <c r="U18" s="93"/>
      <c r="V18" s="41"/>
    </row>
    <row r="19" spans="1:23" ht="13.15" x14ac:dyDescent="0.25">
      <c r="A19" s="2" t="s">
        <v>6</v>
      </c>
      <c r="C19" s="282"/>
      <c r="D19" s="283"/>
      <c r="E19" s="28"/>
      <c r="F19" s="407"/>
      <c r="G19" s="392"/>
      <c r="H19" s="440" t="s">
        <v>6</v>
      </c>
      <c r="I19" s="162"/>
      <c r="J19" s="280"/>
      <c r="K19" s="195"/>
      <c r="L19" s="392"/>
      <c r="M19" s="195"/>
      <c r="N19" s="1133"/>
      <c r="O19" s="400"/>
      <c r="P19" s="392"/>
      <c r="R19" s="11" t="s">
        <v>30</v>
      </c>
      <c r="S19" s="29"/>
      <c r="T19" s="40">
        <v>31369</v>
      </c>
      <c r="U19" s="93" t="s">
        <v>86</v>
      </c>
      <c r="V19" s="41"/>
    </row>
    <row r="20" spans="1:23" ht="13.15" x14ac:dyDescent="0.25">
      <c r="A20" s="3" t="s">
        <v>32</v>
      </c>
      <c r="C20" s="30">
        <f>T22</f>
        <v>31369</v>
      </c>
      <c r="D20" s="35">
        <f>U36</f>
        <v>0.5</v>
      </c>
      <c r="E20" s="28">
        <f t="shared" si="0"/>
        <v>15684.5</v>
      </c>
      <c r="F20" s="407"/>
      <c r="G20" s="392"/>
      <c r="H20" s="434" t="s">
        <v>32</v>
      </c>
      <c r="I20" s="162"/>
      <c r="J20" s="280">
        <f>T22</f>
        <v>31369</v>
      </c>
      <c r="K20" s="195">
        <v>0.5</v>
      </c>
      <c r="L20" s="392">
        <f>$J$20*K20</f>
        <v>15684.5</v>
      </c>
      <c r="M20" s="195">
        <v>0.5</v>
      </c>
      <c r="N20" s="1133">
        <f>$J$20*M20</f>
        <v>15684.5</v>
      </c>
      <c r="O20" s="400"/>
      <c r="P20" s="392"/>
      <c r="R20" s="42" t="s">
        <v>31</v>
      </c>
      <c r="S20" s="29"/>
      <c r="T20" s="40">
        <f>T19</f>
        <v>31369</v>
      </c>
      <c r="U20" s="93"/>
      <c r="V20" s="41"/>
    </row>
    <row r="21" spans="1:23" ht="13.15" x14ac:dyDescent="0.25">
      <c r="A21" s="31" t="s">
        <v>7</v>
      </c>
      <c r="B21" s="31"/>
      <c r="C21" s="31"/>
      <c r="D21" s="32">
        <f>SUM(D11:D20)</f>
        <v>20.544615384615383</v>
      </c>
      <c r="E21" s="33">
        <f>SUM(E11:E20)</f>
        <v>744296.33999999985</v>
      </c>
      <c r="F21" s="407"/>
      <c r="G21" s="393"/>
      <c r="H21" s="1137" t="s">
        <v>7</v>
      </c>
      <c r="I21" s="1039"/>
      <c r="J21" s="1039"/>
      <c r="K21" s="1040">
        <f>SUM(K11:K20)</f>
        <v>20.544615384615383</v>
      </c>
      <c r="L21" s="1041">
        <f>SUM(L11:L20)</f>
        <v>744296.33999999985</v>
      </c>
      <c r="M21" s="1040">
        <f>SUM(M11:M20)</f>
        <v>21.694615384615386</v>
      </c>
      <c r="N21" s="1134">
        <f>SUM(N11:N20)</f>
        <v>808498.83999999985</v>
      </c>
      <c r="O21" s="1350"/>
      <c r="P21" s="393"/>
      <c r="R21" s="7" t="s">
        <v>6</v>
      </c>
      <c r="S21" s="29"/>
      <c r="T21" s="40"/>
      <c r="U21" s="93"/>
      <c r="V21" s="41"/>
    </row>
    <row r="22" spans="1:23" ht="13.15" x14ac:dyDescent="0.25">
      <c r="F22" s="407"/>
      <c r="G22" s="162"/>
      <c r="H22" s="448"/>
      <c r="I22" s="162"/>
      <c r="J22" s="162"/>
      <c r="K22" s="162"/>
      <c r="L22" s="162"/>
      <c r="M22" s="162"/>
      <c r="N22" s="455"/>
      <c r="O22" s="130"/>
      <c r="P22" s="162"/>
      <c r="R22" s="11" t="s">
        <v>32</v>
      </c>
      <c r="S22" s="29"/>
      <c r="T22" s="40">
        <f>IF('[7]Avg Salary'!$J$44&gt;T19,T19,'[7]Avg Salary'!$J$44)</f>
        <v>31369</v>
      </c>
      <c r="U22" s="93" t="s">
        <v>65</v>
      </c>
      <c r="V22" s="41"/>
    </row>
    <row r="23" spans="1:23" ht="13.15" x14ac:dyDescent="0.25">
      <c r="A23" s="25" t="s">
        <v>21</v>
      </c>
      <c r="D23" s="25" t="s">
        <v>20</v>
      </c>
      <c r="F23" s="407"/>
      <c r="G23" s="162"/>
      <c r="H23" s="1135" t="s">
        <v>21</v>
      </c>
      <c r="I23" s="162"/>
      <c r="J23" s="162"/>
      <c r="K23" s="391" t="s">
        <v>20</v>
      </c>
      <c r="L23" s="162"/>
      <c r="M23" s="391" t="s">
        <v>20</v>
      </c>
      <c r="N23" s="455"/>
      <c r="O23" s="130"/>
      <c r="P23" s="162"/>
      <c r="R23" s="11"/>
      <c r="S23" s="29"/>
      <c r="T23" s="40"/>
      <c r="U23" s="40"/>
      <c r="V23" s="41"/>
    </row>
    <row r="24" spans="1:23" ht="13.15" x14ac:dyDescent="0.25">
      <c r="A24" s="23" t="s">
        <v>22</v>
      </c>
      <c r="C24" s="97">
        <f>$T$39</f>
        <v>0.23424901786252411</v>
      </c>
      <c r="E24" s="28">
        <f>C24*E21</f>
        <v>174350.68664367127</v>
      </c>
      <c r="F24" s="407"/>
      <c r="G24" s="392"/>
      <c r="H24" s="448" t="s">
        <v>22</v>
      </c>
      <c r="I24" s="162"/>
      <c r="J24" s="1043">
        <f>$T$39</f>
        <v>0.23424901786252411</v>
      </c>
      <c r="K24" s="162"/>
      <c r="L24" s="392">
        <f>$J$24*L21</f>
        <v>174350.68664367127</v>
      </c>
      <c r="M24" s="162"/>
      <c r="N24" s="1133">
        <f>$J$24*N21</f>
        <v>189390.05921298999</v>
      </c>
      <c r="O24" s="400"/>
      <c r="P24" s="392"/>
      <c r="R24" s="43"/>
      <c r="S24" s="29"/>
      <c r="T24" s="44" t="s">
        <v>37</v>
      </c>
      <c r="U24" s="44"/>
      <c r="V24" s="41"/>
    </row>
    <row r="25" spans="1:23" ht="13.15" x14ac:dyDescent="0.25">
      <c r="A25" s="31" t="s">
        <v>51</v>
      </c>
      <c r="B25" s="31"/>
      <c r="C25" s="31"/>
      <c r="D25" s="70">
        <f>E25/E8</f>
        <v>209.73676407389752</v>
      </c>
      <c r="E25" s="33">
        <f>E24+E21</f>
        <v>918647.0266436711</v>
      </c>
      <c r="F25" s="407"/>
      <c r="G25" s="393"/>
      <c r="H25" s="1353" t="s">
        <v>51</v>
      </c>
      <c r="I25" s="1039"/>
      <c r="J25" s="1039"/>
      <c r="K25" s="1044">
        <f>L25/L8</f>
        <v>209.73676407389752</v>
      </c>
      <c r="L25" s="1041">
        <f>L24+L21</f>
        <v>918647.0266436711</v>
      </c>
      <c r="M25" s="1044">
        <f>N25/N8</f>
        <v>227.82851580205246</v>
      </c>
      <c r="N25" s="1134">
        <f>N24+N21</f>
        <v>997888.89921298984</v>
      </c>
      <c r="O25" s="1350"/>
      <c r="P25" s="393"/>
      <c r="R25" s="43" t="s">
        <v>35</v>
      </c>
      <c r="S25" s="65"/>
      <c r="T25" s="65"/>
      <c r="U25" s="65"/>
      <c r="V25" s="66"/>
    </row>
    <row r="26" spans="1:23" ht="13.15" x14ac:dyDescent="0.25">
      <c r="F26" s="407"/>
      <c r="G26" s="162"/>
      <c r="H26" s="448"/>
      <c r="I26" s="162"/>
      <c r="J26" s="162"/>
      <c r="K26" s="162"/>
      <c r="L26" s="162"/>
      <c r="M26" s="162"/>
      <c r="N26" s="455"/>
      <c r="O26" s="130"/>
      <c r="P26" s="162"/>
      <c r="R26" s="43" t="s">
        <v>36</v>
      </c>
      <c r="S26" s="57">
        <f>'[7]Rate options'!K23</f>
        <v>6</v>
      </c>
      <c r="T26" s="57">
        <f>'[7]Rate options'!L23</f>
        <v>9</v>
      </c>
      <c r="U26" s="57">
        <f>'[7]Rate options'!M23</f>
        <v>12</v>
      </c>
      <c r="V26" s="67">
        <f>'[7]Rate options'!N23</f>
        <v>15</v>
      </c>
    </row>
    <row r="27" spans="1:23" ht="13.15" x14ac:dyDescent="0.25">
      <c r="A27" s="23" t="s">
        <v>39</v>
      </c>
      <c r="D27" s="71">
        <f>$T$41</f>
        <v>25.05</v>
      </c>
      <c r="E27" s="105">
        <f>D27*E8</f>
        <v>109719</v>
      </c>
      <c r="F27" s="407"/>
      <c r="G27" s="395"/>
      <c r="H27" s="448" t="s">
        <v>39</v>
      </c>
      <c r="I27" s="162"/>
      <c r="J27" s="162"/>
      <c r="K27" s="394">
        <f>$T$41</f>
        <v>25.05</v>
      </c>
      <c r="L27" s="395">
        <f>K27*L8</f>
        <v>109719</v>
      </c>
      <c r="M27" s="394">
        <f>$T$41</f>
        <v>25.05</v>
      </c>
      <c r="N27" s="1136">
        <f>M27*N8</f>
        <v>109719</v>
      </c>
      <c r="O27" s="1351"/>
      <c r="P27" s="395"/>
      <c r="R27" s="7" t="s">
        <v>19</v>
      </c>
      <c r="S27" s="191">
        <f>'[7]Rate options'!K24</f>
        <v>1</v>
      </c>
      <c r="T27" s="191">
        <f>'[7]Rate options'!L24</f>
        <v>1.5</v>
      </c>
      <c r="U27" s="191">
        <f>'[7]Rate options'!M24</f>
        <v>2</v>
      </c>
      <c r="V27" s="192">
        <f>'[7]Rate options'!N24</f>
        <v>2</v>
      </c>
    </row>
    <row r="28" spans="1:23" ht="13.15" x14ac:dyDescent="0.25">
      <c r="A28" s="29" t="s">
        <v>40</v>
      </c>
      <c r="D28" s="71">
        <f>$T$42</f>
        <v>18.55</v>
      </c>
      <c r="E28" s="105">
        <f>D28*E8</f>
        <v>81249</v>
      </c>
      <c r="F28" s="407"/>
      <c r="G28" s="395"/>
      <c r="H28" s="448" t="s">
        <v>40</v>
      </c>
      <c r="I28" s="162"/>
      <c r="J28" s="162"/>
      <c r="K28" s="394">
        <f>$T$42</f>
        <v>18.55</v>
      </c>
      <c r="L28" s="395">
        <f>K28*L8</f>
        <v>81249</v>
      </c>
      <c r="M28" s="394">
        <f>$T$42</f>
        <v>18.55</v>
      </c>
      <c r="N28" s="1136">
        <f>M28*N8</f>
        <v>81249</v>
      </c>
      <c r="O28" s="1351"/>
      <c r="P28" s="395"/>
      <c r="R28" s="7" t="s">
        <v>227</v>
      </c>
      <c r="S28" s="193"/>
      <c r="T28" s="193"/>
      <c r="U28" s="193"/>
      <c r="V28" s="194"/>
    </row>
    <row r="29" spans="1:23" ht="13.15" x14ac:dyDescent="0.25">
      <c r="A29" s="29" t="s">
        <v>41</v>
      </c>
      <c r="D29" s="71">
        <f>$T$43</f>
        <v>2.2839999999999998</v>
      </c>
      <c r="E29" s="105">
        <f>D29*E8</f>
        <v>10003.919999999998</v>
      </c>
      <c r="F29" s="407"/>
      <c r="G29" s="395"/>
      <c r="H29" s="448" t="s">
        <v>41</v>
      </c>
      <c r="I29" s="162"/>
      <c r="J29" s="162"/>
      <c r="K29" s="394">
        <f>$T$43</f>
        <v>2.2839999999999998</v>
      </c>
      <c r="L29" s="395">
        <f>K29*L8</f>
        <v>10003.919999999998</v>
      </c>
      <c r="M29" s="394">
        <f>$T$43</f>
        <v>2.2839999999999998</v>
      </c>
      <c r="N29" s="1136">
        <f>M29*N8</f>
        <v>10003.919999999998</v>
      </c>
      <c r="O29" s="1351"/>
      <c r="P29" s="395"/>
      <c r="R29" s="11" t="s">
        <v>24</v>
      </c>
      <c r="S29" s="191">
        <f>'[7]Rate options'!K26</f>
        <v>0.15</v>
      </c>
      <c r="T29" s="191">
        <f>'[7]Rate options'!L26</f>
        <v>0.22499999999999998</v>
      </c>
      <c r="U29" s="191">
        <f>'[7]Rate options'!M26</f>
        <v>0.3</v>
      </c>
      <c r="V29" s="192">
        <f>'[7]Rate options'!N26</f>
        <v>0.375</v>
      </c>
    </row>
    <row r="30" spans="1:23" ht="13.15" x14ac:dyDescent="0.25">
      <c r="A30" s="29" t="s">
        <v>42</v>
      </c>
      <c r="D30" s="71">
        <f>$T$44</f>
        <v>-2</v>
      </c>
      <c r="E30" s="105">
        <f>D30*E8</f>
        <v>-8760</v>
      </c>
      <c r="F30" s="407"/>
      <c r="G30" s="395"/>
      <c r="H30" s="448" t="s">
        <v>42</v>
      </c>
      <c r="I30" s="162"/>
      <c r="J30" s="162"/>
      <c r="K30" s="394">
        <f>$T$44</f>
        <v>-2</v>
      </c>
      <c r="L30" s="395">
        <f>K30*L8</f>
        <v>-8760</v>
      </c>
      <c r="M30" s="394">
        <f>$T$44</f>
        <v>-2</v>
      </c>
      <c r="N30" s="1136">
        <f>M30*N8</f>
        <v>-8760</v>
      </c>
      <c r="O30" s="402"/>
      <c r="P30" s="395"/>
      <c r="R30" s="7" t="s">
        <v>5</v>
      </c>
      <c r="S30" s="193"/>
      <c r="T30" s="193"/>
      <c r="U30" s="193"/>
      <c r="V30" s="194"/>
    </row>
    <row r="31" spans="1:23" ht="13.15" x14ac:dyDescent="0.25">
      <c r="D31" s="72">
        <f>SUM(D27:D30)</f>
        <v>43.884</v>
      </c>
      <c r="F31" s="407"/>
      <c r="G31" s="162"/>
      <c r="H31" s="43"/>
      <c r="I31" s="29"/>
      <c r="J31" s="29"/>
      <c r="K31" s="72">
        <f>SUM(K27:K30)</f>
        <v>43.884</v>
      </c>
      <c r="L31" s="29"/>
      <c r="M31" s="72">
        <f>SUM(M27:M30)</f>
        <v>43.884</v>
      </c>
      <c r="N31" s="41"/>
      <c r="O31" s="130"/>
      <c r="P31" s="162"/>
      <c r="R31" s="11" t="s">
        <v>26</v>
      </c>
      <c r="S31" s="193">
        <v>1</v>
      </c>
      <c r="T31" s="193">
        <v>1</v>
      </c>
      <c r="U31" s="193">
        <v>1</v>
      </c>
      <c r="V31" s="194">
        <v>1</v>
      </c>
    </row>
    <row r="32" spans="1:23" ht="13.15" x14ac:dyDescent="0.25">
      <c r="F32" s="407"/>
      <c r="G32" s="162"/>
      <c r="H32" s="43"/>
      <c r="I32" s="29"/>
      <c r="J32" s="29"/>
      <c r="K32" s="29"/>
      <c r="L32" s="29"/>
      <c r="M32" s="29"/>
      <c r="N32" s="41"/>
      <c r="O32" s="130"/>
      <c r="P32" s="162"/>
      <c r="R32" s="11" t="s">
        <v>59</v>
      </c>
      <c r="S32" s="191">
        <v>0</v>
      </c>
      <c r="T32" s="191">
        <v>0.5</v>
      </c>
      <c r="U32" s="191">
        <v>1</v>
      </c>
      <c r="V32" s="192">
        <v>1.5</v>
      </c>
    </row>
    <row r="33" spans="1:23" ht="13.15" x14ac:dyDescent="0.25">
      <c r="A33" s="31" t="s">
        <v>43</v>
      </c>
      <c r="B33" s="31"/>
      <c r="C33" s="31"/>
      <c r="D33" s="31"/>
      <c r="E33" s="33">
        <f>SUM(E25:E30)</f>
        <v>1110858.946643671</v>
      </c>
      <c r="F33" s="407"/>
      <c r="G33" s="393"/>
      <c r="H33" s="1065" t="s">
        <v>43</v>
      </c>
      <c r="I33" s="31"/>
      <c r="J33" s="31"/>
      <c r="K33" s="31"/>
      <c r="L33" s="33">
        <f>SUM(L25:L30)</f>
        <v>1110858.946643671</v>
      </c>
      <c r="M33" s="31"/>
      <c r="N33" s="1076">
        <f>SUM(N25:N30)</f>
        <v>1190100.8192129899</v>
      </c>
      <c r="O33" s="1350"/>
      <c r="P33" s="393"/>
      <c r="R33" s="11" t="s">
        <v>30</v>
      </c>
      <c r="S33" s="191">
        <v>6.8</v>
      </c>
      <c r="T33" s="191">
        <v>10.199999999999999</v>
      </c>
      <c r="U33" s="191">
        <f>'[7]Rate options'!M29</f>
        <v>13.6</v>
      </c>
      <c r="V33" s="192">
        <f>'[7]Rate options'!N29</f>
        <v>17</v>
      </c>
    </row>
    <row r="34" spans="1:23" ht="13.15" x14ac:dyDescent="0.25">
      <c r="F34" s="407"/>
      <c r="G34" s="162"/>
      <c r="H34" s="43"/>
      <c r="I34" s="29"/>
      <c r="J34" s="29"/>
      <c r="K34" s="29"/>
      <c r="L34" s="29"/>
      <c r="M34" s="29"/>
      <c r="N34" s="41"/>
      <c r="O34" s="130"/>
      <c r="P34" s="162"/>
      <c r="R34" s="42" t="s">
        <v>31</v>
      </c>
      <c r="S34" s="417">
        <f>S33*T10</f>
        <v>1.0723076923076922</v>
      </c>
      <c r="T34" s="417">
        <f>T33*T10</f>
        <v>1.6084615384615384</v>
      </c>
      <c r="U34" s="417">
        <f>U33*T10</f>
        <v>2.1446153846153844</v>
      </c>
      <c r="V34" s="418">
        <f>V33*T10</f>
        <v>2.6807692307692306</v>
      </c>
    </row>
    <row r="35" spans="1:23" ht="13.15" x14ac:dyDescent="0.25">
      <c r="A35" s="23" t="s">
        <v>44</v>
      </c>
      <c r="C35" s="97">
        <f>$T$47</f>
        <v>0.11846733793705286</v>
      </c>
      <c r="E35" s="28">
        <f>C35*E33</f>
        <v>131600.50223243434</v>
      </c>
      <c r="F35" s="407"/>
      <c r="G35" s="392"/>
      <c r="H35" s="43" t="s">
        <v>44</v>
      </c>
      <c r="I35" s="29"/>
      <c r="J35" s="573">
        <f>$T$47</f>
        <v>0.11846733793705286</v>
      </c>
      <c r="K35" s="29"/>
      <c r="L35" s="1028">
        <f>$J$35*L33</f>
        <v>131600.50223243434</v>
      </c>
      <c r="M35" s="29"/>
      <c r="N35" s="1063">
        <f>$J$35*N33</f>
        <v>140988.07592886873</v>
      </c>
      <c r="O35" s="400"/>
      <c r="P35" s="392"/>
      <c r="R35" s="7" t="s">
        <v>6</v>
      </c>
      <c r="S35" s="193"/>
      <c r="T35" s="193"/>
      <c r="U35" s="193"/>
      <c r="V35" s="194"/>
    </row>
    <row r="36" spans="1:23" ht="13.15" x14ac:dyDescent="0.25">
      <c r="F36" s="407"/>
      <c r="G36" s="162"/>
      <c r="H36" s="43"/>
      <c r="I36" s="29"/>
      <c r="J36" s="29"/>
      <c r="K36" s="29"/>
      <c r="L36" s="29"/>
      <c r="M36" s="29"/>
      <c r="N36" s="41"/>
      <c r="O36" s="130"/>
      <c r="P36" s="162"/>
      <c r="R36" s="11" t="s">
        <v>32</v>
      </c>
      <c r="S36" s="191">
        <f>'[7]Rate options'!K32</f>
        <v>0.5</v>
      </c>
      <c r="T36" s="191">
        <f>'[7]Rate options'!L32</f>
        <v>0.5</v>
      </c>
      <c r="U36" s="191">
        <f>'[7]Rate options'!M32</f>
        <v>0.5</v>
      </c>
      <c r="V36" s="192">
        <f>'[7]Rate options'!N32</f>
        <v>0.5</v>
      </c>
    </row>
    <row r="37" spans="1:23" ht="13.9" thickBot="1" x14ac:dyDescent="0.3">
      <c r="A37" s="73" t="s">
        <v>52</v>
      </c>
      <c r="B37" s="74"/>
      <c r="C37" s="74"/>
      <c r="D37" s="74"/>
      <c r="E37" s="75">
        <f>SUM(E33:E35)</f>
        <v>1242459.4488761052</v>
      </c>
      <c r="F37" s="407"/>
      <c r="G37" s="393"/>
      <c r="H37" s="1067" t="s">
        <v>52</v>
      </c>
      <c r="I37" s="74"/>
      <c r="J37" s="74"/>
      <c r="K37" s="74"/>
      <c r="L37" s="75">
        <f>SUM(L33:L35)</f>
        <v>1242459.4488761052</v>
      </c>
      <c r="M37" s="74"/>
      <c r="N37" s="1078">
        <f>SUM(N33:N35)</f>
        <v>1331088.8951418586</v>
      </c>
      <c r="O37" s="403">
        <f>N37</f>
        <v>1331088.8951418586</v>
      </c>
      <c r="P37" s="393"/>
      <c r="R37" s="43"/>
      <c r="S37" s="29"/>
      <c r="T37" s="29"/>
      <c r="U37" s="29"/>
      <c r="V37" s="41"/>
      <c r="W37" s="177"/>
    </row>
    <row r="38" spans="1:23" ht="13.9" thickTop="1" x14ac:dyDescent="0.25">
      <c r="F38" s="407"/>
      <c r="G38" s="162"/>
      <c r="H38" s="43"/>
      <c r="I38" s="29"/>
      <c r="J38" s="29"/>
      <c r="K38" s="29"/>
      <c r="L38" s="29"/>
      <c r="M38" s="29"/>
      <c r="N38" s="41"/>
      <c r="O38" s="130"/>
      <c r="P38" s="162"/>
      <c r="R38" s="43"/>
      <c r="S38" s="29"/>
      <c r="T38" s="44" t="s">
        <v>38</v>
      </c>
      <c r="U38" s="44"/>
      <c r="V38" s="41"/>
    </row>
    <row r="39" spans="1:23" ht="13.15" x14ac:dyDescent="0.25">
      <c r="A39" s="23" t="s">
        <v>53</v>
      </c>
      <c r="C39" s="98"/>
      <c r="E39" s="77">
        <f>E37*(1+C39)</f>
        <v>1242459.4488761052</v>
      </c>
      <c r="F39" s="407"/>
      <c r="G39" s="396"/>
      <c r="H39" s="43"/>
      <c r="I39" s="29"/>
      <c r="J39" s="575"/>
      <c r="K39" s="29"/>
      <c r="L39" s="1029">
        <f>L37*(1+$J$39)</f>
        <v>1242459.4488761052</v>
      </c>
      <c r="M39" s="29"/>
      <c r="N39" s="1068">
        <f>N37*(1+$J$39)</f>
        <v>1331088.8951418586</v>
      </c>
      <c r="O39" s="404">
        <f>O37*(1+$J$39)</f>
        <v>1331088.8951418586</v>
      </c>
      <c r="P39" s="396"/>
      <c r="R39" s="43" t="s">
        <v>22</v>
      </c>
      <c r="S39" s="29"/>
      <c r="T39" s="95">
        <f>[10]Summary!$C$18</f>
        <v>0.23424901786252411</v>
      </c>
      <c r="U39" s="93" t="s">
        <v>68</v>
      </c>
      <c r="V39" s="41"/>
    </row>
    <row r="40" spans="1:23" ht="13.15" x14ac:dyDescent="0.25">
      <c r="F40" s="407"/>
      <c r="G40" s="162"/>
      <c r="H40" s="43"/>
      <c r="I40" s="29"/>
      <c r="J40" s="29"/>
      <c r="K40" s="29"/>
      <c r="L40" s="29"/>
      <c r="M40" s="29"/>
      <c r="N40" s="41"/>
      <c r="O40" s="130"/>
      <c r="P40" s="162"/>
      <c r="R40" s="43"/>
      <c r="S40" s="29"/>
      <c r="T40" s="48"/>
      <c r="U40" s="48"/>
      <c r="V40" s="41"/>
    </row>
    <row r="41" spans="1:23" ht="13.15" x14ac:dyDescent="0.25">
      <c r="E41" s="92" t="s">
        <v>56</v>
      </c>
      <c r="F41" s="407"/>
      <c r="G41" s="646"/>
      <c r="H41" s="43"/>
      <c r="I41" s="29"/>
      <c r="J41" s="29"/>
      <c r="K41" s="29"/>
      <c r="L41" s="753" t="s">
        <v>789</v>
      </c>
      <c r="M41" s="29"/>
      <c r="N41" s="1069" t="s">
        <v>789</v>
      </c>
      <c r="O41" s="1352" t="s">
        <v>790</v>
      </c>
      <c r="P41" s="646"/>
      <c r="R41" s="43" t="s">
        <v>39</v>
      </c>
      <c r="S41" s="29"/>
      <c r="T41" s="59">
        <v>25.05</v>
      </c>
      <c r="U41" s="59"/>
      <c r="V41" s="41"/>
    </row>
    <row r="42" spans="1:23" ht="13.15" x14ac:dyDescent="0.25">
      <c r="A42" s="23" t="s">
        <v>55</v>
      </c>
      <c r="D42" s="76">
        <f>E37/E8</f>
        <v>283.66654083929342</v>
      </c>
      <c r="E42" s="76">
        <f>D42*(1+$C$39)</f>
        <v>283.66654083929342</v>
      </c>
      <c r="F42" s="407"/>
      <c r="G42" s="396"/>
      <c r="H42" s="43" t="s">
        <v>55</v>
      </c>
      <c r="I42" s="29"/>
      <c r="J42" s="29"/>
      <c r="K42" s="428">
        <f>L37/L8</f>
        <v>283.66654083929342</v>
      </c>
      <c r="L42" s="428">
        <f>K42*(1+$C$39)</f>
        <v>283.66654083929342</v>
      </c>
      <c r="M42" s="428">
        <f>N37/N8</f>
        <v>303.90157423330106</v>
      </c>
      <c r="N42" s="1079">
        <f>M42*(1+$C$39)</f>
        <v>303.90157423330106</v>
      </c>
      <c r="O42" s="404">
        <f>O39/12</f>
        <v>110924.07459515489</v>
      </c>
      <c r="P42" s="396"/>
      <c r="R42" s="43" t="s">
        <v>40</v>
      </c>
      <c r="S42" s="29"/>
      <c r="T42" s="59">
        <v>18.55</v>
      </c>
      <c r="U42" s="59"/>
      <c r="V42" s="41"/>
    </row>
    <row r="43" spans="1:23" ht="13.15" x14ac:dyDescent="0.25">
      <c r="A43" s="377" t="s">
        <v>455</v>
      </c>
      <c r="B43" s="378"/>
      <c r="C43" s="379"/>
      <c r="D43" s="380"/>
      <c r="E43" s="380"/>
      <c r="F43" s="410">
        <f>E42*(1+C43)</f>
        <v>283.66654083929342</v>
      </c>
      <c r="G43" s="647"/>
      <c r="H43" s="1080" t="s">
        <v>762</v>
      </c>
      <c r="I43" s="162"/>
      <c r="J43" s="1026"/>
      <c r="K43" s="398"/>
      <c r="L43" s="398">
        <f>L42*(1+$J$43)</f>
        <v>283.66654083929342</v>
      </c>
      <c r="M43" s="398"/>
      <c r="N43" s="1081">
        <f>N42*(1+$J$43)</f>
        <v>303.90157423330106</v>
      </c>
      <c r="O43" s="1030">
        <f>ROUND(O42*(1+$J$43),0)</f>
        <v>110924</v>
      </c>
      <c r="P43" s="647"/>
      <c r="Q43" s="71"/>
      <c r="R43" s="43" t="s">
        <v>41</v>
      </c>
      <c r="S43" s="29"/>
      <c r="T43" s="59">
        <v>2.2839999999999998</v>
      </c>
      <c r="U43" s="59"/>
      <c r="V43" s="41"/>
    </row>
    <row r="44" spans="1:23" ht="13.9" thickBot="1" x14ac:dyDescent="0.3">
      <c r="A44" s="78" t="s">
        <v>54</v>
      </c>
      <c r="B44" s="79">
        <v>0.9</v>
      </c>
      <c r="C44" s="80"/>
      <c r="D44" s="86">
        <f>E37/(E8*B44)</f>
        <v>315.18504537699272</v>
      </c>
      <c r="E44" s="86">
        <f>D44*(1+$C$39)</f>
        <v>315.18504537699272</v>
      </c>
      <c r="F44" s="388"/>
      <c r="G44" s="416"/>
      <c r="H44" s="1354" t="s">
        <v>54</v>
      </c>
      <c r="I44" s="1032">
        <v>0.9</v>
      </c>
      <c r="J44" s="1033"/>
      <c r="K44" s="1034"/>
      <c r="L44" s="1034"/>
      <c r="M44" s="1034"/>
      <c r="N44" s="1361">
        <f>N43/I44</f>
        <v>337.66841581477894</v>
      </c>
      <c r="O44" s="1035"/>
      <c r="P44" s="416"/>
      <c r="R44" s="49" t="s">
        <v>42</v>
      </c>
      <c r="S44" s="34"/>
      <c r="T44" s="60">
        <v>-2</v>
      </c>
      <c r="U44" s="60"/>
      <c r="V44" s="45"/>
    </row>
    <row r="45" spans="1:23" ht="13.9" thickBot="1" x14ac:dyDescent="0.3">
      <c r="A45" s="474"/>
      <c r="B45" s="475">
        <v>0.85</v>
      </c>
      <c r="C45" s="476"/>
      <c r="D45" s="389">
        <f>E37/(E8*B45)</f>
        <v>333.72534216387464</v>
      </c>
      <c r="E45" s="478">
        <f>D45*(1+$C$39)</f>
        <v>333.72534216387464</v>
      </c>
      <c r="F45" s="666">
        <f>F43/B45</f>
        <v>333.72534216387464</v>
      </c>
      <c r="G45" s="416"/>
      <c r="H45" s="1366" t="s">
        <v>761</v>
      </c>
      <c r="I45" s="1367"/>
      <c r="J45" s="1368">
        <f>T49</f>
        <v>2.3900000000000001E-2</v>
      </c>
      <c r="K45" s="1369"/>
      <c r="L45" s="1369"/>
      <c r="M45" s="1369"/>
      <c r="N45" s="1359">
        <f>N44*(J45+1)</f>
        <v>345.73869095275217</v>
      </c>
      <c r="O45" s="416"/>
      <c r="P45" s="416"/>
      <c r="R45" s="50" t="s">
        <v>43</v>
      </c>
      <c r="S45" s="29"/>
      <c r="T45" s="61">
        <f>SUM(T41:T44)</f>
        <v>43.884</v>
      </c>
      <c r="U45" s="61"/>
      <c r="V45" s="41"/>
    </row>
    <row r="46" spans="1:23" ht="13.15" x14ac:dyDescent="0.25">
      <c r="A46" s="368"/>
      <c r="B46" s="369">
        <v>0.8</v>
      </c>
      <c r="C46" s="370"/>
      <c r="D46" s="371">
        <f>E37/(E8*B46)</f>
        <v>354.58317604911679</v>
      </c>
      <c r="E46" s="371">
        <f>D46*(1+$C$39)</f>
        <v>354.58317604911679</v>
      </c>
      <c r="F46" s="387"/>
      <c r="G46" s="416"/>
      <c r="H46" s="162"/>
      <c r="I46" s="415"/>
      <c r="J46" s="162"/>
      <c r="K46" s="389"/>
      <c r="L46" s="389"/>
      <c r="M46" s="389"/>
      <c r="N46" s="389"/>
      <c r="O46" s="416"/>
      <c r="P46" s="416"/>
      <c r="R46" s="43"/>
      <c r="S46" s="29"/>
      <c r="T46" s="29"/>
      <c r="U46" s="29"/>
      <c r="V46" s="41"/>
    </row>
    <row r="47" spans="1:23" ht="13.15" x14ac:dyDescent="0.25">
      <c r="R47" s="43" t="s">
        <v>44</v>
      </c>
      <c r="S47" s="29"/>
      <c r="T47" s="95">
        <f>'[7]Avg Expenses'!$C$40</f>
        <v>0.11846733793705286</v>
      </c>
      <c r="U47" s="58"/>
      <c r="V47" s="41"/>
    </row>
    <row r="48" spans="1:23" ht="13.15" x14ac:dyDescent="0.25">
      <c r="F48" s="71"/>
      <c r="R48" s="43"/>
      <c r="S48" s="29"/>
      <c r="T48" s="29"/>
      <c r="U48" s="29"/>
      <c r="V48" s="41"/>
    </row>
    <row r="49" spans="1:25" ht="13.9" thickBot="1" x14ac:dyDescent="0.3">
      <c r="R49" s="239" t="s">
        <v>824</v>
      </c>
      <c r="S49" s="52"/>
      <c r="T49" s="96">
        <v>2.3900000000000001E-2</v>
      </c>
      <c r="U49" s="62"/>
      <c r="V49" s="53"/>
    </row>
    <row r="50" spans="1:25" ht="21.6" customHeight="1" x14ac:dyDescent="0.2">
      <c r="A50" s="1426" t="s">
        <v>516</v>
      </c>
      <c r="B50" s="1451"/>
      <c r="C50" s="1451"/>
      <c r="D50" s="1451"/>
      <c r="E50" s="1451"/>
      <c r="F50" s="1433" t="s">
        <v>490</v>
      </c>
      <c r="G50" s="521"/>
      <c r="H50" s="1517" t="s">
        <v>520</v>
      </c>
      <c r="I50" s="1518"/>
      <c r="J50" s="1518"/>
      <c r="K50" s="1518"/>
      <c r="L50" s="1518"/>
      <c r="M50" s="1515"/>
      <c r="N50" s="1516"/>
      <c r="O50" s="1506" t="s">
        <v>458</v>
      </c>
      <c r="P50" s="521"/>
      <c r="R50" s="63" t="s">
        <v>50</v>
      </c>
      <c r="S50" s="64" t="s">
        <v>46</v>
      </c>
    </row>
    <row r="51" spans="1:25" ht="15" customHeight="1" thickBot="1" x14ac:dyDescent="0.25">
      <c r="A51" s="1452"/>
      <c r="B51" s="1452"/>
      <c r="C51" s="1452"/>
      <c r="D51" s="1452"/>
      <c r="E51" s="1452"/>
      <c r="F51" s="1434"/>
      <c r="G51" s="521"/>
      <c r="H51" s="1519"/>
      <c r="I51" s="1452"/>
      <c r="J51" s="1452"/>
      <c r="K51" s="1452"/>
      <c r="L51" s="1452"/>
      <c r="M51" s="1509"/>
      <c r="N51" s="1509"/>
      <c r="O51" s="1461"/>
      <c r="P51" s="521"/>
      <c r="R51" s="24" t="s">
        <v>47</v>
      </c>
    </row>
    <row r="52" spans="1:25" ht="13.15" x14ac:dyDescent="0.25">
      <c r="A52" s="25" t="s">
        <v>0</v>
      </c>
      <c r="B52" s="69">
        <f>S$26</f>
        <v>6</v>
      </c>
      <c r="C52" s="25"/>
      <c r="D52" s="25" t="s">
        <v>1</v>
      </c>
      <c r="E52" s="68">
        <f>B52*365</f>
        <v>2190</v>
      </c>
      <c r="F52" s="411"/>
      <c r="G52" s="644"/>
      <c r="H52" s="512" t="s">
        <v>0</v>
      </c>
      <c r="I52" s="566">
        <v>6</v>
      </c>
      <c r="J52" s="120"/>
      <c r="K52" s="120" t="s">
        <v>1</v>
      </c>
      <c r="L52" s="1027">
        <f>$I$52*365</f>
        <v>2190</v>
      </c>
      <c r="M52" s="120" t="s">
        <v>1</v>
      </c>
      <c r="N52" s="1027">
        <f>$I$52*365</f>
        <v>2190</v>
      </c>
      <c r="O52" s="541" t="s">
        <v>459</v>
      </c>
      <c r="P52" s="644"/>
      <c r="R52" s="23" t="s">
        <v>63</v>
      </c>
    </row>
    <row r="53" spans="1:25" ht="13.15" x14ac:dyDescent="0.25">
      <c r="F53" s="407"/>
      <c r="G53" s="162"/>
      <c r="H53" s="131"/>
      <c r="I53" s="29"/>
      <c r="J53" s="29"/>
      <c r="K53" s="29"/>
      <c r="L53" s="29"/>
      <c r="M53" s="29"/>
      <c r="N53" s="29"/>
      <c r="O53" s="407"/>
      <c r="P53" s="162"/>
      <c r="R53" s="54" t="s">
        <v>48</v>
      </c>
    </row>
    <row r="54" spans="1:25" ht="13.15" x14ac:dyDescent="0.25">
      <c r="A54" s="26"/>
      <c r="B54" s="26"/>
      <c r="C54" s="27" t="s">
        <v>2</v>
      </c>
      <c r="D54" s="27" t="s">
        <v>3</v>
      </c>
      <c r="E54" s="27" t="s">
        <v>4</v>
      </c>
      <c r="F54" s="407"/>
      <c r="G54" s="335"/>
      <c r="H54" s="567"/>
      <c r="I54" s="26"/>
      <c r="J54" s="27" t="s">
        <v>2</v>
      </c>
      <c r="K54" s="27" t="s">
        <v>3</v>
      </c>
      <c r="L54" s="27" t="s">
        <v>4</v>
      </c>
      <c r="M54" s="27" t="s">
        <v>3</v>
      </c>
      <c r="N54" s="27" t="s">
        <v>4</v>
      </c>
      <c r="O54" s="542"/>
      <c r="P54" s="335"/>
    </row>
    <row r="55" spans="1:25" ht="13.15" x14ac:dyDescent="0.25">
      <c r="A55" s="1" t="s">
        <v>19</v>
      </c>
      <c r="C55" s="30">
        <f>T$13</f>
        <v>56249</v>
      </c>
      <c r="D55" s="35">
        <f>S$27</f>
        <v>1</v>
      </c>
      <c r="E55" s="28">
        <f>C55*D55</f>
        <v>56249</v>
      </c>
      <c r="F55" s="407"/>
      <c r="G55" s="392"/>
      <c r="H55" s="568" t="s">
        <v>19</v>
      </c>
      <c r="I55" s="29"/>
      <c r="J55" s="40">
        <f>T13</f>
        <v>56249</v>
      </c>
      <c r="K55" s="46">
        <v>1</v>
      </c>
      <c r="L55" s="1028">
        <f>$J$55*K55</f>
        <v>56249</v>
      </c>
      <c r="M55" s="46">
        <v>1</v>
      </c>
      <c r="N55" s="1028">
        <f>$J$55*M55</f>
        <v>56249</v>
      </c>
      <c r="O55" s="543"/>
      <c r="P55" s="392"/>
      <c r="R55" s="55" t="s">
        <v>49</v>
      </c>
    </row>
    <row r="56" spans="1:25" ht="13.15" x14ac:dyDescent="0.25">
      <c r="A56" s="2" t="s">
        <v>227</v>
      </c>
      <c r="C56" s="30"/>
      <c r="D56" s="35"/>
      <c r="E56" s="28"/>
      <c r="F56" s="407"/>
      <c r="G56" s="392"/>
      <c r="H56" s="569" t="s">
        <v>227</v>
      </c>
      <c r="I56" s="29"/>
      <c r="J56" s="40"/>
      <c r="K56" s="46"/>
      <c r="L56" s="1028"/>
      <c r="M56" s="46"/>
      <c r="N56" s="1028"/>
      <c r="O56" s="543"/>
      <c r="P56" s="392"/>
      <c r="R56" s="23" t="s">
        <v>67</v>
      </c>
    </row>
    <row r="57" spans="1:25" ht="13.15" x14ac:dyDescent="0.25">
      <c r="A57" s="3" t="s">
        <v>24</v>
      </c>
      <c r="C57" s="30">
        <f>T15</f>
        <v>69550</v>
      </c>
      <c r="D57" s="35">
        <f>S29</f>
        <v>0.15</v>
      </c>
      <c r="E57" s="28">
        <f>C57*D57</f>
        <v>10432.5</v>
      </c>
      <c r="F57" s="407"/>
      <c r="G57" s="392"/>
      <c r="H57" s="570" t="s">
        <v>24</v>
      </c>
      <c r="I57" s="29"/>
      <c r="J57" s="40">
        <f>T15</f>
        <v>69550</v>
      </c>
      <c r="K57" s="46">
        <v>0.15</v>
      </c>
      <c r="L57" s="1028">
        <f>$J$57*K57</f>
        <v>10432.5</v>
      </c>
      <c r="M57" s="195">
        <f>$K$57+(0.5*$I$52/40)</f>
        <v>0.22499999999999998</v>
      </c>
      <c r="N57" s="1028">
        <f>$J$57*M57</f>
        <v>15648.749999999998</v>
      </c>
      <c r="O57" s="543"/>
      <c r="P57" s="392"/>
      <c r="R57" s="23" t="s">
        <v>57</v>
      </c>
    </row>
    <row r="58" spans="1:25" ht="13.15" x14ac:dyDescent="0.25">
      <c r="A58" s="2" t="s">
        <v>5</v>
      </c>
      <c r="C58" s="30"/>
      <c r="D58" s="35"/>
      <c r="E58" s="28"/>
      <c r="F58" s="407"/>
      <c r="G58" s="392"/>
      <c r="H58" s="569" t="s">
        <v>5</v>
      </c>
      <c r="I58" s="29"/>
      <c r="J58" s="40"/>
      <c r="K58" s="46"/>
      <c r="L58" s="1028"/>
      <c r="M58" s="46"/>
      <c r="N58" s="1028"/>
      <c r="O58" s="543"/>
      <c r="P58" s="392"/>
      <c r="R58" s="145" t="s">
        <v>142</v>
      </c>
    </row>
    <row r="59" spans="1:25" ht="13.15" x14ac:dyDescent="0.25">
      <c r="A59" s="3" t="s">
        <v>26</v>
      </c>
      <c r="C59" s="282">
        <f>T17</f>
        <v>53770</v>
      </c>
      <c r="D59" s="283">
        <f>S31</f>
        <v>1</v>
      </c>
      <c r="E59" s="28">
        <f>C59*D59</f>
        <v>53770</v>
      </c>
      <c r="F59" s="407"/>
      <c r="G59" s="392"/>
      <c r="H59" s="820" t="s">
        <v>26</v>
      </c>
      <c r="I59" s="162"/>
      <c r="J59" s="280">
        <f>T17</f>
        <v>53770</v>
      </c>
      <c r="K59" s="195">
        <v>1</v>
      </c>
      <c r="L59" s="392">
        <f>$J$59*K59</f>
        <v>53770</v>
      </c>
      <c r="M59" s="195">
        <v>1.5</v>
      </c>
      <c r="N59" s="392">
        <f>$J$59*M59</f>
        <v>80655</v>
      </c>
      <c r="O59" s="1045"/>
      <c r="P59" s="392"/>
      <c r="R59" s="94" t="s">
        <v>66</v>
      </c>
    </row>
    <row r="60" spans="1:25" ht="13.15" x14ac:dyDescent="0.25">
      <c r="A60" s="3" t="s">
        <v>30</v>
      </c>
      <c r="C60" s="282">
        <f>T19</f>
        <v>31369</v>
      </c>
      <c r="D60" s="658">
        <f>S33</f>
        <v>6.8</v>
      </c>
      <c r="E60" s="28">
        <f>C60*D60</f>
        <v>213309.19999999998</v>
      </c>
      <c r="F60" s="407"/>
      <c r="G60" s="648"/>
      <c r="H60" s="820" t="s">
        <v>30</v>
      </c>
      <c r="I60" s="162"/>
      <c r="J60" s="280">
        <f>T19</f>
        <v>31369</v>
      </c>
      <c r="K60" s="658">
        <v>8.4</v>
      </c>
      <c r="L60" s="392">
        <f>$J$60*K60</f>
        <v>263499.60000000003</v>
      </c>
      <c r="M60" s="658">
        <v>8.4</v>
      </c>
      <c r="N60" s="392">
        <f>$J$60*M60</f>
        <v>263499.60000000003</v>
      </c>
      <c r="O60" s="1045"/>
      <c r="P60" s="392"/>
    </row>
    <row r="61" spans="1:25" ht="13.15" x14ac:dyDescent="0.25">
      <c r="A61" s="4" t="s">
        <v>31</v>
      </c>
      <c r="C61" s="282">
        <f>T20</f>
        <v>31369</v>
      </c>
      <c r="D61" s="658">
        <f>S34</f>
        <v>1.0723076923076922</v>
      </c>
      <c r="E61" s="28">
        <f>C61*D61</f>
        <v>33637.219999999994</v>
      </c>
      <c r="F61" s="407"/>
      <c r="G61" s="392"/>
      <c r="H61" s="1037" t="s">
        <v>31</v>
      </c>
      <c r="I61" s="162"/>
      <c r="J61" s="280">
        <f>T20</f>
        <v>31369</v>
      </c>
      <c r="K61" s="658">
        <f>K60*$T$10</f>
        <v>1.3246153846153845</v>
      </c>
      <c r="L61" s="392">
        <f>$J$61*K61</f>
        <v>41551.86</v>
      </c>
      <c r="M61" s="658">
        <f>SUM(M60)*T10</f>
        <v>1.3246153846153845</v>
      </c>
      <c r="N61" s="392">
        <f>$J$61*M61</f>
        <v>41551.86</v>
      </c>
      <c r="O61" s="1045"/>
      <c r="P61" s="392"/>
    </row>
    <row r="62" spans="1:25" ht="13.15" x14ac:dyDescent="0.25">
      <c r="A62" s="2" t="s">
        <v>6</v>
      </c>
      <c r="C62" s="30"/>
      <c r="D62" s="35"/>
      <c r="E62" s="28"/>
      <c r="F62" s="407"/>
      <c r="G62" s="392"/>
      <c r="H62" s="1036" t="s">
        <v>6</v>
      </c>
      <c r="I62" s="162"/>
      <c r="J62" s="280"/>
      <c r="K62" s="195"/>
      <c r="L62" s="392"/>
      <c r="M62" s="195"/>
      <c r="N62" s="392"/>
      <c r="O62" s="1045"/>
      <c r="P62" s="392"/>
    </row>
    <row r="63" spans="1:25" ht="13.15" x14ac:dyDescent="0.25">
      <c r="A63" s="3" t="s">
        <v>32</v>
      </c>
      <c r="C63" s="30">
        <f>T22</f>
        <v>31369</v>
      </c>
      <c r="D63" s="35">
        <f>S36</f>
        <v>0.5</v>
      </c>
      <c r="E63" s="28">
        <f>C63*D63</f>
        <v>15684.5</v>
      </c>
      <c r="F63" s="407"/>
      <c r="G63" s="392"/>
      <c r="H63" s="820" t="s">
        <v>32</v>
      </c>
      <c r="I63" s="162"/>
      <c r="J63" s="280">
        <f>T22</f>
        <v>31369</v>
      </c>
      <c r="K63" s="195">
        <v>0.5</v>
      </c>
      <c r="L63" s="392">
        <f>$J$63*K63</f>
        <v>15684.5</v>
      </c>
      <c r="M63" s="195">
        <v>0.5</v>
      </c>
      <c r="N63" s="392">
        <f>$J$63*M63</f>
        <v>15684.5</v>
      </c>
      <c r="O63" s="1045"/>
      <c r="P63" s="392"/>
      <c r="R63" s="551" t="s">
        <v>485</v>
      </c>
      <c r="S63" s="214"/>
      <c r="T63" s="214"/>
      <c r="U63" s="214"/>
      <c r="V63" s="214"/>
      <c r="W63" s="214"/>
      <c r="X63" s="214"/>
      <c r="Y63" s="214"/>
    </row>
    <row r="64" spans="1:25" ht="13.15" x14ac:dyDescent="0.25">
      <c r="A64" s="31" t="s">
        <v>7</v>
      </c>
      <c r="B64" s="31"/>
      <c r="C64" s="31"/>
      <c r="D64" s="32">
        <f>SUM(D55:D63)</f>
        <v>10.522307692307692</v>
      </c>
      <c r="E64" s="33">
        <f>SUM(E55:E63)</f>
        <v>383082.41999999993</v>
      </c>
      <c r="F64" s="407"/>
      <c r="G64" s="392"/>
      <c r="H64" s="1038" t="s">
        <v>7</v>
      </c>
      <c r="I64" s="1039"/>
      <c r="J64" s="1039"/>
      <c r="K64" s="1040">
        <f>SUM(K55:K63)</f>
        <v>12.374615384615385</v>
      </c>
      <c r="L64" s="1041">
        <f>SUM(L55:L63)</f>
        <v>441187.46</v>
      </c>
      <c r="M64" s="1040">
        <f>SUM(M55:M63)</f>
        <v>12.949615384615385</v>
      </c>
      <c r="N64" s="1041">
        <f>SUM(N55:N63)</f>
        <v>473288.71</v>
      </c>
      <c r="O64" s="1045"/>
      <c r="P64" s="392"/>
      <c r="S64" s="177" t="s">
        <v>477</v>
      </c>
      <c r="T64" s="177" t="s">
        <v>478</v>
      </c>
      <c r="U64" s="177" t="s">
        <v>479</v>
      </c>
      <c r="V64" s="177" t="s">
        <v>465</v>
      </c>
      <c r="W64" s="177" t="s">
        <v>480</v>
      </c>
      <c r="X64" s="177" t="s">
        <v>481</v>
      </c>
      <c r="Y64" s="177" t="s">
        <v>468</v>
      </c>
    </row>
    <row r="65" spans="1:27" ht="13.15" x14ac:dyDescent="0.25">
      <c r="F65" s="407"/>
      <c r="G65" s="393"/>
      <c r="H65" s="477"/>
      <c r="I65" s="162"/>
      <c r="J65" s="162"/>
      <c r="K65" s="162"/>
      <c r="L65" s="162"/>
      <c r="M65" s="162"/>
      <c r="N65" s="162"/>
      <c r="O65" s="1046"/>
      <c r="P65" s="393"/>
      <c r="R65" s="514" t="s">
        <v>482</v>
      </c>
      <c r="S65" s="23">
        <v>16</v>
      </c>
      <c r="T65" s="23">
        <v>16</v>
      </c>
      <c r="U65" s="23">
        <v>16</v>
      </c>
      <c r="V65" s="23">
        <v>16</v>
      </c>
      <c r="W65" s="23">
        <v>16</v>
      </c>
      <c r="X65" s="23">
        <v>16</v>
      </c>
      <c r="Y65" s="23">
        <v>16</v>
      </c>
    </row>
    <row r="66" spans="1:27" ht="13.15" x14ac:dyDescent="0.25">
      <c r="A66" s="25" t="s">
        <v>21</v>
      </c>
      <c r="D66" s="25" t="s">
        <v>20</v>
      </c>
      <c r="F66" s="407"/>
      <c r="G66" s="162"/>
      <c r="H66" s="1042" t="s">
        <v>21</v>
      </c>
      <c r="I66" s="162"/>
      <c r="J66" s="162"/>
      <c r="K66" s="391" t="s">
        <v>20</v>
      </c>
      <c r="L66" s="162"/>
      <c r="M66" s="391" t="s">
        <v>20</v>
      </c>
      <c r="N66" s="162"/>
      <c r="O66" s="1047"/>
      <c r="P66" s="162"/>
      <c r="R66" s="514" t="s">
        <v>483</v>
      </c>
      <c r="S66" s="23">
        <v>16</v>
      </c>
      <c r="T66" s="23">
        <v>16</v>
      </c>
      <c r="U66" s="23">
        <v>16</v>
      </c>
      <c r="V66" s="23">
        <v>16</v>
      </c>
      <c r="W66" s="23">
        <v>16</v>
      </c>
      <c r="X66" s="23">
        <v>16</v>
      </c>
      <c r="Y66" s="23">
        <v>16</v>
      </c>
    </row>
    <row r="67" spans="1:27" ht="13.15" x14ac:dyDescent="0.25">
      <c r="A67" s="23" t="s">
        <v>22</v>
      </c>
      <c r="C67" s="97">
        <f>$T$39</f>
        <v>0.23424901786252411</v>
      </c>
      <c r="E67" s="28">
        <f>C67*E64</f>
        <v>89736.680645398941</v>
      </c>
      <c r="F67" s="407"/>
      <c r="G67" s="162"/>
      <c r="H67" s="477" t="s">
        <v>22</v>
      </c>
      <c r="I67" s="162"/>
      <c r="J67" s="1043">
        <f>$T$39</f>
        <v>0.23424901786252411</v>
      </c>
      <c r="K67" s="162"/>
      <c r="L67" s="392">
        <f>$J$67*L64</f>
        <v>103347.72919826164</v>
      </c>
      <c r="M67" s="162"/>
      <c r="N67" s="392">
        <f>$J$67*N64</f>
        <v>110867.415482921</v>
      </c>
      <c r="O67" s="1047"/>
      <c r="P67" s="162"/>
      <c r="R67" s="514" t="s">
        <v>484</v>
      </c>
      <c r="S67" s="23">
        <v>16</v>
      </c>
      <c r="T67" s="23">
        <v>16</v>
      </c>
      <c r="U67" s="23">
        <v>16</v>
      </c>
      <c r="V67" s="23">
        <v>16</v>
      </c>
      <c r="W67" s="23">
        <v>16</v>
      </c>
      <c r="X67" s="23">
        <v>16</v>
      </c>
      <c r="Y67" s="23">
        <v>16</v>
      </c>
      <c r="Z67" s="23">
        <f>SUM(S65:Y67)</f>
        <v>336</v>
      </c>
      <c r="AA67" s="177" t="s">
        <v>486</v>
      </c>
    </row>
    <row r="68" spans="1:27" ht="13.15" x14ac:dyDescent="0.25">
      <c r="A68" s="31" t="s">
        <v>51</v>
      </c>
      <c r="B68" s="31"/>
      <c r="C68" s="31"/>
      <c r="D68" s="70">
        <f>E68/E52</f>
        <v>215.89913271479398</v>
      </c>
      <c r="E68" s="33">
        <f>E67+E64</f>
        <v>472819.10064539884</v>
      </c>
      <c r="F68" s="407"/>
      <c r="G68" s="392"/>
      <c r="H68" s="1038" t="s">
        <v>51</v>
      </c>
      <c r="I68" s="1039"/>
      <c r="J68" s="1039"/>
      <c r="K68" s="1044">
        <f>L68/L52</f>
        <v>248.6462051133615</v>
      </c>
      <c r="L68" s="1041">
        <f>L67+L64</f>
        <v>544535.18919826171</v>
      </c>
      <c r="M68" s="1044">
        <f>N68/N52</f>
        <v>266.73795684151645</v>
      </c>
      <c r="N68" s="1041">
        <f>N67+N64</f>
        <v>584156.12548292102</v>
      </c>
      <c r="O68" s="1045"/>
      <c r="P68" s="392"/>
      <c r="Z68" s="557">
        <f>Z67/40</f>
        <v>8.4</v>
      </c>
      <c r="AA68" s="196" t="s">
        <v>3</v>
      </c>
    </row>
    <row r="69" spans="1:27" ht="13.15" x14ac:dyDescent="0.25">
      <c r="F69" s="407"/>
      <c r="G69" s="393"/>
      <c r="H69" s="477"/>
      <c r="I69" s="162"/>
      <c r="J69" s="162"/>
      <c r="K69" s="162"/>
      <c r="L69" s="162"/>
      <c r="M69" s="162"/>
      <c r="N69" s="162"/>
      <c r="O69" s="1046"/>
      <c r="P69" s="393"/>
      <c r="R69" s="71"/>
      <c r="S69" s="480"/>
    </row>
    <row r="70" spans="1:27" ht="13.15" x14ac:dyDescent="0.25">
      <c r="A70" s="23" t="s">
        <v>39</v>
      </c>
      <c r="D70" s="71">
        <f>$T$41</f>
        <v>25.05</v>
      </c>
      <c r="E70" s="71">
        <f>D70*E52</f>
        <v>54859.5</v>
      </c>
      <c r="F70" s="407"/>
      <c r="G70" s="394"/>
      <c r="H70" s="477" t="s">
        <v>39</v>
      </c>
      <c r="I70" s="162"/>
      <c r="J70" s="162"/>
      <c r="K70" s="394">
        <f>$T$41</f>
        <v>25.05</v>
      </c>
      <c r="L70" s="394">
        <f>K70*L52</f>
        <v>54859.5</v>
      </c>
      <c r="M70" s="394">
        <f>$T$41</f>
        <v>25.05</v>
      </c>
      <c r="N70" s="394">
        <f>M70*N52</f>
        <v>54859.5</v>
      </c>
      <c r="O70" s="1048"/>
      <c r="P70" s="394"/>
      <c r="R70" s="71"/>
      <c r="S70" s="480"/>
    </row>
    <row r="71" spans="1:27" ht="13.15" x14ac:dyDescent="0.25">
      <c r="A71" s="29" t="s">
        <v>40</v>
      </c>
      <c r="D71" s="71">
        <f>$T$42</f>
        <v>18.55</v>
      </c>
      <c r="E71" s="71">
        <f>D71*E52</f>
        <v>40624.5</v>
      </c>
      <c r="F71" s="407"/>
      <c r="G71" s="394"/>
      <c r="H71" s="477" t="s">
        <v>40</v>
      </c>
      <c r="I71" s="162"/>
      <c r="J71" s="162"/>
      <c r="K71" s="394">
        <f>$T$42</f>
        <v>18.55</v>
      </c>
      <c r="L71" s="394">
        <f>K71*L52</f>
        <v>40624.5</v>
      </c>
      <c r="M71" s="394">
        <f>$T$42</f>
        <v>18.55</v>
      </c>
      <c r="N71" s="394">
        <f>M71*N52</f>
        <v>40624.5</v>
      </c>
      <c r="O71" s="1048"/>
      <c r="P71" s="394"/>
    </row>
    <row r="72" spans="1:27" ht="13.15" x14ac:dyDescent="0.25">
      <c r="A72" s="29" t="s">
        <v>41</v>
      </c>
      <c r="D72" s="71">
        <f>$T$43</f>
        <v>2.2839999999999998</v>
      </c>
      <c r="E72" s="71">
        <f>D72*E52</f>
        <v>5001.9599999999991</v>
      </c>
      <c r="F72" s="407"/>
      <c r="G72" s="394"/>
      <c r="H72" s="477" t="s">
        <v>41</v>
      </c>
      <c r="I72" s="162"/>
      <c r="J72" s="162"/>
      <c r="K72" s="394">
        <f>$T$43</f>
        <v>2.2839999999999998</v>
      </c>
      <c r="L72" s="394">
        <f>K72*L52</f>
        <v>5001.9599999999991</v>
      </c>
      <c r="M72" s="394">
        <f>$T$43</f>
        <v>2.2839999999999998</v>
      </c>
      <c r="N72" s="394">
        <f>M72*N52</f>
        <v>5001.9599999999991</v>
      </c>
      <c r="O72" s="1048"/>
      <c r="P72" s="394"/>
      <c r="R72" s="551" t="s">
        <v>487</v>
      </c>
      <c r="S72" s="214"/>
      <c r="T72" s="214"/>
      <c r="U72" s="214"/>
      <c r="V72" s="214"/>
      <c r="W72" s="214"/>
      <c r="X72" s="214"/>
      <c r="Y72" s="214"/>
    </row>
    <row r="73" spans="1:27" ht="13.15" x14ac:dyDescent="0.25">
      <c r="A73" s="29" t="s">
        <v>42</v>
      </c>
      <c r="D73" s="71">
        <f>$T$44</f>
        <v>-2</v>
      </c>
      <c r="E73" s="71">
        <f>D73*E52</f>
        <v>-4380</v>
      </c>
      <c r="F73" s="407"/>
      <c r="G73" s="394"/>
      <c r="H73" s="477" t="s">
        <v>42</v>
      </c>
      <c r="I73" s="162"/>
      <c r="J73" s="162"/>
      <c r="K73" s="394">
        <f>$T$44</f>
        <v>-2</v>
      </c>
      <c r="L73" s="394">
        <f>K73*L52</f>
        <v>-4380</v>
      </c>
      <c r="M73" s="394">
        <f>$T$44</f>
        <v>-2</v>
      </c>
      <c r="N73" s="394">
        <f>M73*N52</f>
        <v>-4380</v>
      </c>
      <c r="O73" s="1048"/>
      <c r="P73" s="394"/>
      <c r="S73" s="177" t="s">
        <v>477</v>
      </c>
      <c r="T73" s="177" t="s">
        <v>478</v>
      </c>
      <c r="U73" s="177" t="s">
        <v>479</v>
      </c>
      <c r="V73" s="177" t="s">
        <v>465</v>
      </c>
      <c r="W73" s="177" t="s">
        <v>480</v>
      </c>
      <c r="X73" s="177" t="s">
        <v>481</v>
      </c>
      <c r="Y73" s="177" t="s">
        <v>468</v>
      </c>
    </row>
    <row r="74" spans="1:27" ht="13.15" x14ac:dyDescent="0.25">
      <c r="D74" s="72">
        <f>SUM(D70:D73)</f>
        <v>43.884</v>
      </c>
      <c r="F74" s="131"/>
      <c r="G74" s="162"/>
      <c r="H74" s="477"/>
      <c r="I74" s="162"/>
      <c r="J74" s="162"/>
      <c r="K74" s="1049">
        <f>SUM(K70:K73)</f>
        <v>43.884</v>
      </c>
      <c r="L74" s="162"/>
      <c r="M74" s="1049">
        <f>SUM(M70:M73)</f>
        <v>43.884</v>
      </c>
      <c r="N74" s="162"/>
      <c r="O74" s="1047"/>
      <c r="P74" s="162"/>
      <c r="R74" s="514" t="s">
        <v>482</v>
      </c>
      <c r="S74" s="23">
        <v>16</v>
      </c>
      <c r="T74" s="23">
        <v>16</v>
      </c>
      <c r="U74" s="23">
        <v>16</v>
      </c>
      <c r="V74" s="23">
        <v>16</v>
      </c>
      <c r="W74" s="23">
        <v>16</v>
      </c>
      <c r="X74" s="23">
        <v>24</v>
      </c>
      <c r="Y74" s="23">
        <v>24</v>
      </c>
    </row>
    <row r="75" spans="1:27" ht="13.15" x14ac:dyDescent="0.25">
      <c r="F75" s="131"/>
      <c r="G75" s="162"/>
      <c r="H75" s="477"/>
      <c r="I75" s="162"/>
      <c r="J75" s="162"/>
      <c r="K75" s="162"/>
      <c r="L75" s="162"/>
      <c r="M75" s="162"/>
      <c r="N75" s="162"/>
      <c r="O75" s="1047"/>
      <c r="P75" s="162"/>
      <c r="R75" s="514" t="s">
        <v>483</v>
      </c>
      <c r="S75" s="23">
        <v>24</v>
      </c>
      <c r="T75" s="23">
        <v>24</v>
      </c>
      <c r="U75" s="23">
        <v>24</v>
      </c>
      <c r="V75" s="23">
        <v>24</v>
      </c>
      <c r="W75" s="23">
        <v>24</v>
      </c>
      <c r="X75" s="23">
        <v>24</v>
      </c>
      <c r="Y75" s="23">
        <v>24</v>
      </c>
    </row>
    <row r="76" spans="1:27" x14ac:dyDescent="0.2">
      <c r="A76" s="31" t="s">
        <v>43</v>
      </c>
      <c r="B76" s="31"/>
      <c r="C76" s="31"/>
      <c r="D76" s="31"/>
      <c r="E76" s="33">
        <f>SUM(E68:E73)</f>
        <v>568925.0606453988</v>
      </c>
      <c r="F76" s="131"/>
      <c r="G76" s="393"/>
      <c r="H76" s="1038" t="s">
        <v>43</v>
      </c>
      <c r="I76" s="1039"/>
      <c r="J76" s="1039"/>
      <c r="K76" s="1039"/>
      <c r="L76" s="1041">
        <f>SUM(L68:L73)</f>
        <v>640641.14919826167</v>
      </c>
      <c r="M76" s="1039"/>
      <c r="N76" s="1041">
        <f>SUM(N68:N73)</f>
        <v>680262.08548292099</v>
      </c>
      <c r="O76" s="1046"/>
      <c r="P76" s="393"/>
      <c r="R76" s="514" t="s">
        <v>484</v>
      </c>
      <c r="S76" s="23">
        <v>16</v>
      </c>
      <c r="T76" s="23">
        <v>16</v>
      </c>
      <c r="U76" s="23">
        <v>16</v>
      </c>
      <c r="V76" s="23">
        <v>16</v>
      </c>
      <c r="W76" s="23">
        <v>16</v>
      </c>
      <c r="X76" s="23">
        <v>16</v>
      </c>
      <c r="Y76" s="23">
        <v>16</v>
      </c>
      <c r="Z76" s="556">
        <f>SUM(S74:Y76)*52</f>
        <v>21216</v>
      </c>
      <c r="AA76" s="177" t="s">
        <v>489</v>
      </c>
    </row>
    <row r="77" spans="1:27" x14ac:dyDescent="0.2">
      <c r="F77" s="131"/>
      <c r="G77" s="162"/>
      <c r="H77" s="477"/>
      <c r="I77" s="162"/>
      <c r="J77" s="162"/>
      <c r="K77" s="162"/>
      <c r="L77" s="162"/>
      <c r="M77" s="162"/>
      <c r="N77" s="162"/>
      <c r="O77" s="1047"/>
      <c r="P77" s="162"/>
      <c r="R77" s="553" t="s">
        <v>488</v>
      </c>
      <c r="AA77" s="177"/>
    </row>
    <row r="78" spans="1:27" x14ac:dyDescent="0.2">
      <c r="A78" s="23" t="s">
        <v>44</v>
      </c>
      <c r="C78" s="97">
        <f>$T$47</f>
        <v>0.11846733793705286</v>
      </c>
      <c r="E78" s="28">
        <f>C78*E76</f>
        <v>67399.037420336754</v>
      </c>
      <c r="F78" s="407"/>
      <c r="G78" s="392"/>
      <c r="H78" s="477" t="s">
        <v>44</v>
      </c>
      <c r="I78" s="162"/>
      <c r="J78" s="1043">
        <f>$T$47</f>
        <v>0.11846733793705286</v>
      </c>
      <c r="K78" s="162"/>
      <c r="L78" s="392">
        <f>$J$78*L76</f>
        <v>75895.051518452368</v>
      </c>
      <c r="M78" s="162"/>
      <c r="N78" s="392">
        <f>$J$78*N76</f>
        <v>80588.838366669544</v>
      </c>
      <c r="O78" s="1045"/>
      <c r="P78" s="392"/>
      <c r="R78" s="554" t="s">
        <v>482</v>
      </c>
      <c r="S78" s="555">
        <v>8</v>
      </c>
      <c r="T78" s="555">
        <v>8</v>
      </c>
      <c r="U78" s="555">
        <v>8</v>
      </c>
      <c r="V78" s="555">
        <v>8</v>
      </c>
      <c r="W78" s="555">
        <v>8</v>
      </c>
      <c r="Z78" s="555">
        <f>SUM(S78:W78)*16</f>
        <v>640</v>
      </c>
      <c r="AA78" s="177" t="s">
        <v>489</v>
      </c>
    </row>
    <row r="79" spans="1:27" x14ac:dyDescent="0.2">
      <c r="F79" s="407"/>
      <c r="G79" s="162"/>
      <c r="H79" s="477"/>
      <c r="I79" s="162"/>
      <c r="J79" s="162"/>
      <c r="K79" s="162"/>
      <c r="L79" s="162"/>
      <c r="M79" s="162"/>
      <c r="N79" s="162"/>
      <c r="O79" s="1047"/>
      <c r="P79" s="162"/>
      <c r="Z79" s="557">
        <f>(Z76+Z78)/2080</f>
        <v>10.507692307692308</v>
      </c>
      <c r="AA79" s="196" t="s">
        <v>3</v>
      </c>
    </row>
    <row r="80" spans="1:27" ht="13.5" thickBot="1" x14ac:dyDescent="0.25">
      <c r="A80" s="73" t="s">
        <v>52</v>
      </c>
      <c r="B80" s="74"/>
      <c r="C80" s="74"/>
      <c r="D80" s="74"/>
      <c r="E80" s="75">
        <f>SUM(E76:E78)</f>
        <v>636324.09806573554</v>
      </c>
      <c r="F80" s="407"/>
      <c r="G80" s="393"/>
      <c r="H80" s="1054" t="s">
        <v>52</v>
      </c>
      <c r="I80" s="1050"/>
      <c r="J80" s="1050"/>
      <c r="K80" s="1050"/>
      <c r="L80" s="1051">
        <f>SUM(L76:L78)</f>
        <v>716536.20071671403</v>
      </c>
      <c r="M80" s="1050"/>
      <c r="N80" s="1051">
        <f>SUM(N76:N78)</f>
        <v>760850.92384959059</v>
      </c>
      <c r="O80" s="1052">
        <f>N80</f>
        <v>760850.92384959059</v>
      </c>
      <c r="P80" s="393"/>
    </row>
    <row r="81" spans="1:27" ht="13.5" thickTop="1" x14ac:dyDescent="0.2">
      <c r="F81" s="407"/>
      <c r="G81" s="162"/>
      <c r="H81" s="477"/>
      <c r="I81" s="162"/>
      <c r="J81" s="162"/>
      <c r="K81" s="162"/>
      <c r="L81" s="162"/>
      <c r="M81" s="162"/>
      <c r="N81" s="162"/>
      <c r="O81" s="1047"/>
      <c r="P81" s="162"/>
      <c r="Z81" s="552"/>
      <c r="AA81" s="177"/>
    </row>
    <row r="82" spans="1:27" x14ac:dyDescent="0.2">
      <c r="A82" s="23" t="s">
        <v>53</v>
      </c>
      <c r="C82" s="98"/>
      <c r="E82" s="77">
        <f>E80*(1+C82)</f>
        <v>636324.09806573554</v>
      </c>
      <c r="F82" s="407"/>
      <c r="G82" s="396"/>
      <c r="H82" s="477"/>
      <c r="I82" s="162"/>
      <c r="J82" s="1055"/>
      <c r="K82" s="162"/>
      <c r="L82" s="396">
        <f>L80*(1+$J$82)</f>
        <v>716536.20071671403</v>
      </c>
      <c r="M82" s="162"/>
      <c r="N82" s="396">
        <f>N80*(1+$J$82)</f>
        <v>760850.92384959059</v>
      </c>
      <c r="O82" s="1053">
        <f>O80*(1+$J$82)</f>
        <v>760850.92384959059</v>
      </c>
      <c r="P82" s="396"/>
    </row>
    <row r="83" spans="1:27" x14ac:dyDescent="0.2">
      <c r="F83" s="407"/>
      <c r="G83" s="162"/>
      <c r="H83" s="477"/>
      <c r="I83" s="162"/>
      <c r="J83" s="162"/>
      <c r="K83" s="162"/>
      <c r="L83" s="162"/>
      <c r="M83" s="162"/>
      <c r="N83" s="162"/>
      <c r="O83" s="1047"/>
      <c r="P83" s="162"/>
      <c r="Q83" s="77"/>
      <c r="R83" s="558"/>
      <c r="S83" s="205"/>
      <c r="T83" s="205"/>
      <c r="U83" s="205"/>
      <c r="V83" s="205"/>
      <c r="W83" s="205"/>
      <c r="X83" s="205"/>
      <c r="Y83" s="205"/>
      <c r="Z83" s="29"/>
      <c r="AA83" s="29"/>
    </row>
    <row r="84" spans="1:27" x14ac:dyDescent="0.2">
      <c r="E84" s="92" t="s">
        <v>56</v>
      </c>
      <c r="F84" s="407"/>
      <c r="G84" s="397"/>
      <c r="H84" s="477"/>
      <c r="I84" s="162"/>
      <c r="J84" s="162"/>
      <c r="K84" s="162"/>
      <c r="L84" s="753" t="s">
        <v>789</v>
      </c>
      <c r="M84" s="162"/>
      <c r="N84" s="753" t="s">
        <v>789</v>
      </c>
      <c r="O84" s="753" t="s">
        <v>789</v>
      </c>
      <c r="P84" s="397"/>
      <c r="R84" s="29"/>
      <c r="S84" s="205"/>
      <c r="T84" s="205"/>
      <c r="U84" s="205"/>
      <c r="V84" s="205"/>
      <c r="W84" s="205"/>
      <c r="X84" s="205"/>
      <c r="Y84" s="205"/>
      <c r="Z84" s="29"/>
      <c r="AA84" s="29"/>
    </row>
    <row r="85" spans="1:27" x14ac:dyDescent="0.2">
      <c r="A85" s="23" t="s">
        <v>55</v>
      </c>
      <c r="D85" s="76">
        <f>E80/E52</f>
        <v>290.5589488884637</v>
      </c>
      <c r="E85" s="76">
        <f>D85*(1+C82)</f>
        <v>290.5589488884637</v>
      </c>
      <c r="F85" s="407"/>
      <c r="G85" s="396"/>
      <c r="H85" s="477" t="s">
        <v>55</v>
      </c>
      <c r="I85" s="162"/>
      <c r="J85" s="162"/>
      <c r="K85" s="398">
        <f>L80/L52</f>
        <v>327.1854797793215</v>
      </c>
      <c r="L85" s="398">
        <f>K85*(1+$J$82)</f>
        <v>327.1854797793215</v>
      </c>
      <c r="M85" s="398">
        <f>N80/N52</f>
        <v>347.42051317332903</v>
      </c>
      <c r="N85" s="398">
        <f>M85*(1+$J$82)</f>
        <v>347.42051317332903</v>
      </c>
      <c r="O85" s="1056">
        <f>O82/12</f>
        <v>63404.243654132551</v>
      </c>
      <c r="P85" s="396"/>
      <c r="Q85" s="71"/>
      <c r="R85" s="522"/>
      <c r="S85" s="29"/>
      <c r="T85" s="29"/>
      <c r="U85" s="29"/>
      <c r="V85" s="29"/>
      <c r="W85" s="29"/>
      <c r="X85" s="29"/>
      <c r="Y85" s="29"/>
      <c r="Z85" s="29"/>
      <c r="AA85" s="29"/>
    </row>
    <row r="86" spans="1:27" x14ac:dyDescent="0.2">
      <c r="A86" s="377" t="s">
        <v>455</v>
      </c>
      <c r="B86" s="378"/>
      <c r="C86" s="379"/>
      <c r="D86" s="380"/>
      <c r="E86" s="380"/>
      <c r="F86" s="412">
        <f>E85*(1+C86)</f>
        <v>290.5589488884637</v>
      </c>
      <c r="G86" s="396"/>
      <c r="H86" s="806" t="s">
        <v>762</v>
      </c>
      <c r="I86" s="162"/>
      <c r="J86" s="1026"/>
      <c r="K86" s="398"/>
      <c r="L86" s="398">
        <f>L85*(1+$J$86)</f>
        <v>327.1854797793215</v>
      </c>
      <c r="M86" s="398"/>
      <c r="N86" s="398">
        <f>N85*(1+$J$86)</f>
        <v>347.42051317332903</v>
      </c>
      <c r="O86" s="1056">
        <f>ROUND(O85*(1+$J$86),0)</f>
        <v>63404</v>
      </c>
      <c r="P86" s="396"/>
      <c r="Q86" s="71"/>
      <c r="R86" s="522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2">
      <c r="A87" s="78" t="s">
        <v>54</v>
      </c>
      <c r="B87" s="79">
        <v>0.9</v>
      </c>
      <c r="C87" s="80"/>
      <c r="D87" s="86">
        <f>E80/(E52*B87)</f>
        <v>322.84327654273744</v>
      </c>
      <c r="E87" s="87">
        <f>D87*(1+C82)</f>
        <v>322.84327654273744</v>
      </c>
      <c r="F87" s="413"/>
      <c r="G87" s="416"/>
      <c r="H87" s="1031" t="s">
        <v>54</v>
      </c>
      <c r="I87" s="1032">
        <v>0.85</v>
      </c>
      <c r="J87" s="1033"/>
      <c r="K87" s="1034"/>
      <c r="L87" s="1034"/>
      <c r="M87" s="1034"/>
      <c r="N87" s="1358">
        <f>N86/I87</f>
        <v>408.73001549803416</v>
      </c>
      <c r="O87" s="1035"/>
      <c r="P87" s="416"/>
      <c r="Q87" s="76"/>
      <c r="R87" s="522"/>
      <c r="S87" s="29"/>
      <c r="T87" s="29"/>
      <c r="U87" s="29"/>
      <c r="V87" s="29"/>
      <c r="W87" s="29"/>
      <c r="X87" s="29"/>
      <c r="Y87" s="29"/>
      <c r="Z87" s="29"/>
      <c r="AA87" s="205"/>
    </row>
    <row r="88" spans="1:27" ht="13.5" thickBot="1" x14ac:dyDescent="0.25">
      <c r="A88" s="81"/>
      <c r="B88" s="82">
        <v>0.85</v>
      </c>
      <c r="C88" s="83"/>
      <c r="D88" s="88">
        <f>E80/(E52*B88)</f>
        <v>341.83405751583967</v>
      </c>
      <c r="E88" s="89">
        <f>D88*(1+C82)</f>
        <v>341.83405751583967</v>
      </c>
      <c r="F88" s="414"/>
      <c r="G88" s="416"/>
      <c r="H88" s="1366" t="s">
        <v>761</v>
      </c>
      <c r="I88" s="1367"/>
      <c r="J88" s="1368">
        <f>T49</f>
        <v>2.3900000000000001E-2</v>
      </c>
      <c r="K88" s="1087"/>
      <c r="L88" s="1087"/>
      <c r="M88" s="1087"/>
      <c r="N88" s="1359">
        <f>N87*(J88+1)</f>
        <v>418.49866286843718</v>
      </c>
      <c r="O88" s="416"/>
      <c r="P88" s="416"/>
      <c r="Q88" s="71"/>
      <c r="R88" s="29"/>
      <c r="S88" s="29"/>
      <c r="T88" s="29"/>
      <c r="U88" s="29"/>
      <c r="V88" s="29"/>
      <c r="W88" s="29"/>
      <c r="X88" s="29"/>
      <c r="Y88" s="29"/>
      <c r="Z88" s="559"/>
      <c r="AA88" s="540"/>
    </row>
    <row r="89" spans="1:27" ht="13.5" thickBot="1" x14ac:dyDescent="0.25">
      <c r="A89" s="477"/>
      <c r="B89" s="415">
        <v>0.8</v>
      </c>
      <c r="C89" s="162"/>
      <c r="D89" s="389">
        <f>E80/(E52*B89)</f>
        <v>363.19868611057967</v>
      </c>
      <c r="E89" s="478">
        <f>D89*(1+C82)</f>
        <v>363.19868611057967</v>
      </c>
      <c r="F89" s="666">
        <f>F86/B89</f>
        <v>363.19868611057962</v>
      </c>
      <c r="G89" s="416"/>
      <c r="H89" s="162"/>
      <c r="I89" s="415"/>
      <c r="J89" s="162"/>
      <c r="K89" s="389"/>
      <c r="L89" s="389"/>
      <c r="M89" s="389"/>
      <c r="N89" s="389"/>
      <c r="O89" s="416"/>
      <c r="P89" s="416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2">
      <c r="A90" s="368"/>
      <c r="B90" s="369">
        <v>0.75</v>
      </c>
      <c r="C90" s="370"/>
      <c r="D90" s="371">
        <f>E80/(E52*B90)</f>
        <v>387.41193185128498</v>
      </c>
      <c r="E90" s="375">
        <f>D90*(1+C82)</f>
        <v>387.41193185128498</v>
      </c>
      <c r="F90" s="390"/>
      <c r="G90" s="416"/>
      <c r="H90" s="162"/>
      <c r="I90" s="415"/>
      <c r="J90" s="162"/>
      <c r="K90" s="389"/>
      <c r="L90" s="389"/>
      <c r="M90" s="389"/>
      <c r="N90" s="389"/>
      <c r="O90" s="416"/>
      <c r="P90" s="416"/>
      <c r="R90" s="61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2">
      <c r="A91" s="162"/>
      <c r="B91" s="415"/>
      <c r="C91" s="162"/>
      <c r="D91" s="389"/>
      <c r="E91" s="389"/>
      <c r="F91" s="394"/>
      <c r="G91" s="416"/>
      <c r="H91" s="162"/>
      <c r="I91" s="415"/>
      <c r="J91" s="162"/>
      <c r="K91" s="389"/>
      <c r="L91" s="389"/>
      <c r="M91" s="389"/>
      <c r="N91" s="389"/>
      <c r="O91" s="416"/>
      <c r="P91" s="416"/>
      <c r="R91" s="61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2">
      <c r="A92" s="183"/>
      <c r="B92" s="415"/>
      <c r="C92" s="162"/>
      <c r="D92" s="389"/>
      <c r="E92" s="389"/>
      <c r="F92" s="394"/>
      <c r="G92" s="416"/>
      <c r="H92" s="183"/>
      <c r="I92" s="415"/>
      <c r="J92" s="162"/>
      <c r="K92" s="389"/>
      <c r="L92" s="389"/>
      <c r="M92" s="389"/>
      <c r="N92" s="389"/>
      <c r="O92" s="416"/>
      <c r="P92" s="416"/>
      <c r="R92" s="558"/>
      <c r="S92" s="205"/>
      <c r="T92" s="205"/>
      <c r="U92" s="205"/>
      <c r="V92" s="205"/>
      <c r="W92" s="205"/>
      <c r="X92" s="205"/>
      <c r="Y92" s="205"/>
      <c r="Z92" s="29"/>
      <c r="AA92" s="29"/>
    </row>
    <row r="93" spans="1:27" x14ac:dyDescent="0.2">
      <c r="R93" s="29"/>
      <c r="S93" s="205"/>
      <c r="T93" s="205"/>
      <c r="U93" s="205"/>
      <c r="V93" s="205"/>
      <c r="W93" s="205"/>
      <c r="X93" s="205"/>
      <c r="Y93" s="205"/>
      <c r="Z93" s="29"/>
      <c r="AA93" s="29"/>
    </row>
    <row r="94" spans="1:27" ht="21.6" customHeight="1" x14ac:dyDescent="0.2">
      <c r="A94" s="1426" t="s">
        <v>517</v>
      </c>
      <c r="B94" s="1451"/>
      <c r="C94" s="1451"/>
      <c r="D94" s="1451"/>
      <c r="E94" s="1451"/>
      <c r="F94" s="1433" t="s">
        <v>490</v>
      </c>
      <c r="G94" s="521"/>
      <c r="H94" s="1517" t="s">
        <v>521</v>
      </c>
      <c r="I94" s="1518"/>
      <c r="J94" s="1518"/>
      <c r="K94" s="1518"/>
      <c r="L94" s="1518"/>
      <c r="M94" s="1515"/>
      <c r="N94" s="1516"/>
      <c r="O94" s="1506" t="s">
        <v>458</v>
      </c>
      <c r="P94" s="521"/>
      <c r="R94" s="522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5" customHeight="1" thickBot="1" x14ac:dyDescent="0.25">
      <c r="A95" s="1452"/>
      <c r="B95" s="1452"/>
      <c r="C95" s="1452"/>
      <c r="D95" s="1452"/>
      <c r="E95" s="1452"/>
      <c r="F95" s="1434"/>
      <c r="G95" s="521"/>
      <c r="H95" s="1519"/>
      <c r="I95" s="1452"/>
      <c r="J95" s="1452"/>
      <c r="K95" s="1452"/>
      <c r="L95" s="1452"/>
      <c r="M95" s="1509"/>
      <c r="N95" s="1509"/>
      <c r="O95" s="1461"/>
      <c r="P95" s="521"/>
      <c r="R95" s="522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2">
      <c r="A96" s="25" t="s">
        <v>0</v>
      </c>
      <c r="B96" s="69">
        <f>T$26</f>
        <v>9</v>
      </c>
      <c r="C96" s="25"/>
      <c r="D96" s="25" t="s">
        <v>1</v>
      </c>
      <c r="E96" s="68">
        <f>B96*365</f>
        <v>3285</v>
      </c>
      <c r="F96" s="411"/>
      <c r="G96" s="644"/>
      <c r="H96" s="512" t="s">
        <v>0</v>
      </c>
      <c r="I96" s="566">
        <v>9</v>
      </c>
      <c r="J96" s="120"/>
      <c r="K96" s="120" t="s">
        <v>1</v>
      </c>
      <c r="L96" s="1027">
        <f>$I$96*365</f>
        <v>3285</v>
      </c>
      <c r="M96" s="120" t="s">
        <v>1</v>
      </c>
      <c r="N96" s="1027">
        <f>$I$96*365</f>
        <v>3285</v>
      </c>
      <c r="O96" s="541" t="s">
        <v>459</v>
      </c>
      <c r="P96" s="644"/>
      <c r="R96" s="522"/>
      <c r="S96" s="29"/>
      <c r="T96" s="29"/>
      <c r="U96" s="29"/>
      <c r="V96" s="29"/>
      <c r="W96" s="29"/>
      <c r="X96" s="29"/>
      <c r="Y96" s="29"/>
      <c r="Z96" s="29"/>
      <c r="AA96" s="205"/>
    </row>
    <row r="97" spans="1:27" x14ac:dyDescent="0.2">
      <c r="F97" s="407"/>
      <c r="G97" s="162"/>
      <c r="H97" s="131"/>
      <c r="I97" s="29"/>
      <c r="J97" s="29"/>
      <c r="K97" s="29"/>
      <c r="L97" s="29"/>
      <c r="M97" s="29"/>
      <c r="N97" s="29"/>
      <c r="O97" s="407"/>
      <c r="P97" s="162"/>
      <c r="R97" s="29"/>
      <c r="S97" s="29"/>
      <c r="T97" s="29"/>
      <c r="U97" s="29"/>
      <c r="V97" s="29"/>
      <c r="W97" s="29"/>
      <c r="X97" s="29"/>
      <c r="Y97" s="29"/>
      <c r="Z97" s="559"/>
      <c r="AA97" s="540"/>
    </row>
    <row r="98" spans="1:27" x14ac:dyDescent="0.2">
      <c r="A98" s="26"/>
      <c r="B98" s="26"/>
      <c r="C98" s="27" t="s">
        <v>2</v>
      </c>
      <c r="D98" s="27" t="s">
        <v>3</v>
      </c>
      <c r="E98" s="27" t="s">
        <v>4</v>
      </c>
      <c r="F98" s="407"/>
      <c r="G98" s="335"/>
      <c r="H98" s="567"/>
      <c r="I98" s="26"/>
      <c r="J98" s="27" t="s">
        <v>2</v>
      </c>
      <c r="K98" s="27" t="s">
        <v>3</v>
      </c>
      <c r="L98" s="27" t="s">
        <v>4</v>
      </c>
      <c r="M98" s="27" t="s">
        <v>3</v>
      </c>
      <c r="N98" s="27" t="s">
        <v>4</v>
      </c>
      <c r="O98" s="542"/>
      <c r="P98" s="335"/>
    </row>
    <row r="99" spans="1:27" x14ac:dyDescent="0.2">
      <c r="A99" s="1" t="s">
        <v>19</v>
      </c>
      <c r="C99" s="30">
        <f>T$13</f>
        <v>56249</v>
      </c>
      <c r="D99" s="35">
        <f>T$27</f>
        <v>1.5</v>
      </c>
      <c r="E99" s="28">
        <f>C99*D99</f>
        <v>84373.5</v>
      </c>
      <c r="F99" s="407"/>
      <c r="G99" s="392"/>
      <c r="H99" s="568" t="s">
        <v>19</v>
      </c>
      <c r="I99" s="29"/>
      <c r="J99" s="280">
        <f>T13</f>
        <v>56249</v>
      </c>
      <c r="K99" s="195">
        <v>1.5</v>
      </c>
      <c r="L99" s="392">
        <f>$J$99*K99</f>
        <v>84373.5</v>
      </c>
      <c r="M99" s="195">
        <v>1.5</v>
      </c>
      <c r="N99" s="1028">
        <f>$J$99*M99</f>
        <v>84373.5</v>
      </c>
      <c r="O99" s="543"/>
      <c r="P99" s="392"/>
    </row>
    <row r="100" spans="1:27" x14ac:dyDescent="0.2">
      <c r="A100" s="2" t="s">
        <v>227</v>
      </c>
      <c r="C100" s="30"/>
      <c r="D100" s="35"/>
      <c r="E100" s="28"/>
      <c r="F100" s="407"/>
      <c r="G100" s="392"/>
      <c r="H100" s="569" t="s">
        <v>227</v>
      </c>
      <c r="I100" s="29"/>
      <c r="J100" s="280"/>
      <c r="K100" s="195"/>
      <c r="L100" s="392"/>
      <c r="M100" s="195"/>
      <c r="N100" s="1028"/>
      <c r="O100" s="543"/>
      <c r="P100" s="392"/>
    </row>
    <row r="101" spans="1:27" x14ac:dyDescent="0.2">
      <c r="A101" s="3" t="s">
        <v>24</v>
      </c>
      <c r="C101" s="30">
        <f>T15</f>
        <v>69550</v>
      </c>
      <c r="D101" s="35">
        <f>T29</f>
        <v>0.22499999999999998</v>
      </c>
      <c r="E101" s="28">
        <f>C101*D101</f>
        <v>15648.749999999998</v>
      </c>
      <c r="F101" s="407"/>
      <c r="G101" s="392"/>
      <c r="H101" s="570" t="s">
        <v>24</v>
      </c>
      <c r="I101" s="29"/>
      <c r="J101" s="280">
        <f>T15</f>
        <v>69550</v>
      </c>
      <c r="K101" s="195">
        <v>0.22499999999999998</v>
      </c>
      <c r="L101" s="392">
        <f>$J$101*K101</f>
        <v>15648.749999999998</v>
      </c>
      <c r="M101" s="195">
        <f>$K$101+(0.5*$I$96/40)</f>
        <v>0.33749999999999997</v>
      </c>
      <c r="N101" s="1028">
        <f>$J$101*M101</f>
        <v>23473.124999999996</v>
      </c>
      <c r="O101" s="543"/>
      <c r="P101" s="392"/>
    </row>
    <row r="102" spans="1:27" x14ac:dyDescent="0.2">
      <c r="A102" s="2" t="s">
        <v>5</v>
      </c>
      <c r="C102" s="30"/>
      <c r="D102" s="35"/>
      <c r="E102" s="28"/>
      <c r="F102" s="407"/>
      <c r="G102" s="392"/>
      <c r="H102" s="569" t="s">
        <v>5</v>
      </c>
      <c r="I102" s="29"/>
      <c r="J102" s="280"/>
      <c r="K102" s="195"/>
      <c r="L102" s="392"/>
      <c r="M102" s="195"/>
      <c r="N102" s="1028"/>
      <c r="O102" s="543"/>
      <c r="P102" s="392"/>
    </row>
    <row r="103" spans="1:27" x14ac:dyDescent="0.2">
      <c r="A103" s="2" t="s">
        <v>332</v>
      </c>
      <c r="C103" s="282">
        <f>T17</f>
        <v>53770</v>
      </c>
      <c r="D103" s="283">
        <f>T31</f>
        <v>1</v>
      </c>
      <c r="E103" s="284">
        <f>C103*D103</f>
        <v>53770</v>
      </c>
      <c r="F103" s="407"/>
      <c r="G103" s="392"/>
      <c r="H103" s="569" t="s">
        <v>332</v>
      </c>
      <c r="I103" s="29"/>
      <c r="J103" s="280">
        <f>T17</f>
        <v>53770</v>
      </c>
      <c r="K103" s="195">
        <v>1</v>
      </c>
      <c r="L103" s="392">
        <f>$J$103*K103</f>
        <v>53770</v>
      </c>
      <c r="M103" s="195">
        <v>1.5</v>
      </c>
      <c r="N103" s="392">
        <f>$J$103*M103</f>
        <v>80655</v>
      </c>
      <c r="O103" s="543"/>
      <c r="P103" s="392"/>
    </row>
    <row r="104" spans="1:27" x14ac:dyDescent="0.2">
      <c r="A104" s="3" t="s">
        <v>59</v>
      </c>
      <c r="C104" s="282">
        <f>T18</f>
        <v>47586</v>
      </c>
      <c r="D104" s="283">
        <f>T32</f>
        <v>0.5</v>
      </c>
      <c r="E104" s="284">
        <f>C104*D104</f>
        <v>23793</v>
      </c>
      <c r="F104" s="407"/>
      <c r="G104" s="392"/>
      <c r="H104" s="570" t="s">
        <v>59</v>
      </c>
      <c r="I104" s="29"/>
      <c r="J104" s="280">
        <f t="shared" ref="J104:J106" si="1">T18</f>
        <v>47586</v>
      </c>
      <c r="K104" s="195">
        <v>0.5</v>
      </c>
      <c r="L104" s="392">
        <f>$J$104*K104</f>
        <v>23793</v>
      </c>
      <c r="M104" s="195">
        <v>0.5</v>
      </c>
      <c r="N104" s="392">
        <f>$J$104*M104</f>
        <v>23793</v>
      </c>
      <c r="O104" s="543"/>
      <c r="P104" s="392"/>
    </row>
    <row r="105" spans="1:27" x14ac:dyDescent="0.2">
      <c r="A105" s="3" t="s">
        <v>30</v>
      </c>
      <c r="C105" s="282">
        <f>T19</f>
        <v>31369</v>
      </c>
      <c r="D105" s="658">
        <f>T33</f>
        <v>10.199999999999999</v>
      </c>
      <c r="E105" s="284">
        <f>C105*D105</f>
        <v>319963.8</v>
      </c>
      <c r="F105" s="407"/>
      <c r="G105" s="645"/>
      <c r="H105" s="570" t="s">
        <v>30</v>
      </c>
      <c r="I105" s="29"/>
      <c r="J105" s="280">
        <f t="shared" si="1"/>
        <v>31369</v>
      </c>
      <c r="K105" s="658">
        <v>10.51</v>
      </c>
      <c r="L105" s="392">
        <f>$J$105*K105</f>
        <v>329688.19</v>
      </c>
      <c r="M105" s="658">
        <v>10.51</v>
      </c>
      <c r="N105" s="392">
        <f>$J$105*M105</f>
        <v>329688.19</v>
      </c>
      <c r="O105" s="543"/>
      <c r="P105" s="392"/>
    </row>
    <row r="106" spans="1:27" x14ac:dyDescent="0.2">
      <c r="A106" s="4" t="s">
        <v>31</v>
      </c>
      <c r="C106" s="282">
        <f>T20</f>
        <v>31369</v>
      </c>
      <c r="D106" s="658">
        <f>T34</f>
        <v>1.6084615384615384</v>
      </c>
      <c r="E106" s="284">
        <f>C106*D106</f>
        <v>50455.829999999994</v>
      </c>
      <c r="F106" s="407"/>
      <c r="G106" s="392"/>
      <c r="H106" s="571" t="s">
        <v>31</v>
      </c>
      <c r="I106" s="29"/>
      <c r="J106" s="280">
        <f t="shared" si="1"/>
        <v>31369</v>
      </c>
      <c r="K106" s="658">
        <f>K105*$T$10</f>
        <v>1.6573461538461538</v>
      </c>
      <c r="L106" s="392">
        <f>$J$106*K106</f>
        <v>51989.291499999999</v>
      </c>
      <c r="M106" s="658">
        <f>SUM(M105)*T10</f>
        <v>1.6573461538461538</v>
      </c>
      <c r="N106" s="392">
        <f>$J$106*M106</f>
        <v>51989.291499999999</v>
      </c>
      <c r="O106" s="543"/>
      <c r="P106" s="392"/>
    </row>
    <row r="107" spans="1:27" x14ac:dyDescent="0.2">
      <c r="A107" s="2" t="s">
        <v>6</v>
      </c>
      <c r="C107" s="282"/>
      <c r="D107" s="283"/>
      <c r="E107" s="284"/>
      <c r="F107" s="407"/>
      <c r="G107" s="392"/>
      <c r="H107" s="569" t="s">
        <v>6</v>
      </c>
      <c r="I107" s="29"/>
      <c r="J107" s="280"/>
      <c r="K107" s="195"/>
      <c r="L107" s="392"/>
      <c r="M107" s="195"/>
      <c r="N107" s="392"/>
      <c r="O107" s="543"/>
      <c r="P107" s="392"/>
    </row>
    <row r="108" spans="1:27" x14ac:dyDescent="0.2">
      <c r="A108" s="3" t="s">
        <v>32</v>
      </c>
      <c r="C108" s="30">
        <f>T22</f>
        <v>31369</v>
      </c>
      <c r="D108" s="35">
        <f>T36</f>
        <v>0.5</v>
      </c>
      <c r="E108" s="28">
        <f>C108*D108</f>
        <v>15684.5</v>
      </c>
      <c r="F108" s="407"/>
      <c r="G108" s="392"/>
      <c r="H108" s="570" t="s">
        <v>32</v>
      </c>
      <c r="I108" s="29"/>
      <c r="J108" s="40">
        <f>T22</f>
        <v>31369</v>
      </c>
      <c r="K108" s="46">
        <v>0.5</v>
      </c>
      <c r="L108" s="1028">
        <f>$J$108*K108</f>
        <v>15684.5</v>
      </c>
      <c r="M108" s="46">
        <v>0.5</v>
      </c>
      <c r="N108" s="1028">
        <f>$J$108*M108</f>
        <v>15684.5</v>
      </c>
      <c r="O108" s="543"/>
      <c r="P108" s="392"/>
    </row>
    <row r="109" spans="1:27" x14ac:dyDescent="0.2">
      <c r="A109" s="31" t="s">
        <v>7</v>
      </c>
      <c r="B109" s="31"/>
      <c r="C109" s="31"/>
      <c r="D109" s="32">
        <f>SUM(D99:D108)</f>
        <v>15.533461538461538</v>
      </c>
      <c r="E109" s="33">
        <f>SUM(E99:E108)</f>
        <v>563689.38</v>
      </c>
      <c r="F109" s="407"/>
      <c r="G109" s="393"/>
      <c r="H109" s="572" t="s">
        <v>7</v>
      </c>
      <c r="I109" s="31"/>
      <c r="J109" s="31"/>
      <c r="K109" s="32">
        <f>SUM(K99:K108)</f>
        <v>15.892346153846153</v>
      </c>
      <c r="L109" s="33">
        <f>SUM(L99:L108)</f>
        <v>574947.23149999999</v>
      </c>
      <c r="M109" s="32">
        <f>SUM(M99:M108)</f>
        <v>16.504846153846152</v>
      </c>
      <c r="N109" s="33">
        <f>SUM(N99:N108)</f>
        <v>609656.60649999999</v>
      </c>
      <c r="O109" s="544"/>
      <c r="P109" s="393"/>
    </row>
    <row r="110" spans="1:27" x14ac:dyDescent="0.2">
      <c r="F110" s="407"/>
      <c r="G110" s="162"/>
      <c r="H110" s="131"/>
      <c r="I110" s="29"/>
      <c r="J110" s="29"/>
      <c r="K110" s="29"/>
      <c r="L110" s="29"/>
      <c r="M110" s="29"/>
      <c r="N110" s="29"/>
      <c r="O110" s="407"/>
      <c r="P110" s="162"/>
    </row>
    <row r="111" spans="1:27" x14ac:dyDescent="0.2">
      <c r="A111" s="25" t="s">
        <v>21</v>
      </c>
      <c r="D111" s="25" t="s">
        <v>20</v>
      </c>
      <c r="F111" s="407"/>
      <c r="G111" s="162"/>
      <c r="H111" s="512" t="s">
        <v>21</v>
      </c>
      <c r="I111" s="29"/>
      <c r="J111" s="29"/>
      <c r="K111" s="120" t="s">
        <v>20</v>
      </c>
      <c r="L111" s="29"/>
      <c r="M111" s="120" t="s">
        <v>20</v>
      </c>
      <c r="N111" s="29"/>
      <c r="O111" s="407"/>
      <c r="P111" s="162"/>
    </row>
    <row r="112" spans="1:27" x14ac:dyDescent="0.2">
      <c r="A112" s="23" t="s">
        <v>22</v>
      </c>
      <c r="C112" s="97">
        <f>$T$39</f>
        <v>0.23424901786252411</v>
      </c>
      <c r="E112" s="28">
        <f>C112*E109</f>
        <v>132043.68364453514</v>
      </c>
      <c r="F112" s="407"/>
      <c r="G112" s="392"/>
      <c r="H112" s="131" t="s">
        <v>22</v>
      </c>
      <c r="I112" s="29"/>
      <c r="J112" s="573">
        <f>$T$39</f>
        <v>0.23424901786252411</v>
      </c>
      <c r="K112" s="29"/>
      <c r="L112" s="1028">
        <f>$J$112*L109</f>
        <v>134680.82430165229</v>
      </c>
      <c r="M112" s="29"/>
      <c r="N112" s="1028">
        <f>$J$112*N109</f>
        <v>142811.46130602434</v>
      </c>
      <c r="O112" s="543"/>
      <c r="P112" s="392"/>
      <c r="Q112" s="483"/>
    </row>
    <row r="113" spans="1:16" x14ac:dyDescent="0.2">
      <c r="A113" s="31" t="s">
        <v>51</v>
      </c>
      <c r="B113" s="31"/>
      <c r="C113" s="31"/>
      <c r="D113" s="70">
        <f>E113/E96</f>
        <v>211.7908869541964</v>
      </c>
      <c r="E113" s="33">
        <f>E112+E109</f>
        <v>695733.06364453514</v>
      </c>
      <c r="F113" s="407"/>
      <c r="G113" s="393"/>
      <c r="H113" s="572" t="s">
        <v>51</v>
      </c>
      <c r="I113" s="31"/>
      <c r="J113" s="31"/>
      <c r="K113" s="70">
        <f>L113/L96</f>
        <v>216.02071713901134</v>
      </c>
      <c r="L113" s="33">
        <f>L112+L109</f>
        <v>709628.05580165226</v>
      </c>
      <c r="M113" s="70">
        <f>N113/N96</f>
        <v>229.06181668372125</v>
      </c>
      <c r="N113" s="33">
        <f>N112+N109</f>
        <v>752468.06780602434</v>
      </c>
      <c r="O113" s="544"/>
      <c r="P113" s="393"/>
    </row>
    <row r="114" spans="1:16" x14ac:dyDescent="0.2">
      <c r="F114" s="407"/>
      <c r="G114" s="394"/>
      <c r="H114" s="131"/>
      <c r="I114" s="29"/>
      <c r="J114" s="29"/>
      <c r="K114" s="29"/>
      <c r="L114" s="29"/>
      <c r="M114" s="29"/>
      <c r="N114" s="29"/>
      <c r="O114" s="376"/>
      <c r="P114" s="394"/>
    </row>
    <row r="115" spans="1:16" x14ac:dyDescent="0.2">
      <c r="A115" s="23" t="s">
        <v>39</v>
      </c>
      <c r="D115" s="71">
        <f>$T$41</f>
        <v>25.05</v>
      </c>
      <c r="E115" s="71">
        <f>D115*E96</f>
        <v>82289.25</v>
      </c>
      <c r="F115" s="407"/>
      <c r="G115" s="394"/>
      <c r="H115" s="131" t="s">
        <v>39</v>
      </c>
      <c r="I115" s="29"/>
      <c r="J115" s="29"/>
      <c r="K115" s="61">
        <f>$T$41</f>
        <v>25.05</v>
      </c>
      <c r="L115" s="61">
        <f>K115*L96</f>
        <v>82289.25</v>
      </c>
      <c r="M115" s="61">
        <f>$T$41</f>
        <v>25.05</v>
      </c>
      <c r="N115" s="61">
        <f>M115*N96</f>
        <v>82289.25</v>
      </c>
      <c r="O115" s="376"/>
      <c r="P115" s="394"/>
    </row>
    <row r="116" spans="1:16" x14ac:dyDescent="0.2">
      <c r="A116" s="29" t="s">
        <v>40</v>
      </c>
      <c r="D116" s="71">
        <f>$T$42</f>
        <v>18.55</v>
      </c>
      <c r="E116" s="71">
        <f>D116*E96</f>
        <v>60936.75</v>
      </c>
      <c r="F116" s="407"/>
      <c r="G116" s="394"/>
      <c r="H116" s="131" t="s">
        <v>40</v>
      </c>
      <c r="I116" s="29"/>
      <c r="J116" s="29"/>
      <c r="K116" s="61">
        <f>$T$42</f>
        <v>18.55</v>
      </c>
      <c r="L116" s="61">
        <f>K116*L96</f>
        <v>60936.75</v>
      </c>
      <c r="M116" s="61">
        <f>$T$42</f>
        <v>18.55</v>
      </c>
      <c r="N116" s="61">
        <f>M116*N96</f>
        <v>60936.75</v>
      </c>
      <c r="O116" s="376"/>
      <c r="P116" s="394"/>
    </row>
    <row r="117" spans="1:16" x14ac:dyDescent="0.2">
      <c r="A117" s="29" t="s">
        <v>41</v>
      </c>
      <c r="D117" s="71">
        <f>$T$43</f>
        <v>2.2839999999999998</v>
      </c>
      <c r="E117" s="71">
        <f>D117*E96</f>
        <v>7502.94</v>
      </c>
      <c r="F117" s="407"/>
      <c r="G117" s="394"/>
      <c r="H117" s="131" t="s">
        <v>41</v>
      </c>
      <c r="I117" s="29"/>
      <c r="J117" s="29"/>
      <c r="K117" s="61">
        <f>$T$43</f>
        <v>2.2839999999999998</v>
      </c>
      <c r="L117" s="61">
        <f>K117*L96</f>
        <v>7502.94</v>
      </c>
      <c r="M117" s="61">
        <f>$T$43</f>
        <v>2.2839999999999998</v>
      </c>
      <c r="N117" s="61">
        <f>M117*N96</f>
        <v>7502.94</v>
      </c>
      <c r="O117" s="376"/>
      <c r="P117" s="394"/>
    </row>
    <row r="118" spans="1:16" x14ac:dyDescent="0.2">
      <c r="A118" s="29" t="s">
        <v>42</v>
      </c>
      <c r="D118" s="71">
        <f>$T$44</f>
        <v>-2</v>
      </c>
      <c r="E118" s="71">
        <f>D118*E96</f>
        <v>-6570</v>
      </c>
      <c r="F118" s="131"/>
      <c r="G118" s="162"/>
      <c r="H118" s="131" t="s">
        <v>42</v>
      </c>
      <c r="I118" s="29"/>
      <c r="J118" s="29"/>
      <c r="K118" s="61">
        <f>$T$44</f>
        <v>-2</v>
      </c>
      <c r="L118" s="61">
        <f>K118*L96</f>
        <v>-6570</v>
      </c>
      <c r="M118" s="61">
        <f>$T$44</f>
        <v>-2</v>
      </c>
      <c r="N118" s="61">
        <f>M118*N96</f>
        <v>-6570</v>
      </c>
      <c r="O118" s="407"/>
      <c r="P118" s="162"/>
    </row>
    <row r="119" spans="1:16" x14ac:dyDescent="0.2">
      <c r="D119" s="72">
        <f>SUM(D115:D118)</f>
        <v>43.884</v>
      </c>
      <c r="F119" s="131"/>
      <c r="G119" s="162"/>
      <c r="H119" s="131"/>
      <c r="I119" s="29"/>
      <c r="J119" s="29"/>
      <c r="K119" s="72">
        <f>SUM(K115:K118)</f>
        <v>43.884</v>
      </c>
      <c r="L119" s="29"/>
      <c r="M119" s="72">
        <f>SUM(M115:M118)</f>
        <v>43.884</v>
      </c>
      <c r="N119" s="29"/>
      <c r="O119" s="407"/>
      <c r="P119" s="162"/>
    </row>
    <row r="120" spans="1:16" x14ac:dyDescent="0.2">
      <c r="F120" s="131"/>
      <c r="G120" s="393"/>
      <c r="H120" s="131"/>
      <c r="I120" s="29"/>
      <c r="J120" s="29"/>
      <c r="K120" s="29"/>
      <c r="L120" s="29"/>
      <c r="M120" s="29"/>
      <c r="N120" s="29"/>
      <c r="O120" s="544"/>
      <c r="P120" s="393"/>
    </row>
    <row r="121" spans="1:16" x14ac:dyDescent="0.2">
      <c r="A121" s="31" t="s">
        <v>43</v>
      </c>
      <c r="B121" s="31"/>
      <c r="C121" s="31"/>
      <c r="D121" s="31"/>
      <c r="E121" s="33">
        <f>SUM(E113:E118)</f>
        <v>839892.00364453509</v>
      </c>
      <c r="F121" s="131"/>
      <c r="G121" s="162"/>
      <c r="H121" s="572" t="s">
        <v>43</v>
      </c>
      <c r="I121" s="31"/>
      <c r="J121" s="31"/>
      <c r="K121" s="31"/>
      <c r="L121" s="33">
        <f>SUM(L113:L118)</f>
        <v>853786.9958016522</v>
      </c>
      <c r="M121" s="31"/>
      <c r="N121" s="33">
        <f>SUM(N113:N118)</f>
        <v>896627.00780602428</v>
      </c>
      <c r="O121" s="407"/>
      <c r="P121" s="162"/>
    </row>
    <row r="122" spans="1:16" x14ac:dyDescent="0.2">
      <c r="F122" s="407"/>
      <c r="G122" s="392"/>
      <c r="H122" s="131"/>
      <c r="I122" s="29"/>
      <c r="J122" s="29"/>
      <c r="K122" s="29"/>
      <c r="L122" s="29"/>
      <c r="M122" s="29"/>
      <c r="N122" s="29"/>
      <c r="O122" s="543"/>
      <c r="P122" s="392"/>
    </row>
    <row r="123" spans="1:16" x14ac:dyDescent="0.2">
      <c r="A123" s="23" t="s">
        <v>44</v>
      </c>
      <c r="C123" s="97">
        <f>$T$47</f>
        <v>0.11846733793705286</v>
      </c>
      <c r="E123" s="28">
        <f>C123*E121</f>
        <v>99499.769826385571</v>
      </c>
      <c r="F123" s="407"/>
      <c r="G123" s="162"/>
      <c r="H123" s="131" t="s">
        <v>44</v>
      </c>
      <c r="I123" s="29"/>
      <c r="J123" s="573">
        <f>$T$47</f>
        <v>0.11846733793705286</v>
      </c>
      <c r="K123" s="29"/>
      <c r="L123" s="1028">
        <f>$J$123*L121</f>
        <v>101145.87255789546</v>
      </c>
      <c r="M123" s="29"/>
      <c r="N123" s="1028">
        <f>$J$123*N121</f>
        <v>106221.01473724481</v>
      </c>
      <c r="O123" s="407"/>
      <c r="P123" s="162"/>
    </row>
    <row r="124" spans="1:16" x14ac:dyDescent="0.2">
      <c r="F124" s="407"/>
      <c r="G124" s="162"/>
      <c r="H124" s="131"/>
      <c r="I124" s="29"/>
      <c r="J124" s="29"/>
      <c r="K124" s="29"/>
      <c r="L124" s="29"/>
      <c r="M124" s="29"/>
      <c r="N124" s="29"/>
      <c r="O124" s="407"/>
      <c r="P124" s="162"/>
    </row>
    <row r="125" spans="1:16" ht="13.5" thickBot="1" x14ac:dyDescent="0.25">
      <c r="A125" s="73" t="s">
        <v>52</v>
      </c>
      <c r="B125" s="74"/>
      <c r="C125" s="74"/>
      <c r="D125" s="74"/>
      <c r="E125" s="75">
        <f>SUM(E121:E123)</f>
        <v>939391.77347092063</v>
      </c>
      <c r="F125" s="407"/>
      <c r="G125" s="393"/>
      <c r="H125" s="574" t="s">
        <v>52</v>
      </c>
      <c r="I125" s="74"/>
      <c r="J125" s="74"/>
      <c r="K125" s="74"/>
      <c r="L125" s="75">
        <f>SUM(L121:L123)</f>
        <v>954932.86835954769</v>
      </c>
      <c r="M125" s="74"/>
      <c r="N125" s="75">
        <f>SUM(N121:N123)</f>
        <v>1002848.0225432691</v>
      </c>
      <c r="O125" s="545">
        <f>N125</f>
        <v>1002848.0225432691</v>
      </c>
      <c r="P125" s="393"/>
    </row>
    <row r="126" spans="1:16" ht="13.5" thickTop="1" x14ac:dyDescent="0.2">
      <c r="F126" s="407"/>
      <c r="G126" s="162"/>
      <c r="H126" s="131"/>
      <c r="I126" s="29"/>
      <c r="J126" s="29"/>
      <c r="K126" s="29"/>
      <c r="L126" s="29"/>
      <c r="M126" s="29"/>
      <c r="N126" s="29"/>
      <c r="O126" s="407"/>
      <c r="P126" s="162"/>
    </row>
    <row r="127" spans="1:16" x14ac:dyDescent="0.2">
      <c r="A127" s="23" t="s">
        <v>53</v>
      </c>
      <c r="C127" s="98"/>
      <c r="E127" s="77">
        <f>E125*(1+C127)</f>
        <v>939391.77347092063</v>
      </c>
      <c r="F127" s="407"/>
      <c r="G127" s="396"/>
      <c r="H127" s="131"/>
      <c r="I127" s="29"/>
      <c r="J127" s="575"/>
      <c r="K127" s="29"/>
      <c r="L127" s="1029">
        <f>L125*(1+$J$127)</f>
        <v>954932.86835954769</v>
      </c>
      <c r="M127" s="29"/>
      <c r="N127" s="1029">
        <f>N125*(1+$J$127)</f>
        <v>1002848.0225432691</v>
      </c>
      <c r="O127" s="546">
        <f>O125*(1+$J$127)</f>
        <v>1002848.0225432691</v>
      </c>
      <c r="P127" s="396"/>
    </row>
    <row r="128" spans="1:16" x14ac:dyDescent="0.2">
      <c r="F128" s="407"/>
      <c r="G128" s="162"/>
      <c r="H128" s="131"/>
      <c r="I128" s="29"/>
      <c r="J128" s="29"/>
      <c r="K128" s="29"/>
      <c r="L128" s="29"/>
      <c r="M128" s="29"/>
      <c r="N128" s="29"/>
      <c r="O128" s="407"/>
      <c r="P128" s="162"/>
    </row>
    <row r="129" spans="1:20" x14ac:dyDescent="0.2">
      <c r="E129" s="92" t="s">
        <v>56</v>
      </c>
      <c r="F129" s="407"/>
      <c r="G129" s="397"/>
      <c r="H129" s="131"/>
      <c r="I129" s="29"/>
      <c r="J129" s="29"/>
      <c r="K129" s="29"/>
      <c r="L129" s="753" t="s">
        <v>789</v>
      </c>
      <c r="M129" s="29"/>
      <c r="N129" s="753" t="s">
        <v>789</v>
      </c>
      <c r="O129" s="753" t="s">
        <v>789</v>
      </c>
      <c r="P129" s="397"/>
    </row>
    <row r="130" spans="1:20" x14ac:dyDescent="0.2">
      <c r="A130" s="23" t="s">
        <v>55</v>
      </c>
      <c r="D130" s="76">
        <f>E125/E96</f>
        <v>285.96401018901696</v>
      </c>
      <c r="E130" s="76">
        <f>D130*(1+C127)</f>
        <v>285.96401018901696</v>
      </c>
      <c r="G130" s="396"/>
      <c r="H130" s="131" t="s">
        <v>55</v>
      </c>
      <c r="I130" s="29"/>
      <c r="J130" s="29"/>
      <c r="K130" s="428">
        <f>L125/L96</f>
        <v>290.69493709575272</v>
      </c>
      <c r="L130" s="428">
        <f>K130*(1+$J$127)</f>
        <v>290.69493709575272</v>
      </c>
      <c r="M130" s="428">
        <f>N125/N96</f>
        <v>305.28098098729652</v>
      </c>
      <c r="N130" s="428">
        <f>M130*(1+$J$127)</f>
        <v>305.28098098729652</v>
      </c>
      <c r="O130" s="546">
        <f>O127/12</f>
        <v>83570.66854527242</v>
      </c>
      <c r="P130" s="396"/>
    </row>
    <row r="131" spans="1:20" x14ac:dyDescent="0.2">
      <c r="A131" s="377" t="s">
        <v>455</v>
      </c>
      <c r="B131" s="378"/>
      <c r="C131" s="379"/>
      <c r="D131" s="380"/>
      <c r="E131" s="380"/>
      <c r="F131" s="385">
        <f>E130*(1+C131)</f>
        <v>285.96401018901696</v>
      </c>
      <c r="G131" s="396"/>
      <c r="H131" s="806" t="s">
        <v>762</v>
      </c>
      <c r="I131" s="162"/>
      <c r="J131" s="1026"/>
      <c r="K131" s="398"/>
      <c r="L131" s="398">
        <f>L130*(1+$J$131)</f>
        <v>290.69493709575272</v>
      </c>
      <c r="M131" s="398"/>
      <c r="N131" s="398">
        <f>N130*(1+$J$131)</f>
        <v>305.28098098729652</v>
      </c>
      <c r="O131" s="1056">
        <f>ROUND(O130*(1+$J$86),0)</f>
        <v>83571</v>
      </c>
      <c r="P131" s="396"/>
    </row>
    <row r="132" spans="1:20" x14ac:dyDescent="0.2">
      <c r="A132" s="78" t="s">
        <v>54</v>
      </c>
      <c r="B132" s="79">
        <v>0.9</v>
      </c>
      <c r="C132" s="80"/>
      <c r="D132" s="86">
        <f>E125/(E96*B132)</f>
        <v>317.73778909890768</v>
      </c>
      <c r="E132" s="87">
        <f>D132*(1+C127)</f>
        <v>317.73778909890768</v>
      </c>
      <c r="F132" s="413"/>
      <c r="G132" s="416"/>
      <c r="H132" s="1031" t="s">
        <v>54</v>
      </c>
      <c r="I132" s="1032">
        <v>0.85</v>
      </c>
      <c r="J132" s="1033"/>
      <c r="K132" s="1034"/>
      <c r="L132" s="1034"/>
      <c r="M132" s="1034"/>
      <c r="N132" s="1358">
        <f>N131/I132</f>
        <v>359.1540952791724</v>
      </c>
      <c r="O132" s="1035"/>
      <c r="P132" s="416"/>
      <c r="Q132" s="71"/>
    </row>
    <row r="133" spans="1:20" ht="13.5" thickBot="1" x14ac:dyDescent="0.25">
      <c r="A133" s="81"/>
      <c r="B133" s="82">
        <v>0.85</v>
      </c>
      <c r="C133" s="83"/>
      <c r="D133" s="88">
        <f>E125/(E96*B133)</f>
        <v>336.42824728119638</v>
      </c>
      <c r="E133" s="89">
        <f>D133*(1+C127)</f>
        <v>336.42824728119638</v>
      </c>
      <c r="F133" s="414"/>
      <c r="G133" s="416"/>
      <c r="H133" s="1366" t="s">
        <v>761</v>
      </c>
      <c r="I133" s="1367"/>
      <c r="J133" s="1368">
        <f>T49</f>
        <v>2.3900000000000001E-2</v>
      </c>
      <c r="K133" s="1087"/>
      <c r="L133" s="1087"/>
      <c r="M133" s="1087"/>
      <c r="N133" s="1359">
        <f>N132*(J133+1)-0.01</f>
        <v>367.72787815634462</v>
      </c>
      <c r="O133" s="416"/>
      <c r="P133" s="416"/>
    </row>
    <row r="134" spans="1:20" ht="13.5" thickBot="1" x14ac:dyDescent="0.25">
      <c r="A134" s="368"/>
      <c r="B134" s="369">
        <v>0.8</v>
      </c>
      <c r="C134" s="370"/>
      <c r="D134" s="371">
        <f>E125/(E96*B134)</f>
        <v>357.45501273627116</v>
      </c>
      <c r="E134" s="685">
        <f>D134*(1+C127)</f>
        <v>357.45501273627116</v>
      </c>
      <c r="F134" s="666">
        <f>F131/B134</f>
        <v>357.45501273627116</v>
      </c>
      <c r="G134" s="416"/>
      <c r="H134" s="162"/>
      <c r="I134" s="415"/>
      <c r="J134" s="162"/>
      <c r="K134" s="389"/>
      <c r="L134" s="389"/>
      <c r="M134" s="389"/>
      <c r="N134" s="389"/>
      <c r="O134" s="416"/>
      <c r="P134" s="416"/>
    </row>
    <row r="136" spans="1:20" x14ac:dyDescent="0.2">
      <c r="A136" s="177"/>
      <c r="H136" s="177"/>
    </row>
    <row r="138" spans="1:20" ht="21.6" customHeight="1" x14ac:dyDescent="0.2">
      <c r="A138" s="1426" t="s">
        <v>518</v>
      </c>
      <c r="B138" s="1451"/>
      <c r="C138" s="1451"/>
      <c r="D138" s="1451"/>
      <c r="E138" s="1451"/>
      <c r="F138" s="1433" t="s">
        <v>490</v>
      </c>
      <c r="G138" s="521"/>
      <c r="H138" s="1517" t="s">
        <v>522</v>
      </c>
      <c r="I138" s="1518"/>
      <c r="J138" s="1518"/>
      <c r="K138" s="1518"/>
      <c r="L138" s="1518"/>
      <c r="M138" s="1515"/>
      <c r="N138" s="1516"/>
      <c r="O138" s="1506" t="s">
        <v>458</v>
      </c>
      <c r="P138" s="521"/>
      <c r="Q138" s="1511"/>
      <c r="R138" s="1512"/>
      <c r="S138" s="162"/>
      <c r="T138" s="162"/>
    </row>
    <row r="139" spans="1:20" ht="15" customHeight="1" thickBot="1" x14ac:dyDescent="0.25">
      <c r="A139" s="1452"/>
      <c r="B139" s="1452"/>
      <c r="C139" s="1452"/>
      <c r="D139" s="1452"/>
      <c r="E139" s="1452"/>
      <c r="F139" s="1434"/>
      <c r="G139" s="521"/>
      <c r="H139" s="1519"/>
      <c r="I139" s="1452"/>
      <c r="J139" s="1452"/>
      <c r="K139" s="1452"/>
      <c r="L139" s="1452"/>
      <c r="M139" s="1509"/>
      <c r="N139" s="1509"/>
      <c r="O139" s="1461"/>
      <c r="P139" s="521"/>
      <c r="Q139" s="1512"/>
      <c r="R139" s="1512"/>
      <c r="S139" s="162"/>
      <c r="T139" s="162"/>
    </row>
    <row r="140" spans="1:20" x14ac:dyDescent="0.2">
      <c r="A140" s="25" t="s">
        <v>0</v>
      </c>
      <c r="B140" s="69">
        <f>V$26</f>
        <v>15</v>
      </c>
      <c r="C140" s="25"/>
      <c r="D140" s="25" t="s">
        <v>1</v>
      </c>
      <c r="E140" s="68">
        <f>B140*365</f>
        <v>5475</v>
      </c>
      <c r="F140" s="411"/>
      <c r="G140" s="644"/>
      <c r="H140" s="512" t="s">
        <v>0</v>
      </c>
      <c r="I140" s="566">
        <v>15</v>
      </c>
      <c r="J140" s="120"/>
      <c r="K140" s="120" t="s">
        <v>1</v>
      </c>
      <c r="L140" s="1027">
        <f>$I$140*365</f>
        <v>5475</v>
      </c>
      <c r="M140" s="120" t="s">
        <v>1</v>
      </c>
      <c r="N140" s="1027">
        <f>$I$140*365</f>
        <v>5475</v>
      </c>
      <c r="O140" s="550" t="s">
        <v>459</v>
      </c>
      <c r="P140" s="644"/>
      <c r="Q140" s="391"/>
      <c r="R140" s="1132"/>
      <c r="S140" s="162"/>
      <c r="T140" s="162"/>
    </row>
    <row r="141" spans="1:20" x14ac:dyDescent="0.2">
      <c r="F141" s="407"/>
      <c r="G141" s="162"/>
      <c r="H141" s="131"/>
      <c r="I141" s="29"/>
      <c r="J141" s="29"/>
      <c r="K141" s="29"/>
      <c r="L141" s="29"/>
      <c r="M141" s="29"/>
      <c r="N141" s="29"/>
      <c r="O141" s="407"/>
      <c r="P141" s="162"/>
      <c r="Q141" s="162"/>
      <c r="R141" s="162"/>
      <c r="S141" s="162"/>
      <c r="T141" s="162"/>
    </row>
    <row r="142" spans="1:20" x14ac:dyDescent="0.2">
      <c r="A142" s="26"/>
      <c r="B142" s="26"/>
      <c r="C142" s="27" t="s">
        <v>2</v>
      </c>
      <c r="D142" s="27" t="s">
        <v>3</v>
      </c>
      <c r="E142" s="27" t="s">
        <v>4</v>
      </c>
      <c r="F142" s="407"/>
      <c r="G142" s="335"/>
      <c r="H142" s="567"/>
      <c r="I142" s="26"/>
      <c r="J142" s="27" t="s">
        <v>2</v>
      </c>
      <c r="K142" s="27" t="s">
        <v>3</v>
      </c>
      <c r="L142" s="27" t="s">
        <v>4</v>
      </c>
      <c r="M142" s="27" t="s">
        <v>3</v>
      </c>
      <c r="N142" s="27" t="s">
        <v>4</v>
      </c>
      <c r="O142" s="542"/>
      <c r="P142" s="335"/>
      <c r="Q142" s="1346"/>
      <c r="R142" s="1346"/>
      <c r="S142" s="162"/>
      <c r="T142" s="162"/>
    </row>
    <row r="143" spans="1:20" x14ac:dyDescent="0.2">
      <c r="A143" s="1" t="s">
        <v>19</v>
      </c>
      <c r="C143" s="30">
        <f>T$13</f>
        <v>56249</v>
      </c>
      <c r="D143" s="35">
        <f>V$27</f>
        <v>2</v>
      </c>
      <c r="E143" s="28">
        <f>C143*D143</f>
        <v>112498</v>
      </c>
      <c r="F143" s="407"/>
      <c r="G143" s="392"/>
      <c r="H143" s="568" t="s">
        <v>19</v>
      </c>
      <c r="I143" s="29"/>
      <c r="J143" s="280">
        <f>J99</f>
        <v>56249</v>
      </c>
      <c r="K143" s="46">
        <v>2</v>
      </c>
      <c r="L143" s="1028">
        <f>$J$143*K143</f>
        <v>112498</v>
      </c>
      <c r="M143" s="46">
        <v>2</v>
      </c>
      <c r="N143" s="1028">
        <f>$J$143*M143</f>
        <v>112498</v>
      </c>
      <c r="O143" s="543"/>
      <c r="P143" s="392"/>
      <c r="Q143" s="195"/>
      <c r="R143" s="392"/>
      <c r="S143" s="162"/>
      <c r="T143" s="162"/>
    </row>
    <row r="144" spans="1:20" x14ac:dyDescent="0.2">
      <c r="A144" s="2" t="s">
        <v>227</v>
      </c>
      <c r="C144" s="30"/>
      <c r="D144" s="35"/>
      <c r="E144" s="28"/>
      <c r="F144" s="407"/>
      <c r="G144" s="392"/>
      <c r="H144" s="569" t="s">
        <v>227</v>
      </c>
      <c r="I144" s="29"/>
      <c r="J144" s="280"/>
      <c r="K144" s="46"/>
      <c r="L144" s="1028"/>
      <c r="M144" s="46"/>
      <c r="N144" s="1028"/>
      <c r="O144" s="543"/>
      <c r="P144" s="392"/>
      <c r="Q144" s="195"/>
      <c r="R144" s="392"/>
      <c r="S144" s="162"/>
      <c r="T144" s="162"/>
    </row>
    <row r="145" spans="1:20" x14ac:dyDescent="0.2">
      <c r="A145" s="3" t="s">
        <v>24</v>
      </c>
      <c r="C145" s="30">
        <f>T15</f>
        <v>69550</v>
      </c>
      <c r="D145" s="35">
        <f>V29</f>
        <v>0.375</v>
      </c>
      <c r="E145" s="28">
        <f>C145*D145</f>
        <v>26081.25</v>
      </c>
      <c r="F145" s="407"/>
      <c r="G145" s="392"/>
      <c r="H145" s="570" t="s">
        <v>24</v>
      </c>
      <c r="I145" s="29"/>
      <c r="J145" s="280">
        <f>J101</f>
        <v>69550</v>
      </c>
      <c r="K145" s="46">
        <v>0.375</v>
      </c>
      <c r="L145" s="1028">
        <f>$J$145*K145</f>
        <v>26081.25</v>
      </c>
      <c r="M145" s="195">
        <f>$K$145+(0.5*$I$140/40)</f>
        <v>0.5625</v>
      </c>
      <c r="N145" s="1028">
        <f>$J$145*M145</f>
        <v>39121.875</v>
      </c>
      <c r="O145" s="543"/>
      <c r="P145" s="392"/>
      <c r="Q145" s="195"/>
      <c r="R145" s="392"/>
      <c r="S145" s="162"/>
      <c r="T145" s="162"/>
    </row>
    <row r="146" spans="1:20" x14ac:dyDescent="0.2">
      <c r="A146" s="2" t="s">
        <v>5</v>
      </c>
      <c r="C146" s="30"/>
      <c r="D146" s="35"/>
      <c r="E146" s="28"/>
      <c r="F146" s="407"/>
      <c r="G146" s="392"/>
      <c r="H146" s="569" t="s">
        <v>5</v>
      </c>
      <c r="I146" s="29"/>
      <c r="J146" s="280"/>
      <c r="K146" s="46"/>
      <c r="L146" s="1028"/>
      <c r="M146" s="195"/>
      <c r="N146" s="1028"/>
      <c r="O146" s="543"/>
      <c r="P146" s="392"/>
      <c r="Q146" s="195"/>
      <c r="R146" s="392"/>
      <c r="S146" s="162"/>
      <c r="T146" s="162"/>
    </row>
    <row r="147" spans="1:20" x14ac:dyDescent="0.2">
      <c r="A147" s="3" t="s">
        <v>26</v>
      </c>
      <c r="C147" s="282">
        <f>T17</f>
        <v>53770</v>
      </c>
      <c r="D147" s="283">
        <f>V31</f>
        <v>1</v>
      </c>
      <c r="E147" s="28">
        <f>C147*D147</f>
        <v>53770</v>
      </c>
      <c r="F147" s="407"/>
      <c r="G147" s="392"/>
      <c r="H147" s="570" t="s">
        <v>26</v>
      </c>
      <c r="I147" s="29"/>
      <c r="J147" s="280">
        <f>J103</f>
        <v>53770</v>
      </c>
      <c r="K147" s="195">
        <v>1</v>
      </c>
      <c r="L147" s="1028">
        <f>$J$147*K147</f>
        <v>53770</v>
      </c>
      <c r="M147" s="195">
        <v>2</v>
      </c>
      <c r="N147" s="1028">
        <f>$J$147*M147</f>
        <v>107540</v>
      </c>
      <c r="O147" s="543"/>
      <c r="P147" s="392"/>
      <c r="Q147" s="195"/>
      <c r="R147" s="392"/>
      <c r="S147" s="162"/>
      <c r="T147" s="162"/>
    </row>
    <row r="148" spans="1:20" x14ac:dyDescent="0.2">
      <c r="A148" s="3" t="s">
        <v>59</v>
      </c>
      <c r="C148" s="282">
        <f>T18</f>
        <v>47586</v>
      </c>
      <c r="D148" s="283">
        <f>V32</f>
        <v>1.5</v>
      </c>
      <c r="E148" s="28">
        <f>C148*D148</f>
        <v>71379</v>
      </c>
      <c r="F148" s="407"/>
      <c r="G148" s="392"/>
      <c r="H148" s="570" t="s">
        <v>59</v>
      </c>
      <c r="I148" s="29"/>
      <c r="J148" s="280">
        <f>J104</f>
        <v>47586</v>
      </c>
      <c r="K148" s="195">
        <v>1.5</v>
      </c>
      <c r="L148" s="1028">
        <f>$J$148*K148</f>
        <v>71379</v>
      </c>
      <c r="M148" s="195">
        <v>1.5</v>
      </c>
      <c r="N148" s="1028">
        <f>$J$148*M148</f>
        <v>71379</v>
      </c>
      <c r="O148" s="543"/>
      <c r="P148" s="392"/>
      <c r="Q148" s="195"/>
      <c r="R148" s="392"/>
      <c r="S148" s="162"/>
      <c r="T148" s="162"/>
    </row>
    <row r="149" spans="1:20" x14ac:dyDescent="0.2">
      <c r="A149" s="3" t="s">
        <v>30</v>
      </c>
      <c r="C149" s="282">
        <f>T19</f>
        <v>31369</v>
      </c>
      <c r="D149" s="283">
        <f>V33</f>
        <v>17</v>
      </c>
      <c r="E149" s="28">
        <f>C149*D149</f>
        <v>533273</v>
      </c>
      <c r="F149" s="407"/>
      <c r="G149" s="645"/>
      <c r="H149" s="570" t="s">
        <v>30</v>
      </c>
      <c r="I149" s="29"/>
      <c r="J149" s="280">
        <f>J105</f>
        <v>31369</v>
      </c>
      <c r="K149" s="195">
        <v>17</v>
      </c>
      <c r="L149" s="1028">
        <f>$J$149*K149</f>
        <v>533273</v>
      </c>
      <c r="M149" s="195">
        <v>17</v>
      </c>
      <c r="N149" s="1028">
        <f>$J$149*M149</f>
        <v>533273</v>
      </c>
      <c r="O149" s="543"/>
      <c r="P149" s="392"/>
      <c r="Q149" s="195"/>
      <c r="R149" s="392"/>
      <c r="S149" s="162"/>
      <c r="T149" s="162"/>
    </row>
    <row r="150" spans="1:20" x14ac:dyDescent="0.2">
      <c r="A150" s="4" t="s">
        <v>31</v>
      </c>
      <c r="C150" s="282">
        <f>T20</f>
        <v>31369</v>
      </c>
      <c r="D150" s="283">
        <f>V34</f>
        <v>2.6807692307692306</v>
      </c>
      <c r="E150" s="28">
        <f>C150*D150</f>
        <v>84093.049999999988</v>
      </c>
      <c r="F150" s="407"/>
      <c r="G150" s="392"/>
      <c r="H150" s="571" t="s">
        <v>31</v>
      </c>
      <c r="I150" s="29"/>
      <c r="J150" s="280">
        <f>J106</f>
        <v>31369</v>
      </c>
      <c r="K150" s="195">
        <v>2.6807692307692306</v>
      </c>
      <c r="L150" s="1028">
        <f>$J$150*K150</f>
        <v>84093.049999999988</v>
      </c>
      <c r="M150" s="195">
        <f>SUM(M149)*T10</f>
        <v>2.6807692307692306</v>
      </c>
      <c r="N150" s="1028">
        <f>$J$150*M150</f>
        <v>84093.049999999988</v>
      </c>
      <c r="O150" s="543"/>
      <c r="P150" s="392"/>
      <c r="Q150" s="195"/>
      <c r="R150" s="392"/>
      <c r="S150" s="162"/>
      <c r="T150" s="162"/>
    </row>
    <row r="151" spans="1:20" x14ac:dyDescent="0.2">
      <c r="A151" s="2" t="s">
        <v>6</v>
      </c>
      <c r="C151" s="282"/>
      <c r="D151" s="283"/>
      <c r="E151" s="28"/>
      <c r="F151" s="131"/>
      <c r="G151" s="392"/>
      <c r="H151" s="569" t="s">
        <v>6</v>
      </c>
      <c r="I151" s="29"/>
      <c r="J151" s="280"/>
      <c r="K151" s="195"/>
      <c r="L151" s="1028"/>
      <c r="M151" s="195"/>
      <c r="N151" s="1028"/>
      <c r="O151" s="543"/>
      <c r="P151" s="392"/>
      <c r="Q151" s="195"/>
      <c r="R151" s="392"/>
      <c r="S151" s="162"/>
      <c r="T151" s="162"/>
    </row>
    <row r="152" spans="1:20" x14ac:dyDescent="0.2">
      <c r="A152" s="3" t="s">
        <v>32</v>
      </c>
      <c r="C152" s="30">
        <f>T22</f>
        <v>31369</v>
      </c>
      <c r="D152" s="35">
        <f>V36</f>
        <v>0.5</v>
      </c>
      <c r="E152" s="28">
        <f>C152*D152</f>
        <v>15684.5</v>
      </c>
      <c r="F152" s="131"/>
      <c r="G152" s="392"/>
      <c r="H152" s="570" t="s">
        <v>32</v>
      </c>
      <c r="I152" s="29"/>
      <c r="J152" s="40">
        <f>J108</f>
        <v>31369</v>
      </c>
      <c r="K152" s="46">
        <v>0.5</v>
      </c>
      <c r="L152" s="1028">
        <f>$J$152*K152</f>
        <v>15684.5</v>
      </c>
      <c r="M152" s="46">
        <v>0.5</v>
      </c>
      <c r="N152" s="1028">
        <f>$J$152*M152</f>
        <v>15684.5</v>
      </c>
      <c r="O152" s="543"/>
      <c r="P152" s="392"/>
      <c r="Q152" s="195"/>
      <c r="R152" s="392"/>
      <c r="S152" s="162"/>
      <c r="T152" s="162"/>
    </row>
    <row r="153" spans="1:20" x14ac:dyDescent="0.2">
      <c r="A153" s="31" t="s">
        <v>7</v>
      </c>
      <c r="B153" s="31"/>
      <c r="C153" s="31"/>
      <c r="D153" s="32">
        <f>SUM(D143:D152)</f>
        <v>25.055769230769229</v>
      </c>
      <c r="E153" s="33">
        <f>SUM(E143:E152)</f>
        <v>896778.8</v>
      </c>
      <c r="F153" s="131"/>
      <c r="G153" s="393"/>
      <c r="H153" s="572" t="s">
        <v>7</v>
      </c>
      <c r="I153" s="31"/>
      <c r="J153" s="31"/>
      <c r="K153" s="32">
        <f>SUM(K143:K152)</f>
        <v>25.055769230769229</v>
      </c>
      <c r="L153" s="33">
        <f>SUM(L143:L152)</f>
        <v>896778.8</v>
      </c>
      <c r="M153" s="32">
        <f>SUM(M143:M152)</f>
        <v>26.243269230769229</v>
      </c>
      <c r="N153" s="33">
        <f>SUM(N143:N152)</f>
        <v>963589.42500000005</v>
      </c>
      <c r="O153" s="544"/>
      <c r="P153" s="393"/>
      <c r="Q153" s="1356"/>
      <c r="R153" s="393"/>
      <c r="S153" s="162"/>
      <c r="T153" s="162"/>
    </row>
    <row r="154" spans="1:20" x14ac:dyDescent="0.2">
      <c r="F154" s="131"/>
      <c r="G154" s="162"/>
      <c r="H154" s="131"/>
      <c r="I154" s="29"/>
      <c r="J154" s="29"/>
      <c r="K154" s="29"/>
      <c r="L154" s="29"/>
      <c r="M154" s="29"/>
      <c r="N154" s="29"/>
      <c r="O154" s="407"/>
      <c r="P154" s="162"/>
      <c r="Q154" s="162"/>
      <c r="R154" s="162"/>
      <c r="S154" s="162"/>
      <c r="T154" s="162"/>
    </row>
    <row r="155" spans="1:20" x14ac:dyDescent="0.2">
      <c r="A155" s="25" t="s">
        <v>21</v>
      </c>
      <c r="D155" s="25" t="s">
        <v>20</v>
      </c>
      <c r="F155" s="131"/>
      <c r="G155" s="162"/>
      <c r="H155" s="512" t="s">
        <v>21</v>
      </c>
      <c r="I155" s="29"/>
      <c r="J155" s="29"/>
      <c r="K155" s="120" t="s">
        <v>20</v>
      </c>
      <c r="L155" s="29"/>
      <c r="M155" s="120" t="s">
        <v>20</v>
      </c>
      <c r="N155" s="29"/>
      <c r="O155" s="407"/>
      <c r="P155" s="162"/>
      <c r="Q155" s="391"/>
      <c r="R155" s="162"/>
      <c r="S155" s="162"/>
      <c r="T155" s="162"/>
    </row>
    <row r="156" spans="1:20" x14ac:dyDescent="0.2">
      <c r="A156" s="23" t="s">
        <v>22</v>
      </c>
      <c r="C156" s="97">
        <f>$T$39</f>
        <v>0.23424901786252411</v>
      </c>
      <c r="E156" s="28">
        <f>C156*E153</f>
        <v>210069.55313993295</v>
      </c>
      <c r="F156" s="131"/>
      <c r="G156" s="392"/>
      <c r="H156" s="131" t="s">
        <v>22</v>
      </c>
      <c r="I156" s="29"/>
      <c r="J156" s="573">
        <f>$T$39</f>
        <v>0.23424901786252411</v>
      </c>
      <c r="K156" s="29"/>
      <c r="L156" s="1028">
        <f>$J$156*L153</f>
        <v>210069.55313993295</v>
      </c>
      <c r="M156" s="29"/>
      <c r="N156" s="1028">
        <f>$J$156*N153</f>
        <v>225719.87642896434</v>
      </c>
      <c r="O156" s="543"/>
      <c r="P156" s="392"/>
      <c r="Q156" s="162"/>
      <c r="R156" s="392"/>
      <c r="S156" s="162"/>
      <c r="T156" s="162"/>
    </row>
    <row r="157" spans="1:20" x14ac:dyDescent="0.2">
      <c r="A157" s="31" t="s">
        <v>51</v>
      </c>
      <c r="B157" s="31"/>
      <c r="C157" s="31"/>
      <c r="D157" s="70">
        <f>E157/E140</f>
        <v>202.16408276528455</v>
      </c>
      <c r="E157" s="33">
        <f>E156+E153</f>
        <v>1106848.353139933</v>
      </c>
      <c r="F157" s="131"/>
      <c r="G157" s="393"/>
      <c r="H157" s="572" t="s">
        <v>51</v>
      </c>
      <c r="I157" s="31"/>
      <c r="J157" s="31"/>
      <c r="K157" s="70">
        <f>L157/L140</f>
        <v>202.16408276528455</v>
      </c>
      <c r="L157" s="33">
        <f>L156+L153</f>
        <v>1106848.353139933</v>
      </c>
      <c r="M157" s="70">
        <f>N157/N140</f>
        <v>217.22544318337248</v>
      </c>
      <c r="N157" s="33">
        <f>N156+N153</f>
        <v>1189309.3014289644</v>
      </c>
      <c r="O157" s="544"/>
      <c r="P157" s="393"/>
      <c r="Q157" s="1357"/>
      <c r="R157" s="393"/>
      <c r="S157" s="162"/>
      <c r="T157" s="162"/>
    </row>
    <row r="158" spans="1:20" x14ac:dyDescent="0.2">
      <c r="F158" s="131"/>
      <c r="G158" s="162"/>
      <c r="H158" s="131"/>
      <c r="I158" s="29"/>
      <c r="J158" s="29"/>
      <c r="K158" s="29"/>
      <c r="L158" s="29"/>
      <c r="M158" s="29"/>
      <c r="N158" s="29"/>
      <c r="O158" s="407"/>
      <c r="P158" s="162"/>
      <c r="Q158" s="162"/>
      <c r="R158" s="162"/>
      <c r="S158" s="162"/>
      <c r="T158" s="162"/>
    </row>
    <row r="159" spans="1:20" x14ac:dyDescent="0.2">
      <c r="A159" s="23" t="s">
        <v>39</v>
      </c>
      <c r="D159" s="71">
        <f>$T$41</f>
        <v>25.05</v>
      </c>
      <c r="E159" s="71">
        <f>D159*E140</f>
        <v>137148.75</v>
      </c>
      <c r="F159" s="131"/>
      <c r="G159" s="394"/>
      <c r="H159" s="131" t="s">
        <v>39</v>
      </c>
      <c r="I159" s="29"/>
      <c r="J159" s="29"/>
      <c r="K159" s="61">
        <f>$T$41</f>
        <v>25.05</v>
      </c>
      <c r="L159" s="61">
        <f>K159*L140</f>
        <v>137148.75</v>
      </c>
      <c r="M159" s="61">
        <f>$T$41</f>
        <v>25.05</v>
      </c>
      <c r="N159" s="61">
        <f>M159*N140</f>
        <v>137148.75</v>
      </c>
      <c r="O159" s="376"/>
      <c r="P159" s="394"/>
      <c r="Q159" s="394"/>
      <c r="R159" s="394"/>
      <c r="S159" s="162"/>
      <c r="T159" s="162"/>
    </row>
    <row r="160" spans="1:20" x14ac:dyDescent="0.2">
      <c r="A160" s="29" t="s">
        <v>40</v>
      </c>
      <c r="D160" s="71">
        <f>$T$42</f>
        <v>18.55</v>
      </c>
      <c r="E160" s="71">
        <f>D160*E140</f>
        <v>101561.25</v>
      </c>
      <c r="F160" s="407"/>
      <c r="G160" s="394"/>
      <c r="H160" s="131" t="s">
        <v>40</v>
      </c>
      <c r="I160" s="29"/>
      <c r="J160" s="29"/>
      <c r="K160" s="61">
        <f>$T$42</f>
        <v>18.55</v>
      </c>
      <c r="L160" s="61">
        <f>K160*L140</f>
        <v>101561.25</v>
      </c>
      <c r="M160" s="61">
        <f>$T$42</f>
        <v>18.55</v>
      </c>
      <c r="N160" s="61">
        <f>M160*N140</f>
        <v>101561.25</v>
      </c>
      <c r="O160" s="376"/>
      <c r="P160" s="394"/>
      <c r="Q160" s="394"/>
      <c r="R160" s="394"/>
      <c r="S160" s="162"/>
      <c r="T160" s="162"/>
    </row>
    <row r="161" spans="1:20" x14ac:dyDescent="0.2">
      <c r="A161" s="29" t="s">
        <v>41</v>
      </c>
      <c r="D161" s="71">
        <f>$T$43</f>
        <v>2.2839999999999998</v>
      </c>
      <c r="E161" s="71">
        <f>D161*E140</f>
        <v>12504.9</v>
      </c>
      <c r="F161" s="407"/>
      <c r="G161" s="394"/>
      <c r="H161" s="131" t="s">
        <v>41</v>
      </c>
      <c r="I161" s="29"/>
      <c r="J161" s="29"/>
      <c r="K161" s="61">
        <f>$T$43</f>
        <v>2.2839999999999998</v>
      </c>
      <c r="L161" s="61">
        <f>K161*L140</f>
        <v>12504.9</v>
      </c>
      <c r="M161" s="61">
        <f>$T$43</f>
        <v>2.2839999999999998</v>
      </c>
      <c r="N161" s="61">
        <f>M161*N140</f>
        <v>12504.9</v>
      </c>
      <c r="O161" s="376"/>
      <c r="P161" s="394"/>
      <c r="Q161" s="394"/>
      <c r="R161" s="394"/>
      <c r="S161" s="162"/>
      <c r="T161" s="162"/>
    </row>
    <row r="162" spans="1:20" x14ac:dyDescent="0.2">
      <c r="A162" s="29" t="s">
        <v>42</v>
      </c>
      <c r="D162" s="71">
        <f>$T$44</f>
        <v>-2</v>
      </c>
      <c r="E162" s="71">
        <f>D162*E140</f>
        <v>-10950</v>
      </c>
      <c r="F162" s="131"/>
      <c r="G162" s="394"/>
      <c r="H162" s="131" t="s">
        <v>42</v>
      </c>
      <c r="I162" s="29"/>
      <c r="J162" s="29"/>
      <c r="K162" s="61">
        <f>$T$44</f>
        <v>-2</v>
      </c>
      <c r="L162" s="61">
        <f>K162*L140</f>
        <v>-10950</v>
      </c>
      <c r="M162" s="61">
        <f>$T$44</f>
        <v>-2</v>
      </c>
      <c r="N162" s="61">
        <f>M162*N140</f>
        <v>-10950</v>
      </c>
      <c r="O162" s="376"/>
      <c r="P162" s="394"/>
      <c r="Q162" s="394"/>
      <c r="R162" s="394"/>
      <c r="S162" s="162"/>
      <c r="T162" s="162"/>
    </row>
    <row r="163" spans="1:20" x14ac:dyDescent="0.2">
      <c r="D163" s="72">
        <f>SUM(D159:D162)</f>
        <v>43.884</v>
      </c>
      <c r="F163" s="131"/>
      <c r="G163" s="162"/>
      <c r="H163" s="131"/>
      <c r="I163" s="29"/>
      <c r="J163" s="29"/>
      <c r="K163" s="72">
        <f>SUM(K159:K162)</f>
        <v>43.884</v>
      </c>
      <c r="L163" s="29"/>
      <c r="M163" s="72">
        <f>SUM(M159:M162)</f>
        <v>43.884</v>
      </c>
      <c r="N163" s="29"/>
      <c r="O163" s="407"/>
      <c r="P163" s="162"/>
      <c r="Q163" s="1357"/>
      <c r="R163" s="162"/>
      <c r="S163" s="162"/>
      <c r="T163" s="162"/>
    </row>
    <row r="164" spans="1:20" x14ac:dyDescent="0.2">
      <c r="F164" s="131"/>
      <c r="G164" s="162"/>
      <c r="H164" s="131"/>
      <c r="I164" s="29"/>
      <c r="J164" s="29"/>
      <c r="K164" s="29"/>
      <c r="L164" s="29"/>
      <c r="M164" s="29"/>
      <c r="N164" s="29"/>
      <c r="O164" s="407"/>
      <c r="P164" s="162"/>
      <c r="Q164" s="162"/>
      <c r="R164" s="162"/>
      <c r="S164" s="162"/>
      <c r="T164" s="162"/>
    </row>
    <row r="165" spans="1:20" x14ac:dyDescent="0.2">
      <c r="A165" s="31" t="s">
        <v>43</v>
      </c>
      <c r="B165" s="31"/>
      <c r="C165" s="31"/>
      <c r="D165" s="31"/>
      <c r="E165" s="33">
        <f>SUM(E157:E162)</f>
        <v>1347113.2531399329</v>
      </c>
      <c r="F165" s="131"/>
      <c r="G165" s="393"/>
      <c r="H165" s="572" t="s">
        <v>43</v>
      </c>
      <c r="I165" s="31"/>
      <c r="J165" s="31"/>
      <c r="K165" s="31"/>
      <c r="L165" s="33">
        <f>SUM(L157:L162)</f>
        <v>1347113.2531399329</v>
      </c>
      <c r="M165" s="31"/>
      <c r="N165" s="33">
        <f>SUM(N157:N162)</f>
        <v>1429574.2014289643</v>
      </c>
      <c r="O165" s="544"/>
      <c r="P165" s="393"/>
      <c r="Q165" s="391"/>
      <c r="R165" s="393"/>
      <c r="S165" s="162"/>
      <c r="T165" s="392"/>
    </row>
    <row r="166" spans="1:20" x14ac:dyDescent="0.2">
      <c r="F166" s="131"/>
      <c r="G166" s="162"/>
      <c r="H166" s="131"/>
      <c r="I166" s="29"/>
      <c r="J166" s="29"/>
      <c r="K166" s="29"/>
      <c r="L166" s="29"/>
      <c r="M166" s="29"/>
      <c r="N166" s="29"/>
      <c r="O166" s="407"/>
      <c r="P166" s="162"/>
      <c r="Q166" s="162"/>
      <c r="R166" s="162"/>
      <c r="S166" s="162"/>
      <c r="T166" s="162"/>
    </row>
    <row r="167" spans="1:20" x14ac:dyDescent="0.2">
      <c r="A167" s="23" t="s">
        <v>44</v>
      </c>
      <c r="C167" s="97">
        <f>$T$47</f>
        <v>0.11846733793705286</v>
      </c>
      <c r="E167" s="28">
        <f>C167*E165</f>
        <v>159588.92099921106</v>
      </c>
      <c r="F167" s="131"/>
      <c r="G167" s="392"/>
      <c r="H167" s="131" t="s">
        <v>44</v>
      </c>
      <c r="I167" s="29"/>
      <c r="J167" s="573">
        <f>$T$47</f>
        <v>0.11846733793705286</v>
      </c>
      <c r="K167" s="29"/>
      <c r="L167" s="1028">
        <f>$J$167*L165</f>
        <v>159588.92099921106</v>
      </c>
      <c r="M167" s="29"/>
      <c r="N167" s="1028">
        <f>$J$167*N165</f>
        <v>169357.8500267776</v>
      </c>
      <c r="O167" s="543"/>
      <c r="P167" s="392"/>
      <c r="Q167" s="162"/>
      <c r="R167" s="392"/>
      <c r="S167" s="162"/>
      <c r="T167" s="162"/>
    </row>
    <row r="168" spans="1:20" x14ac:dyDescent="0.2">
      <c r="F168" s="407"/>
      <c r="G168" s="162"/>
      <c r="H168" s="131"/>
      <c r="I168" s="29"/>
      <c r="J168" s="29"/>
      <c r="K168" s="29"/>
      <c r="L168" s="29"/>
      <c r="M168" s="29"/>
      <c r="N168" s="29"/>
      <c r="O168" s="407"/>
      <c r="P168" s="162"/>
      <c r="Q168" s="162"/>
      <c r="R168" s="162"/>
      <c r="S168" s="162"/>
      <c r="T168" s="162"/>
    </row>
    <row r="169" spans="1:20" ht="13.5" thickBot="1" x14ac:dyDescent="0.25">
      <c r="A169" s="73" t="s">
        <v>52</v>
      </c>
      <c r="B169" s="74"/>
      <c r="C169" s="74"/>
      <c r="D169" s="74"/>
      <c r="E169" s="75">
        <f>SUM(E165:E167)</f>
        <v>1506702.1741391439</v>
      </c>
      <c r="F169" s="407"/>
      <c r="G169" s="393"/>
      <c r="H169" s="574" t="s">
        <v>52</v>
      </c>
      <c r="I169" s="74"/>
      <c r="J169" s="74"/>
      <c r="K169" s="74"/>
      <c r="L169" s="75">
        <f>SUM(L165:L167)</f>
        <v>1506702.1741391439</v>
      </c>
      <c r="M169" s="74"/>
      <c r="N169" s="75">
        <f>SUM(N165:N167)</f>
        <v>1598932.0514557417</v>
      </c>
      <c r="O169" s="545">
        <f>N169</f>
        <v>1598932.0514557417</v>
      </c>
      <c r="P169" s="393"/>
      <c r="Q169" s="162"/>
      <c r="R169" s="393"/>
      <c r="S169" s="162"/>
      <c r="T169" s="162"/>
    </row>
    <row r="170" spans="1:20" ht="13.5" thickTop="1" x14ac:dyDescent="0.2">
      <c r="F170" s="407"/>
      <c r="G170" s="162"/>
      <c r="H170" s="131"/>
      <c r="I170" s="29"/>
      <c r="J170" s="29"/>
      <c r="K170" s="29"/>
      <c r="L170" s="29"/>
      <c r="M170" s="29"/>
      <c r="N170" s="29"/>
      <c r="O170" s="407"/>
      <c r="P170" s="162"/>
      <c r="Q170" s="162"/>
      <c r="R170" s="162"/>
      <c r="S170" s="162"/>
      <c r="T170" s="162"/>
    </row>
    <row r="171" spans="1:20" x14ac:dyDescent="0.2">
      <c r="A171" s="23" t="s">
        <v>53</v>
      </c>
      <c r="C171" s="98"/>
      <c r="E171" s="77">
        <f>E169*(1+C171)</f>
        <v>1506702.1741391439</v>
      </c>
      <c r="F171" s="407"/>
      <c r="G171" s="396"/>
      <c r="H171" s="131"/>
      <c r="I171" s="29"/>
      <c r="J171" s="575"/>
      <c r="K171" s="29"/>
      <c r="L171" s="1029">
        <f>L169*(1+$J$171)</f>
        <v>1506702.1741391439</v>
      </c>
      <c r="M171" s="29"/>
      <c r="N171" s="1029">
        <f>N169*(1+$J$171)</f>
        <v>1598932.0514557417</v>
      </c>
      <c r="O171" s="546">
        <f>O169*(1+$J$171)</f>
        <v>1598932.0514557417</v>
      </c>
      <c r="P171" s="396"/>
      <c r="Q171" s="162"/>
      <c r="R171" s="396"/>
      <c r="S171" s="162"/>
      <c r="T171" s="162"/>
    </row>
    <row r="172" spans="1:20" s="281" customFormat="1" x14ac:dyDescent="0.2">
      <c r="F172" s="1047"/>
      <c r="G172" s="162"/>
      <c r="H172" s="1036"/>
      <c r="I172" s="162"/>
      <c r="J172" s="280"/>
      <c r="K172" s="195"/>
      <c r="L172" s="392"/>
      <c r="M172" s="195"/>
      <c r="N172" s="392"/>
      <c r="O172" s="1047"/>
      <c r="P172" s="162"/>
      <c r="Q172" s="162"/>
      <c r="R172" s="162"/>
      <c r="S172" s="162"/>
      <c r="T172" s="162"/>
    </row>
    <row r="173" spans="1:20" x14ac:dyDescent="0.2">
      <c r="E173" s="92" t="s">
        <v>56</v>
      </c>
      <c r="F173" s="407"/>
      <c r="G173" s="397"/>
      <c r="H173" s="131"/>
      <c r="I173" s="29"/>
      <c r="J173" s="29"/>
      <c r="K173" s="29"/>
      <c r="L173" s="753" t="s">
        <v>789</v>
      </c>
      <c r="M173" s="29"/>
      <c r="N173" s="753" t="s">
        <v>789</v>
      </c>
      <c r="O173" s="753" t="s">
        <v>789</v>
      </c>
      <c r="P173" s="397"/>
      <c r="Q173" s="162"/>
      <c r="R173" s="397"/>
      <c r="S173" s="162"/>
      <c r="T173" s="162"/>
    </row>
    <row r="174" spans="1:20" x14ac:dyDescent="0.2">
      <c r="A174" s="23" t="s">
        <v>55</v>
      </c>
      <c r="D174" s="76">
        <f>E169/E140</f>
        <v>275.19674413500343</v>
      </c>
      <c r="E174" s="76">
        <f>D174*(1+C171)</f>
        <v>275.19674413500343</v>
      </c>
      <c r="F174" s="407"/>
      <c r="G174" s="396"/>
      <c r="H174" s="131" t="s">
        <v>55</v>
      </c>
      <c r="I174" s="29"/>
      <c r="J174" s="29"/>
      <c r="K174" s="428">
        <f>L169/L140</f>
        <v>275.19674413500343</v>
      </c>
      <c r="L174" s="428">
        <f>K174*(1+$J$171)</f>
        <v>275.19674413500343</v>
      </c>
      <c r="M174" s="428">
        <f>N169/N140</f>
        <v>292.04238382753272</v>
      </c>
      <c r="N174" s="428">
        <f>M174*(1+$J$171)</f>
        <v>292.04238382753272</v>
      </c>
      <c r="O174" s="546">
        <f>O171/12</f>
        <v>133244.3376213118</v>
      </c>
      <c r="P174" s="396"/>
      <c r="Q174" s="398"/>
      <c r="R174" s="398"/>
      <c r="S174" s="162"/>
      <c r="T174" s="162"/>
    </row>
    <row r="175" spans="1:20" x14ac:dyDescent="0.2">
      <c r="A175" s="377" t="s">
        <v>455</v>
      </c>
      <c r="B175" s="378"/>
      <c r="C175" s="379"/>
      <c r="D175" s="380"/>
      <c r="E175" s="380"/>
      <c r="F175" s="412">
        <f>E174*(1+C175)</f>
        <v>275.19674413500343</v>
      </c>
      <c r="G175" s="647"/>
      <c r="H175" s="806" t="s">
        <v>762</v>
      </c>
      <c r="I175" s="162"/>
      <c r="J175" s="1026"/>
      <c r="K175" s="398"/>
      <c r="L175" s="398">
        <f>L174*(1+$J$175)</f>
        <v>275.19674413500343</v>
      </c>
      <c r="M175" s="398"/>
      <c r="N175" s="398">
        <f>N174*(1+$J$175)</f>
        <v>292.04238382753272</v>
      </c>
      <c r="O175" s="1057">
        <f>ROUND(O174*(1+$J$175),0)</f>
        <v>133244</v>
      </c>
      <c r="P175" s="647"/>
      <c r="Q175" s="398"/>
      <c r="R175" s="398"/>
      <c r="S175" s="162"/>
      <c r="T175" s="162"/>
    </row>
    <row r="176" spans="1:20" ht="13.5" thickBot="1" x14ac:dyDescent="0.25">
      <c r="A176" s="78" t="s">
        <v>54</v>
      </c>
      <c r="B176" s="79">
        <v>0.9</v>
      </c>
      <c r="C176" s="80"/>
      <c r="D176" s="86">
        <f>E169/(E140*B176)</f>
        <v>305.77416015000381</v>
      </c>
      <c r="E176" s="87">
        <f>D176*(1+C171)</f>
        <v>305.77416015000381</v>
      </c>
      <c r="F176" s="388"/>
      <c r="G176" s="416"/>
      <c r="H176" s="1031" t="s">
        <v>54</v>
      </c>
      <c r="I176" s="1032">
        <v>0.9</v>
      </c>
      <c r="J176" s="1033"/>
      <c r="K176" s="1034"/>
      <c r="L176" s="1034"/>
      <c r="M176" s="1034"/>
      <c r="N176" s="1358">
        <f>N175/I176</f>
        <v>324.49153758614744</v>
      </c>
      <c r="O176" s="1035"/>
      <c r="P176" s="416"/>
      <c r="Q176" s="1355"/>
      <c r="R176" s="1129"/>
      <c r="S176" s="162"/>
      <c r="T176" s="162"/>
    </row>
    <row r="177" spans="1:20" ht="13.5" thickBot="1" x14ac:dyDescent="0.25">
      <c r="A177" s="474"/>
      <c r="B177" s="475">
        <v>0.85</v>
      </c>
      <c r="C177" s="476"/>
      <c r="D177" s="389">
        <f>E169/(E140*B177)</f>
        <v>323.76087545294524</v>
      </c>
      <c r="E177" s="478">
        <f>D177*(1+C171)</f>
        <v>323.76087545294524</v>
      </c>
      <c r="F177" s="666">
        <f>F175/B177</f>
        <v>323.76087545294524</v>
      </c>
      <c r="G177" s="416"/>
      <c r="H177" s="1366" t="s">
        <v>761</v>
      </c>
      <c r="I177" s="1367"/>
      <c r="J177" s="1368">
        <f>T49</f>
        <v>2.3900000000000001E-2</v>
      </c>
      <c r="K177" s="1087"/>
      <c r="L177" s="1087"/>
      <c r="M177" s="1087"/>
      <c r="N177" s="1359">
        <f>N176*(J177+1)</f>
        <v>332.24688533445635</v>
      </c>
      <c r="O177" s="416"/>
      <c r="P177" s="416"/>
      <c r="Q177" s="1130"/>
      <c r="R177" s="1131"/>
      <c r="S177" s="162"/>
      <c r="T177" s="1058"/>
    </row>
    <row r="178" spans="1:20" x14ac:dyDescent="0.2">
      <c r="A178" s="368"/>
      <c r="B178" s="369">
        <v>0.8</v>
      </c>
      <c r="C178" s="370"/>
      <c r="D178" s="371">
        <f>E169/(E140*B178)</f>
        <v>343.99593016875434</v>
      </c>
      <c r="E178" s="375">
        <f>D178*(1+C171)</f>
        <v>343.99593016875434</v>
      </c>
      <c r="F178" s="387"/>
      <c r="G178" s="416"/>
      <c r="H178" s="162"/>
      <c r="I178" s="415"/>
      <c r="J178" s="162"/>
      <c r="K178" s="389"/>
      <c r="L178" s="389"/>
      <c r="M178" s="389"/>
      <c r="N178" s="389"/>
      <c r="O178" s="416"/>
      <c r="P178" s="416"/>
    </row>
    <row r="179" spans="1:20" x14ac:dyDescent="0.2">
      <c r="H179" s="285"/>
      <c r="I179" s="162"/>
      <c r="J179" s="280"/>
      <c r="K179" s="195"/>
      <c r="L179" s="392"/>
      <c r="M179" s="195"/>
      <c r="N179" s="392"/>
      <c r="O179" s="29"/>
    </row>
    <row r="181" spans="1:20" x14ac:dyDescent="0.2">
      <c r="Q181" s="483"/>
    </row>
  </sheetData>
  <customSheetViews>
    <customSheetView guid="{C4FB04C2-CA74-4980-BD95-4B9444F5E469}" scale="85" showRuler="0" topLeftCell="A24">
      <selection activeCell="J45" sqref="J45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 topLeftCell="A49">
      <selection activeCell="Q27" sqref="Q27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 topLeftCell="A49">
      <selection activeCell="Q27" sqref="Q27"/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 topLeftCell="A10">
      <selection activeCell="F34" sqref="F34"/>
      <pageMargins left="0.7" right="0.7" top="0.75" bottom="0.75" header="0.3" footer="0.3"/>
      <pageSetup orientation="portrait" verticalDpi="0" r:id="rId4"/>
    </customSheetView>
  </customSheetViews>
  <mergeCells count="24">
    <mergeCell ref="Q138:R139"/>
    <mergeCell ref="H5:O5"/>
    <mergeCell ref="M50:N51"/>
    <mergeCell ref="M94:N95"/>
    <mergeCell ref="M138:N139"/>
    <mergeCell ref="H50:L51"/>
    <mergeCell ref="H94:L95"/>
    <mergeCell ref="H138:L139"/>
    <mergeCell ref="A94:E95"/>
    <mergeCell ref="A138:E139"/>
    <mergeCell ref="R1:V1"/>
    <mergeCell ref="S3:T3"/>
    <mergeCell ref="F6:F7"/>
    <mergeCell ref="F50:F51"/>
    <mergeCell ref="F94:F95"/>
    <mergeCell ref="F138:F139"/>
    <mergeCell ref="A6:E7"/>
    <mergeCell ref="A50:E51"/>
    <mergeCell ref="H6:L7"/>
    <mergeCell ref="O6:O7"/>
    <mergeCell ref="O50:O51"/>
    <mergeCell ref="O94:O95"/>
    <mergeCell ref="O138:O139"/>
    <mergeCell ref="M6:N7"/>
  </mergeCells>
  <phoneticPr fontId="29" type="noConversion"/>
  <pageMargins left="0.25" right="0.25" top="0.75" bottom="0.75" header="0.3" footer="0.3"/>
  <pageSetup fitToHeight="0" orientation="portrait" r:id="rId5"/>
  <headerFooter>
    <oddFooter>&amp;R
&amp;A
Caring Together rate review</oddFooter>
  </headerFooter>
  <rowBreaks count="3" manualBreakCount="3">
    <brk id="49" min="7" max="17" man="1"/>
    <brk id="93" min="7" max="17" man="1"/>
    <brk id="137" min="7" max="17" man="1"/>
  </rowBreaks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U72"/>
  <sheetViews>
    <sheetView topLeftCell="A28" zoomScale="85" zoomScaleNormal="85" workbookViewId="0">
      <selection activeCell="D61" sqref="D61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6" width="13.140625" style="23" customWidth="1"/>
    <col min="7" max="7" width="9.140625" style="23"/>
    <col min="8" max="8" width="31.85546875" style="23" customWidth="1"/>
    <col min="9" max="9" width="5.7109375" style="23" customWidth="1"/>
    <col min="10" max="10" width="12.85546875" style="23" customWidth="1"/>
    <col min="11" max="11" width="10.85546875" style="23" customWidth="1"/>
    <col min="12" max="12" width="13.140625" style="23" customWidth="1"/>
    <col min="13" max="13" width="12.85546875" style="23" customWidth="1"/>
    <col min="14" max="14" width="9.140625" style="281" customWidth="1"/>
    <col min="15" max="15" width="9.140625" style="23"/>
    <col min="16" max="16" width="31.85546875" style="23" bestFit="1" customWidth="1"/>
    <col min="17" max="17" width="10" style="23" customWidth="1"/>
    <col min="18" max="18" width="11.28515625" style="23" customWidth="1"/>
    <col min="19" max="19" width="11" style="23" customWidth="1"/>
    <col min="20" max="16384" width="9.140625" style="23"/>
  </cols>
  <sheetData>
    <row r="1" spans="1:21" ht="13.9" thickBot="1" x14ac:dyDescent="0.3">
      <c r="P1" s="1431" t="s">
        <v>8</v>
      </c>
      <c r="Q1" s="1431"/>
      <c r="R1" s="1431"/>
      <c r="S1" s="1431"/>
    </row>
    <row r="2" spans="1:21" ht="13.9" thickBot="1" x14ac:dyDescent="0.3"/>
    <row r="3" spans="1:21" ht="13.15" x14ac:dyDescent="0.25">
      <c r="P3" s="5" t="s">
        <v>9</v>
      </c>
      <c r="Q3" s="1432" t="s">
        <v>10</v>
      </c>
      <c r="R3" s="1432"/>
      <c r="S3" s="6"/>
      <c r="T3" s="24"/>
      <c r="U3" s="24"/>
    </row>
    <row r="4" spans="1:21" ht="13.15" x14ac:dyDescent="0.25">
      <c r="H4" s="29"/>
      <c r="P4" s="7"/>
      <c r="Q4" s="8" t="s">
        <v>11</v>
      </c>
      <c r="R4" s="9" t="s">
        <v>12</v>
      </c>
      <c r="S4" s="10"/>
      <c r="T4" s="24"/>
      <c r="U4" s="24"/>
    </row>
    <row r="5" spans="1:21" ht="13.15" x14ac:dyDescent="0.25">
      <c r="P5" s="11" t="s">
        <v>13</v>
      </c>
      <c r="Q5" s="12">
        <v>13</v>
      </c>
      <c r="R5" s="13">
        <f>Q5*8</f>
        <v>104</v>
      </c>
      <c r="S5" s="10"/>
      <c r="T5" s="24"/>
      <c r="U5" s="24"/>
    </row>
    <row r="6" spans="1:21" ht="14.45" customHeight="1" x14ac:dyDescent="0.2">
      <c r="A6" s="1426" t="s">
        <v>498</v>
      </c>
      <c r="B6" s="1451"/>
      <c r="C6" s="1451"/>
      <c r="D6" s="1451"/>
      <c r="E6" s="1451"/>
      <c r="F6" s="1433" t="s">
        <v>460</v>
      </c>
      <c r="H6" s="1426" t="s">
        <v>501</v>
      </c>
      <c r="I6" s="1451"/>
      <c r="J6" s="1451"/>
      <c r="K6" s="1451"/>
      <c r="L6" s="1451"/>
      <c r="M6" s="1429" t="s">
        <v>496</v>
      </c>
      <c r="N6" s="628"/>
      <c r="P6" s="11" t="s">
        <v>14</v>
      </c>
      <c r="Q6" s="12">
        <v>10</v>
      </c>
      <c r="R6" s="13">
        <f>Q6*8</f>
        <v>80</v>
      </c>
      <c r="S6" s="10"/>
      <c r="T6" s="24"/>
      <c r="U6" s="24"/>
    </row>
    <row r="7" spans="1:21" ht="15" customHeight="1" thickBot="1" x14ac:dyDescent="0.25">
      <c r="A7" s="1452"/>
      <c r="B7" s="1452"/>
      <c r="C7" s="1452"/>
      <c r="D7" s="1452"/>
      <c r="E7" s="1452"/>
      <c r="F7" s="1434"/>
      <c r="H7" s="1452"/>
      <c r="I7" s="1452"/>
      <c r="J7" s="1452"/>
      <c r="K7" s="1452"/>
      <c r="L7" s="1452"/>
      <c r="M7" s="1430"/>
      <c r="N7" s="628"/>
      <c r="P7" s="11" t="s">
        <v>15</v>
      </c>
      <c r="Q7" s="12">
        <v>11</v>
      </c>
      <c r="R7" s="13">
        <f>Q7*8</f>
        <v>88</v>
      </c>
      <c r="S7" s="10"/>
      <c r="T7" s="24"/>
      <c r="U7" s="24"/>
    </row>
    <row r="8" spans="1:21" ht="13.15" x14ac:dyDescent="0.25">
      <c r="A8" s="25" t="s">
        <v>0</v>
      </c>
      <c r="B8" s="69">
        <f>R$32</f>
        <v>12</v>
      </c>
      <c r="C8" s="25"/>
      <c r="D8" s="25" t="s">
        <v>1</v>
      </c>
      <c r="E8" s="68">
        <f>B8*365</f>
        <v>4380</v>
      </c>
      <c r="F8" s="430"/>
      <c r="H8" s="25" t="s">
        <v>0</v>
      </c>
      <c r="I8" s="69">
        <v>12</v>
      </c>
      <c r="J8" s="25"/>
      <c r="K8" s="25" t="s">
        <v>1</v>
      </c>
      <c r="L8" s="68">
        <f>I8*365</f>
        <v>4380</v>
      </c>
      <c r="M8" s="68"/>
      <c r="N8" s="629"/>
      <c r="P8" s="14" t="s">
        <v>16</v>
      </c>
      <c r="Q8" s="15">
        <v>5</v>
      </c>
      <c r="R8" s="16">
        <f>Q8*8</f>
        <v>40</v>
      </c>
      <c r="S8" s="17"/>
      <c r="T8" s="24"/>
      <c r="U8" s="24"/>
    </row>
    <row r="9" spans="1:21" ht="13.15" x14ac:dyDescent="0.25">
      <c r="F9" s="407"/>
      <c r="P9" s="11"/>
      <c r="Q9" s="18" t="s">
        <v>17</v>
      </c>
      <c r="R9" s="13">
        <f>SUM(R5:R8)</f>
        <v>312</v>
      </c>
      <c r="S9" s="19"/>
      <c r="T9" s="24"/>
      <c r="U9" s="24"/>
    </row>
    <row r="10" spans="1:21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26"/>
      <c r="I10" s="26"/>
      <c r="J10" s="27" t="s">
        <v>2</v>
      </c>
      <c r="K10" s="27" t="s">
        <v>3</v>
      </c>
      <c r="L10" s="27" t="s">
        <v>4</v>
      </c>
      <c r="M10" s="580"/>
      <c r="N10" s="335"/>
      <c r="P10" s="20"/>
      <c r="Q10" s="21" t="s">
        <v>18</v>
      </c>
      <c r="R10" s="22">
        <f>R9/(52*40)</f>
        <v>0.15</v>
      </c>
      <c r="S10" s="56"/>
    </row>
    <row r="11" spans="1:21" ht="13.9" thickBot="1" x14ac:dyDescent="0.3">
      <c r="A11" s="1" t="s">
        <v>19</v>
      </c>
      <c r="C11" s="30">
        <f>$R$13</f>
        <v>59700.570397111915</v>
      </c>
      <c r="D11" s="35">
        <f>$R$33</f>
        <v>2</v>
      </c>
      <c r="E11" s="28">
        <f>C11*D11</f>
        <v>119401.14079422383</v>
      </c>
      <c r="F11" s="407"/>
      <c r="H11" s="1" t="s">
        <v>19</v>
      </c>
      <c r="J11" s="30">
        <f>$R$13</f>
        <v>59700.570397111915</v>
      </c>
      <c r="K11" s="35">
        <f>$R$33</f>
        <v>2</v>
      </c>
      <c r="L11" s="28">
        <f>J11*K11</f>
        <v>119401.14079422383</v>
      </c>
      <c r="M11" s="28"/>
      <c r="N11" s="284"/>
    </row>
    <row r="12" spans="1:21" ht="13.15" x14ac:dyDescent="0.25">
      <c r="A12" s="2" t="s">
        <v>227</v>
      </c>
      <c r="C12" s="30"/>
      <c r="D12" s="35"/>
      <c r="E12" s="28"/>
      <c r="F12" s="407"/>
      <c r="H12" s="2" t="s">
        <v>227</v>
      </c>
      <c r="J12" s="30"/>
      <c r="K12" s="35"/>
      <c r="L12" s="28"/>
      <c r="M12" s="28"/>
      <c r="N12" s="284"/>
      <c r="P12" s="36"/>
      <c r="Q12" s="37"/>
      <c r="R12" s="38" t="s">
        <v>75</v>
      </c>
      <c r="S12" s="39"/>
    </row>
    <row r="13" spans="1:21" ht="13.15" x14ac:dyDescent="0.25">
      <c r="A13" s="3" t="s">
        <v>23</v>
      </c>
      <c r="C13" s="30">
        <f>$R$15</f>
        <v>200122.62</v>
      </c>
      <c r="D13" s="35">
        <f>$R$35</f>
        <v>0.3</v>
      </c>
      <c r="E13" s="28">
        <f t="shared" ref="E13:E24" si="0">C13*D13</f>
        <v>60036.785999999993</v>
      </c>
      <c r="F13" s="407"/>
      <c r="H13" s="3" t="s">
        <v>23</v>
      </c>
      <c r="J13" s="30">
        <f>$R$15</f>
        <v>200122.62</v>
      </c>
      <c r="K13" s="35">
        <f>$R$35</f>
        <v>0.3</v>
      </c>
      <c r="L13" s="28">
        <f t="shared" ref="L13:L15" si="1">J13*K13</f>
        <v>60036.785999999993</v>
      </c>
      <c r="M13" s="28"/>
      <c r="N13" s="284"/>
      <c r="P13" s="7" t="s">
        <v>19</v>
      </c>
      <c r="Q13" s="29"/>
      <c r="R13" s="40">
        <f>IRTP!X13</f>
        <v>59700.570397111915</v>
      </c>
      <c r="S13" s="99"/>
    </row>
    <row r="14" spans="1:21" ht="13.15" x14ac:dyDescent="0.25">
      <c r="A14" s="3" t="s">
        <v>24</v>
      </c>
      <c r="C14" s="30">
        <f>$R$16</f>
        <v>64673.926018287602</v>
      </c>
      <c r="D14" s="35">
        <f>$R$36</f>
        <v>2.75</v>
      </c>
      <c r="E14" s="28">
        <f t="shared" si="0"/>
        <v>177853.29655029089</v>
      </c>
      <c r="F14" s="407"/>
      <c r="H14" s="3" t="s">
        <v>24</v>
      </c>
      <c r="J14" s="30">
        <f>$R$16</f>
        <v>64673.926018287602</v>
      </c>
      <c r="K14" s="35">
        <f>$R$36</f>
        <v>2.75</v>
      </c>
      <c r="L14" s="28">
        <f t="shared" si="1"/>
        <v>177853.29655029089</v>
      </c>
      <c r="M14" s="28"/>
      <c r="N14" s="284"/>
      <c r="P14" s="7" t="s">
        <v>227</v>
      </c>
      <c r="Q14" s="29"/>
      <c r="R14" s="40"/>
      <c r="S14" s="99"/>
    </row>
    <row r="15" spans="1:21" ht="13.15" x14ac:dyDescent="0.25">
      <c r="A15" s="3" t="s">
        <v>25</v>
      </c>
      <c r="C15" s="30">
        <f>$R$17</f>
        <v>61725</v>
      </c>
      <c r="D15" s="35">
        <f>$R$37</f>
        <v>1</v>
      </c>
      <c r="E15" s="28">
        <f t="shared" si="0"/>
        <v>61725</v>
      </c>
      <c r="F15" s="407"/>
      <c r="H15" s="3" t="s">
        <v>25</v>
      </c>
      <c r="J15" s="30">
        <f>$R$17</f>
        <v>61725</v>
      </c>
      <c r="K15" s="35">
        <f>$R$37</f>
        <v>1</v>
      </c>
      <c r="L15" s="28">
        <f t="shared" si="1"/>
        <v>61725</v>
      </c>
      <c r="M15" s="28"/>
      <c r="N15" s="284"/>
      <c r="P15" s="11" t="s">
        <v>23</v>
      </c>
      <c r="Q15" s="29"/>
      <c r="R15" s="40">
        <f>IRTP!X15</f>
        <v>200122.62</v>
      </c>
      <c r="S15" s="99"/>
    </row>
    <row r="16" spans="1:21" ht="13.15" x14ac:dyDescent="0.25">
      <c r="A16" s="3" t="s">
        <v>26</v>
      </c>
      <c r="C16" s="282">
        <f>$R$18</f>
        <v>50000</v>
      </c>
      <c r="D16" s="35">
        <f>$R$38</f>
        <v>2</v>
      </c>
      <c r="E16" s="28">
        <f t="shared" si="0"/>
        <v>100000</v>
      </c>
      <c r="F16" s="407"/>
      <c r="H16" s="3" t="s">
        <v>26</v>
      </c>
      <c r="J16" s="282">
        <f>$R$18</f>
        <v>50000</v>
      </c>
      <c r="K16" s="35">
        <f>$R$38</f>
        <v>2</v>
      </c>
      <c r="L16" s="28">
        <f>J16*K16</f>
        <v>100000</v>
      </c>
      <c r="M16" s="28"/>
      <c r="N16" s="284"/>
      <c r="P16" s="11" t="s">
        <v>24</v>
      </c>
      <c r="Q16" s="29"/>
      <c r="R16" s="280">
        <f>IRTP!X17</f>
        <v>64673.926018287602</v>
      </c>
      <c r="S16" s="99"/>
    </row>
    <row r="17" spans="1:19" ht="13.15" x14ac:dyDescent="0.25">
      <c r="A17" s="3" t="s">
        <v>27</v>
      </c>
      <c r="C17" s="30">
        <f>$R$19</f>
        <v>44297.831117021276</v>
      </c>
      <c r="D17" s="35">
        <f>$R$39</f>
        <v>1</v>
      </c>
      <c r="E17" s="28">
        <f t="shared" si="0"/>
        <v>44297.831117021276</v>
      </c>
      <c r="F17" s="407"/>
      <c r="H17" s="3" t="s">
        <v>27</v>
      </c>
      <c r="J17" s="30">
        <f>$R$19</f>
        <v>44297.831117021276</v>
      </c>
      <c r="K17" s="654">
        <f>$R$39+1</f>
        <v>2</v>
      </c>
      <c r="L17" s="28">
        <f>J17*K17</f>
        <v>88595.662234042553</v>
      </c>
      <c r="M17" s="28"/>
      <c r="N17" s="284"/>
      <c r="P17" s="11" t="s">
        <v>25</v>
      </c>
      <c r="Q17" s="29"/>
      <c r="R17" s="40">
        <f>IRTP!X18</f>
        <v>61725</v>
      </c>
      <c r="S17" s="99" t="s">
        <v>71</v>
      </c>
    </row>
    <row r="18" spans="1:19" ht="13.15" x14ac:dyDescent="0.25">
      <c r="A18" s="2" t="s">
        <v>5</v>
      </c>
      <c r="C18" s="30"/>
      <c r="D18" s="35"/>
      <c r="E18" s="28"/>
      <c r="F18" s="407"/>
      <c r="H18" s="2" t="s">
        <v>5</v>
      </c>
      <c r="J18" s="30"/>
      <c r="K18" s="35"/>
      <c r="L18" s="28"/>
      <c r="M18" s="28"/>
      <c r="N18" s="284"/>
      <c r="P18" s="11" t="s">
        <v>26</v>
      </c>
      <c r="Q18" s="29"/>
      <c r="R18" s="280">
        <f>IRTP!X19</f>
        <v>50000</v>
      </c>
      <c r="S18" s="99"/>
    </row>
    <row r="19" spans="1:19" ht="13.15" x14ac:dyDescent="0.25">
      <c r="A19" s="3" t="s">
        <v>28</v>
      </c>
      <c r="C19" s="30">
        <f>$R$21</f>
        <v>35805.96</v>
      </c>
      <c r="D19" s="35">
        <f>$R$41</f>
        <v>0.18</v>
      </c>
      <c r="E19" s="28">
        <f t="shared" si="0"/>
        <v>6445.0727999999999</v>
      </c>
      <c r="F19" s="407"/>
      <c r="H19" s="3" t="s">
        <v>28</v>
      </c>
      <c r="J19" s="30">
        <f>$R$21</f>
        <v>35805.96</v>
      </c>
      <c r="K19" s="35">
        <f>$R$41</f>
        <v>0.18</v>
      </c>
      <c r="L19" s="28">
        <f t="shared" ref="L19:L20" si="2">J19*K19</f>
        <v>6445.0727999999999</v>
      </c>
      <c r="M19" s="28"/>
      <c r="N19" s="284"/>
      <c r="P19" s="11" t="s">
        <v>27</v>
      </c>
      <c r="Q19" s="29"/>
      <c r="R19" s="40">
        <f>IRTP!X20</f>
        <v>44297.831117021276</v>
      </c>
      <c r="S19" s="99"/>
    </row>
    <row r="20" spans="1:19" ht="13.15" x14ac:dyDescent="0.25">
      <c r="A20" s="3" t="s">
        <v>29</v>
      </c>
      <c r="C20" s="30">
        <f>$R$22</f>
        <v>32000</v>
      </c>
      <c r="D20" s="35">
        <f>$R$42</f>
        <v>1</v>
      </c>
      <c r="E20" s="28">
        <f t="shared" si="0"/>
        <v>32000</v>
      </c>
      <c r="F20" s="407"/>
      <c r="H20" s="3" t="s">
        <v>29</v>
      </c>
      <c r="J20" s="30">
        <f>$R$22</f>
        <v>32000</v>
      </c>
      <c r="K20" s="35">
        <f>$R$42</f>
        <v>1</v>
      </c>
      <c r="L20" s="28">
        <f t="shared" si="2"/>
        <v>32000</v>
      </c>
      <c r="M20" s="28"/>
      <c r="N20" s="284"/>
      <c r="P20" s="7" t="s">
        <v>5</v>
      </c>
      <c r="Q20" s="29"/>
      <c r="R20" s="40"/>
      <c r="S20" s="99"/>
    </row>
    <row r="21" spans="1:19" ht="13.15" x14ac:dyDescent="0.25">
      <c r="A21" s="3" t="s">
        <v>30</v>
      </c>
      <c r="C21" s="30">
        <f>$R$23</f>
        <v>30381.418803418801</v>
      </c>
      <c r="D21" s="35">
        <f>$R$43</f>
        <v>20.05</v>
      </c>
      <c r="E21" s="28">
        <f t="shared" si="0"/>
        <v>609147.44700854702</v>
      </c>
      <c r="F21" s="407"/>
      <c r="H21" s="3" t="s">
        <v>30</v>
      </c>
      <c r="J21" s="30">
        <f>$R$23</f>
        <v>30381.418803418801</v>
      </c>
      <c r="K21" s="654">
        <f>$R$43+2</f>
        <v>22.05</v>
      </c>
      <c r="L21" s="28">
        <f>J21*K21</f>
        <v>669910.28461538453</v>
      </c>
      <c r="M21" s="28"/>
      <c r="N21" s="284"/>
      <c r="P21" s="11" t="s">
        <v>28</v>
      </c>
      <c r="Q21" s="29"/>
      <c r="R21" s="40">
        <f>IRTP!X22</f>
        <v>35805.96</v>
      </c>
      <c r="S21" s="99"/>
    </row>
    <row r="22" spans="1:19" ht="13.15" x14ac:dyDescent="0.25">
      <c r="A22" s="4" t="s">
        <v>31</v>
      </c>
      <c r="C22" s="30">
        <f>$R$24</f>
        <v>30381.418803418801</v>
      </c>
      <c r="D22" s="35">
        <f>$R$44</f>
        <v>3.0074999999999998</v>
      </c>
      <c r="E22" s="28">
        <f>C22*D22</f>
        <v>91372.117051282039</v>
      </c>
      <c r="F22" s="407"/>
      <c r="H22" s="4" t="s">
        <v>31</v>
      </c>
      <c r="J22" s="30">
        <f>$R$24</f>
        <v>30381.418803418801</v>
      </c>
      <c r="K22" s="654">
        <f>K21*R10</f>
        <v>3.3075000000000001</v>
      </c>
      <c r="L22" s="28">
        <f>J22*K22</f>
        <v>100486.54269230769</v>
      </c>
      <c r="M22" s="28"/>
      <c r="N22" s="284"/>
      <c r="P22" s="11" t="s">
        <v>29</v>
      </c>
      <c r="Q22" s="29"/>
      <c r="R22" s="40">
        <f>IRTP!X23</f>
        <v>32000</v>
      </c>
      <c r="S22" s="99"/>
    </row>
    <row r="23" spans="1:19" ht="13.15" x14ac:dyDescent="0.25">
      <c r="A23" s="2" t="s">
        <v>6</v>
      </c>
      <c r="C23" s="30"/>
      <c r="D23" s="35"/>
      <c r="E23" s="28"/>
      <c r="F23" s="407"/>
      <c r="H23" s="2" t="s">
        <v>6</v>
      </c>
      <c r="J23" s="30"/>
      <c r="K23" s="35"/>
      <c r="L23" s="28"/>
      <c r="M23" s="28"/>
      <c r="N23" s="284"/>
      <c r="P23" s="11" t="s">
        <v>30</v>
      </c>
      <c r="Q23" s="29"/>
      <c r="R23" s="40">
        <f>IRTP!X24</f>
        <v>30381.418803418801</v>
      </c>
      <c r="S23" s="99"/>
    </row>
    <row r="24" spans="1:19" ht="13.15" x14ac:dyDescent="0.25">
      <c r="A24" s="3" t="s">
        <v>32</v>
      </c>
      <c r="C24" s="30">
        <f>$R$26</f>
        <v>37831.10544815466</v>
      </c>
      <c r="D24" s="35">
        <f>$R$46</f>
        <v>1.5</v>
      </c>
      <c r="E24" s="28">
        <f t="shared" si="0"/>
        <v>56746.65817223199</v>
      </c>
      <c r="F24" s="407"/>
      <c r="H24" s="3" t="s">
        <v>32</v>
      </c>
      <c r="J24" s="30">
        <f>$R$26</f>
        <v>37831.10544815466</v>
      </c>
      <c r="K24" s="35">
        <f>$R$46</f>
        <v>1.5</v>
      </c>
      <c r="L24" s="28">
        <f t="shared" ref="L24" si="3">J24*K24</f>
        <v>56746.65817223199</v>
      </c>
      <c r="M24" s="28"/>
      <c r="N24" s="284"/>
      <c r="P24" s="42" t="s">
        <v>31</v>
      </c>
      <c r="Q24" s="29"/>
      <c r="R24" s="40">
        <f>IRTP!X25</f>
        <v>30381.418803418801</v>
      </c>
      <c r="S24" s="99"/>
    </row>
    <row r="25" spans="1:19" ht="13.15" x14ac:dyDescent="0.25">
      <c r="A25" s="107" t="s">
        <v>77</v>
      </c>
      <c r="C25" s="30">
        <f>$R$27</f>
        <v>30381.418803418801</v>
      </c>
      <c r="D25" s="35">
        <f>$R$47</f>
        <v>2</v>
      </c>
      <c r="E25" s="28">
        <f>C25*D25</f>
        <v>60762.837606837602</v>
      </c>
      <c r="F25" s="407"/>
      <c r="H25" s="581" t="s">
        <v>77</v>
      </c>
      <c r="J25" s="30">
        <f>$R$27</f>
        <v>30381.418803418801</v>
      </c>
      <c r="K25" s="35">
        <f>$R$47</f>
        <v>2</v>
      </c>
      <c r="L25" s="28">
        <f>J25*K25</f>
        <v>60762.837606837602</v>
      </c>
      <c r="M25" s="28"/>
      <c r="N25" s="284"/>
      <c r="P25" s="7" t="s">
        <v>6</v>
      </c>
      <c r="Q25" s="29"/>
      <c r="R25" s="40"/>
      <c r="S25" s="99"/>
    </row>
    <row r="26" spans="1:19" ht="13.15" x14ac:dyDescent="0.25">
      <c r="A26" s="108" t="s">
        <v>78</v>
      </c>
      <c r="C26" s="30">
        <f>$R$28</f>
        <v>30381.418803418801</v>
      </c>
      <c r="D26" s="35">
        <f>$R$48</f>
        <v>2</v>
      </c>
      <c r="E26" s="28">
        <f>C26*D26</f>
        <v>60762.837606837602</v>
      </c>
      <c r="F26" s="407"/>
      <c r="H26" s="108" t="s">
        <v>78</v>
      </c>
      <c r="J26" s="30">
        <f>$R$28</f>
        <v>30381.418803418801</v>
      </c>
      <c r="K26" s="35">
        <f>$R$48</f>
        <v>2</v>
      </c>
      <c r="L26" s="28">
        <f>J26*K26</f>
        <v>60762.837606837602</v>
      </c>
      <c r="M26" s="28"/>
      <c r="N26" s="284"/>
      <c r="P26" s="11" t="s">
        <v>32</v>
      </c>
      <c r="Q26" s="29"/>
      <c r="R26" s="40">
        <f>IRTP!X27</f>
        <v>37831.10544815466</v>
      </c>
      <c r="S26" s="99"/>
    </row>
    <row r="27" spans="1:19" ht="13.15" x14ac:dyDescent="0.25">
      <c r="A27" s="31" t="s">
        <v>7</v>
      </c>
      <c r="B27" s="31"/>
      <c r="C27" s="31"/>
      <c r="D27" s="32">
        <f>SUM(D11:D26)</f>
        <v>38.787500000000001</v>
      </c>
      <c r="E27" s="33">
        <f>SUM(E11:E26)</f>
        <v>1480551.0247072722</v>
      </c>
      <c r="F27" s="407"/>
      <c r="H27" s="31" t="s">
        <v>7</v>
      </c>
      <c r="I27" s="31"/>
      <c r="J27" s="31"/>
      <c r="K27" s="32">
        <f>SUM(K11:K26)</f>
        <v>42.087499999999999</v>
      </c>
      <c r="L27" s="33">
        <f>SUM(L11:L26)</f>
        <v>1594726.1190721565</v>
      </c>
      <c r="M27" s="670"/>
      <c r="N27" s="393"/>
      <c r="P27" s="106" t="s">
        <v>77</v>
      </c>
      <c r="Q27" s="29"/>
      <c r="R27" s="40">
        <f>IRTP!X28</f>
        <v>30381.418803418801</v>
      </c>
      <c r="S27" s="99" t="s">
        <v>70</v>
      </c>
    </row>
    <row r="28" spans="1:19" ht="13.15" x14ac:dyDescent="0.25">
      <c r="F28" s="407"/>
      <c r="P28" s="106" t="s">
        <v>78</v>
      </c>
      <c r="Q28" s="29"/>
      <c r="R28" s="40">
        <f>IRTP!X28</f>
        <v>30381.418803418801</v>
      </c>
      <c r="S28" s="99" t="s">
        <v>70</v>
      </c>
    </row>
    <row r="29" spans="1:19" ht="13.15" x14ac:dyDescent="0.25">
      <c r="A29" s="25" t="s">
        <v>21</v>
      </c>
      <c r="D29" s="25" t="s">
        <v>20</v>
      </c>
      <c r="F29" s="407"/>
      <c r="H29" s="25" t="s">
        <v>21</v>
      </c>
      <c r="K29" s="25" t="s">
        <v>20</v>
      </c>
      <c r="P29" s="11"/>
      <c r="Q29" s="29"/>
      <c r="R29" s="40"/>
      <c r="S29" s="41"/>
    </row>
    <row r="30" spans="1:19" ht="13.15" x14ac:dyDescent="0.25">
      <c r="A30" s="23" t="s">
        <v>22</v>
      </c>
      <c r="C30" s="97">
        <f>$R$51</f>
        <v>0.23424901786252411</v>
      </c>
      <c r="E30" s="28">
        <f>C30*E27</f>
        <v>346817.62343303219</v>
      </c>
      <c r="F30" s="407"/>
      <c r="H30" s="23" t="s">
        <v>22</v>
      </c>
      <c r="J30" s="97">
        <f>$R$51</f>
        <v>0.23424901786252411</v>
      </c>
      <c r="L30" s="28">
        <f>J30*L27</f>
        <v>373563.02715236734</v>
      </c>
      <c r="M30" s="28"/>
      <c r="N30" s="284"/>
      <c r="P30" s="43"/>
      <c r="Q30" s="29"/>
      <c r="R30" s="44" t="s">
        <v>37</v>
      </c>
      <c r="S30" s="41"/>
    </row>
    <row r="31" spans="1:19" ht="13.15" x14ac:dyDescent="0.25">
      <c r="A31" s="31" t="s">
        <v>51</v>
      </c>
      <c r="B31" s="31"/>
      <c r="C31" s="31"/>
      <c r="D31" s="70">
        <f>E31/E8</f>
        <v>417.2074539133115</v>
      </c>
      <c r="E31" s="33">
        <f>E30+E27</f>
        <v>1827368.6481403043</v>
      </c>
      <c r="F31" s="407"/>
      <c r="H31" s="31" t="s">
        <v>51</v>
      </c>
      <c r="I31" s="31"/>
      <c r="J31" s="31"/>
      <c r="K31" s="70">
        <f>L31/L8</f>
        <v>449.381083612905</v>
      </c>
      <c r="L31" s="33">
        <f>L30+L27</f>
        <v>1968289.1462245239</v>
      </c>
      <c r="M31" s="670"/>
      <c r="N31" s="393"/>
      <c r="P31" s="43" t="s">
        <v>35</v>
      </c>
      <c r="Q31" s="65"/>
      <c r="R31" s="65"/>
      <c r="S31" s="66"/>
    </row>
    <row r="32" spans="1:19" ht="13.15" x14ac:dyDescent="0.25">
      <c r="F32" s="407"/>
      <c r="P32" s="43" t="s">
        <v>36</v>
      </c>
      <c r="Q32" s="57"/>
      <c r="R32" s="57">
        <f>'[5]Rate Options'!$K$30</f>
        <v>12</v>
      </c>
      <c r="S32" s="67"/>
    </row>
    <row r="33" spans="1:19" ht="13.15" x14ac:dyDescent="0.25">
      <c r="A33" s="23" t="s">
        <v>39</v>
      </c>
      <c r="D33" s="71">
        <f>$R$53</f>
        <v>25.05</v>
      </c>
      <c r="E33" s="105">
        <f>D33*E8</f>
        <v>109719</v>
      </c>
      <c r="F33" s="407"/>
      <c r="H33" s="23" t="s">
        <v>39</v>
      </c>
      <c r="K33" s="71">
        <f>$R$53</f>
        <v>25.05</v>
      </c>
      <c r="L33" s="105">
        <f>K33*L8</f>
        <v>109719</v>
      </c>
      <c r="M33" s="105"/>
      <c r="N33" s="630"/>
      <c r="P33" s="7" t="s">
        <v>19</v>
      </c>
      <c r="Q33" s="46"/>
      <c r="R33" s="195">
        <f>'[5]Rate Options'!K32</f>
        <v>2</v>
      </c>
      <c r="S33" s="47"/>
    </row>
    <row r="34" spans="1:19" ht="13.15" x14ac:dyDescent="0.25">
      <c r="A34" s="29" t="s">
        <v>40</v>
      </c>
      <c r="D34" s="71">
        <f>$R$54</f>
        <v>22.842465753424658</v>
      </c>
      <c r="E34" s="105">
        <f>D34*E8</f>
        <v>100050</v>
      </c>
      <c r="F34" s="407"/>
      <c r="H34" s="29" t="s">
        <v>40</v>
      </c>
      <c r="K34" s="71">
        <f>$R$54</f>
        <v>22.842465753424658</v>
      </c>
      <c r="L34" s="105">
        <f>K34*L8</f>
        <v>100050</v>
      </c>
      <c r="M34" s="105"/>
      <c r="N34" s="630"/>
      <c r="P34" s="7" t="s">
        <v>227</v>
      </c>
      <c r="Q34" s="46"/>
      <c r="R34" s="195"/>
      <c r="S34" s="47"/>
    </row>
    <row r="35" spans="1:19" ht="13.15" x14ac:dyDescent="0.25">
      <c r="D35" s="72">
        <f>SUM(D33:D34)</f>
        <v>47.892465753424659</v>
      </c>
      <c r="F35" s="407"/>
      <c r="K35" s="72">
        <f>SUM(K33:K34)</f>
        <v>47.892465753424659</v>
      </c>
      <c r="P35" s="11" t="s">
        <v>23</v>
      </c>
      <c r="Q35" s="46"/>
      <c r="R35" s="195">
        <f>'[5]Rate Options'!K34</f>
        <v>0.3</v>
      </c>
      <c r="S35" s="47"/>
    </row>
    <row r="36" spans="1:19" ht="13.15" x14ac:dyDescent="0.25">
      <c r="F36" s="407"/>
      <c r="P36" s="11" t="s">
        <v>24</v>
      </c>
      <c r="Q36" s="46"/>
      <c r="R36" s="195">
        <f>'[5]Rate Options'!K35</f>
        <v>2.75</v>
      </c>
      <c r="S36" s="47"/>
    </row>
    <row r="37" spans="1:19" ht="13.15" x14ac:dyDescent="0.25">
      <c r="A37" s="31" t="s">
        <v>43</v>
      </c>
      <c r="B37" s="31"/>
      <c r="C37" s="31"/>
      <c r="D37" s="31"/>
      <c r="E37" s="33">
        <f>SUM(E31:E34)</f>
        <v>2037137.6481403043</v>
      </c>
      <c r="F37" s="407"/>
      <c r="H37" s="31" t="s">
        <v>43</v>
      </c>
      <c r="I37" s="31"/>
      <c r="J37" s="31"/>
      <c r="K37" s="31"/>
      <c r="L37" s="33">
        <f>SUM(L31:L34)</f>
        <v>2178058.1462245239</v>
      </c>
      <c r="M37" s="670"/>
      <c r="N37" s="393"/>
      <c r="P37" s="11" t="s">
        <v>25</v>
      </c>
      <c r="Q37" s="46"/>
      <c r="R37" s="195">
        <f>'[5]Rate Options'!K36</f>
        <v>1</v>
      </c>
      <c r="S37" s="47"/>
    </row>
    <row r="38" spans="1:19" ht="13.15" x14ac:dyDescent="0.25">
      <c r="F38" s="407"/>
      <c r="P38" s="11" t="s">
        <v>26</v>
      </c>
      <c r="Q38" s="46"/>
      <c r="R38" s="195">
        <f>'[5]Rate Options'!K37</f>
        <v>2</v>
      </c>
      <c r="S38" s="47"/>
    </row>
    <row r="39" spans="1:19" ht="13.15" x14ac:dyDescent="0.25">
      <c r="A39" s="23" t="s">
        <v>44</v>
      </c>
      <c r="C39" s="97">
        <f>$R$57</f>
        <v>9.465319377551569E-2</v>
      </c>
      <c r="E39" s="28">
        <f>C39*E37</f>
        <v>192821.58455682252</v>
      </c>
      <c r="F39" s="407"/>
      <c r="H39" s="23" t="s">
        <v>44</v>
      </c>
      <c r="J39" s="655">
        <f>'STARR (rebased)'!T47</f>
        <v>0.11846733793705286</v>
      </c>
      <c r="L39" s="28">
        <f>J39*L37</f>
        <v>258028.75045533155</v>
      </c>
      <c r="M39" s="28"/>
      <c r="N39" s="284"/>
      <c r="P39" s="11" t="s">
        <v>27</v>
      </c>
      <c r="Q39" s="46"/>
      <c r="R39" s="195">
        <f>'[5]Rate Options'!K38</f>
        <v>1</v>
      </c>
      <c r="S39" s="47"/>
    </row>
    <row r="40" spans="1:19" ht="13.15" x14ac:dyDescent="0.25">
      <c r="F40" s="407"/>
      <c r="P40" s="7" t="s">
        <v>5</v>
      </c>
      <c r="Q40" s="46"/>
      <c r="R40" s="195"/>
      <c r="S40" s="47"/>
    </row>
    <row r="41" spans="1:19" ht="13.9" thickBot="1" x14ac:dyDescent="0.3">
      <c r="A41" s="73" t="s">
        <v>52</v>
      </c>
      <c r="B41" s="74"/>
      <c r="C41" s="74"/>
      <c r="D41" s="74"/>
      <c r="E41" s="75">
        <f>SUM(E37:E39)</f>
        <v>2229959.2326971269</v>
      </c>
      <c r="F41" s="407"/>
      <c r="H41" s="73" t="s">
        <v>52</v>
      </c>
      <c r="I41" s="74"/>
      <c r="J41" s="74"/>
      <c r="K41" s="74"/>
      <c r="L41" s="75">
        <f>SUM(L37:L39)</f>
        <v>2436086.8966798554</v>
      </c>
      <c r="M41" s="670">
        <f>L41</f>
        <v>2436086.8966798554</v>
      </c>
      <c r="N41" s="393"/>
      <c r="P41" s="11" t="s">
        <v>28</v>
      </c>
      <c r="Q41" s="46"/>
      <c r="R41" s="195">
        <f>'[5]Rate Options'!K40</f>
        <v>0.18</v>
      </c>
      <c r="S41" s="47"/>
    </row>
    <row r="42" spans="1:19" ht="13.9" thickTop="1" x14ac:dyDescent="0.25">
      <c r="F42" s="407"/>
      <c r="P42" s="11" t="s">
        <v>29</v>
      </c>
      <c r="Q42" s="46"/>
      <c r="R42" s="195">
        <f>'[5]Rate Options'!K41</f>
        <v>1</v>
      </c>
      <c r="S42" s="47"/>
    </row>
    <row r="43" spans="1:19" ht="13.15" x14ac:dyDescent="0.25">
      <c r="A43" s="23" t="s">
        <v>53</v>
      </c>
      <c r="C43" s="98">
        <f>$R$59</f>
        <v>2.4800378941670066E-2</v>
      </c>
      <c r="E43" s="77">
        <f>E41*(1+C43)</f>
        <v>2285263.0666924911</v>
      </c>
      <c r="F43" s="407"/>
      <c r="H43" s="23" t="s">
        <v>53</v>
      </c>
      <c r="J43" s="98">
        <f>$R$59</f>
        <v>2.4800378941670066E-2</v>
      </c>
      <c r="L43" s="77">
        <f>L41*(1+J43)</f>
        <v>2496502.7748523527</v>
      </c>
      <c r="M43" s="77">
        <f>L43</f>
        <v>2496502.7748523527</v>
      </c>
      <c r="N43" s="631"/>
      <c r="P43" s="11" t="s">
        <v>30</v>
      </c>
      <c r="Q43" s="46"/>
      <c r="R43" s="195">
        <f>'[5]Rate Options'!K42</f>
        <v>20.05</v>
      </c>
      <c r="S43" s="47"/>
    </row>
    <row r="44" spans="1:19" ht="13.15" x14ac:dyDescent="0.25">
      <c r="F44" s="407"/>
      <c r="P44" s="42" t="s">
        <v>31</v>
      </c>
      <c r="Q44" s="46"/>
      <c r="R44" s="178">
        <f>R43*$R$10</f>
        <v>3.0074999999999998</v>
      </c>
      <c r="S44" s="47"/>
    </row>
    <row r="45" spans="1:19" ht="13.15" x14ac:dyDescent="0.25">
      <c r="E45" s="92" t="s">
        <v>56</v>
      </c>
      <c r="F45" s="407"/>
      <c r="L45" s="92" t="s">
        <v>56</v>
      </c>
      <c r="M45" s="92"/>
      <c r="N45" s="632"/>
      <c r="P45" s="7" t="s">
        <v>6</v>
      </c>
      <c r="Q45" s="46"/>
      <c r="R45" s="195"/>
      <c r="S45" s="47"/>
    </row>
    <row r="46" spans="1:19" ht="13.9" thickBot="1" x14ac:dyDescent="0.3">
      <c r="A46" s="23" t="s">
        <v>55</v>
      </c>
      <c r="D46" s="76">
        <f>E41/E8</f>
        <v>509.12311248792849</v>
      </c>
      <c r="E46" s="76">
        <f>D46*(1+C43)</f>
        <v>521.74955860559157</v>
      </c>
      <c r="F46" s="407"/>
      <c r="H46" s="23" t="s">
        <v>55</v>
      </c>
      <c r="K46" s="76">
        <f>L41/L8</f>
        <v>556.18422298626831</v>
      </c>
      <c r="L46" s="76">
        <f>K46*(1+J43)</f>
        <v>569.97780247770606</v>
      </c>
      <c r="M46" s="672">
        <f>M43/12</f>
        <v>208041.89790436273</v>
      </c>
      <c r="N46" s="633"/>
      <c r="P46" s="11" t="s">
        <v>32</v>
      </c>
      <c r="Q46" s="46"/>
      <c r="R46" s="195">
        <f>'[5]Rate Options'!K45</f>
        <v>1.5</v>
      </c>
      <c r="S46" s="47"/>
    </row>
    <row r="47" spans="1:19" ht="13.9" thickBot="1" x14ac:dyDescent="0.3">
      <c r="A47" s="377" t="s">
        <v>455</v>
      </c>
      <c r="B47" s="378"/>
      <c r="C47" s="379">
        <f>'CAF Spring 2015'!$BC$24</f>
        <v>2.0354406130268236E-2</v>
      </c>
      <c r="D47" s="380"/>
      <c r="E47" s="380"/>
      <c r="F47" s="386">
        <f>E46*(1+C47)</f>
        <v>532.36946101973797</v>
      </c>
      <c r="H47" s="377" t="s">
        <v>455</v>
      </c>
      <c r="I47" s="378"/>
      <c r="J47" s="379">
        <f>'CAF Spring 2015'!$BC$24</f>
        <v>2.0354406130268236E-2</v>
      </c>
      <c r="K47" s="380"/>
      <c r="L47" s="380">
        <f>L46*(1+J47)</f>
        <v>581.57936215457516</v>
      </c>
      <c r="M47" s="673">
        <f>ROUND(M46*(1+J47),0)</f>
        <v>212276</v>
      </c>
      <c r="N47" s="633"/>
      <c r="P47" s="106" t="s">
        <v>77</v>
      </c>
      <c r="Q47" s="46"/>
      <c r="R47" s="195">
        <f>'[5]Rate Options'!K46</f>
        <v>2</v>
      </c>
      <c r="S47" s="47"/>
    </row>
    <row r="48" spans="1:19" ht="13.9" thickBot="1" x14ac:dyDescent="0.3">
      <c r="A48" s="78" t="s">
        <v>54</v>
      </c>
      <c r="B48" s="79">
        <v>0.9</v>
      </c>
      <c r="C48" s="80"/>
      <c r="D48" s="86">
        <f>E41/(E8*B48)</f>
        <v>565.69234720880945</v>
      </c>
      <c r="E48" s="686">
        <f>D48*(1+C43)</f>
        <v>579.72173178399066</v>
      </c>
      <c r="F48" s="687">
        <f>F47/B48</f>
        <v>591.52162335526441</v>
      </c>
      <c r="H48" s="78" t="s">
        <v>54</v>
      </c>
      <c r="I48" s="79">
        <v>0.9</v>
      </c>
      <c r="J48" s="80"/>
      <c r="K48" s="86"/>
      <c r="L48" s="656">
        <f>$L$47/I48</f>
        <v>646.19929128286128</v>
      </c>
      <c r="M48" s="671"/>
      <c r="N48" s="389"/>
      <c r="P48" s="106" t="s">
        <v>78</v>
      </c>
      <c r="Q48" s="46"/>
      <c r="R48" s="195">
        <f>'[5]Rate Options'!K47</f>
        <v>2</v>
      </c>
      <c r="S48" s="47"/>
    </row>
    <row r="49" spans="1:20" ht="13.15" x14ac:dyDescent="0.25">
      <c r="A49" s="81"/>
      <c r="B49" s="82">
        <v>0.85</v>
      </c>
      <c r="C49" s="83"/>
      <c r="D49" s="88">
        <f>E41/(E8*B49)</f>
        <v>598.96836763285705</v>
      </c>
      <c r="E49" s="89">
        <f>D49*(1+C43)</f>
        <v>613.82301012422545</v>
      </c>
      <c r="F49" s="386"/>
      <c r="H49" s="81"/>
      <c r="I49" s="82">
        <v>0.85</v>
      </c>
      <c r="J49" s="83"/>
      <c r="K49" s="88"/>
      <c r="L49" s="626"/>
      <c r="M49" s="671"/>
      <c r="N49" s="389"/>
      <c r="P49" s="43"/>
      <c r="Q49" s="29"/>
      <c r="R49" s="29"/>
      <c r="S49" s="41"/>
    </row>
    <row r="50" spans="1:20" ht="13.15" x14ac:dyDescent="0.25">
      <c r="A50" s="84"/>
      <c r="B50" s="85">
        <v>0.8</v>
      </c>
      <c r="C50" s="34"/>
      <c r="D50" s="90">
        <f>E41/(E8*B50)</f>
        <v>636.4038906099106</v>
      </c>
      <c r="E50" s="91">
        <f>D50*(1+C43)</f>
        <v>652.18694825698947</v>
      </c>
      <c r="F50" s="387"/>
      <c r="H50" s="84"/>
      <c r="I50" s="85">
        <v>0.8</v>
      </c>
      <c r="J50" s="34"/>
      <c r="K50" s="90"/>
      <c r="L50" s="627"/>
      <c r="M50" s="671"/>
      <c r="N50" s="389"/>
      <c r="P50" s="43"/>
      <c r="Q50" s="29"/>
      <c r="R50" s="44" t="s">
        <v>38</v>
      </c>
      <c r="S50" s="41"/>
    </row>
    <row r="51" spans="1:20" x14ac:dyDescent="0.2">
      <c r="I51" s="669"/>
      <c r="J51" s="281"/>
      <c r="K51" s="281"/>
      <c r="L51" s="657"/>
      <c r="M51" s="657"/>
      <c r="N51" s="657"/>
      <c r="P51" s="43" t="s">
        <v>22</v>
      </c>
      <c r="Q51" s="29"/>
      <c r="R51" s="95">
        <f>'STARR (rebased)'!T39</f>
        <v>0.23424901786252411</v>
      </c>
      <c r="S51" s="99" t="s">
        <v>146</v>
      </c>
    </row>
    <row r="52" spans="1:20" ht="13.15" x14ac:dyDescent="0.25">
      <c r="I52" s="669"/>
      <c r="J52" s="281"/>
      <c r="K52" s="281"/>
      <c r="L52" s="657"/>
      <c r="M52" s="657"/>
      <c r="N52" s="657"/>
      <c r="P52" s="43"/>
      <c r="Q52" s="29"/>
      <c r="R52" s="48"/>
      <c r="S52" s="41"/>
    </row>
    <row r="53" spans="1:20" x14ac:dyDescent="0.2">
      <c r="I53" s="669"/>
      <c r="J53" s="281"/>
      <c r="K53" s="281"/>
      <c r="L53" s="630"/>
      <c r="M53" s="657"/>
      <c r="N53" s="657"/>
      <c r="P53" s="43" t="s">
        <v>39</v>
      </c>
      <c r="Q53" s="29"/>
      <c r="R53" s="59">
        <f>'STARR (rebased)'!T41</f>
        <v>25.05</v>
      </c>
      <c r="S53" s="244" t="s">
        <v>139</v>
      </c>
    </row>
    <row r="54" spans="1:20" ht="13.15" x14ac:dyDescent="0.25">
      <c r="I54" s="669"/>
      <c r="J54" s="281"/>
      <c r="K54" s="281"/>
      <c r="L54" s="630"/>
      <c r="M54" s="657"/>
      <c r="N54" s="657"/>
      <c r="P54" s="43" t="s">
        <v>40</v>
      </c>
      <c r="Q54" s="29"/>
      <c r="R54" s="59">
        <f>'[5]Avg Expenses'!$H$12</f>
        <v>22.842465753424658</v>
      </c>
      <c r="S54" s="41"/>
      <c r="T54" s="177" t="s">
        <v>274</v>
      </c>
    </row>
    <row r="55" spans="1:20" ht="13.15" x14ac:dyDescent="0.25">
      <c r="L55" s="71"/>
      <c r="P55" s="101" t="s">
        <v>43</v>
      </c>
      <c r="Q55" s="102"/>
      <c r="R55" s="103">
        <f>SUM(R53:R54)</f>
        <v>47.892465753424659</v>
      </c>
      <c r="S55" s="104"/>
    </row>
    <row r="56" spans="1:20" ht="13.15" x14ac:dyDescent="0.25">
      <c r="G56" s="71"/>
      <c r="J56" s="71"/>
      <c r="P56" s="43"/>
      <c r="Q56" s="29"/>
      <c r="R56" s="29"/>
      <c r="S56" s="41"/>
    </row>
    <row r="57" spans="1:20" ht="13.15" x14ac:dyDescent="0.25">
      <c r="J57" s="594"/>
      <c r="P57" s="43" t="s">
        <v>44</v>
      </c>
      <c r="Q57" s="29"/>
      <c r="R57" s="95">
        <f>IRTP!X57</f>
        <v>9.465319377551569E-2</v>
      </c>
      <c r="S57" s="99" t="s">
        <v>68</v>
      </c>
    </row>
    <row r="58" spans="1:20" ht="13.15" x14ac:dyDescent="0.25">
      <c r="P58" s="43"/>
      <c r="Q58" s="29"/>
      <c r="R58" s="29"/>
      <c r="S58" s="41"/>
    </row>
    <row r="59" spans="1:20" ht="13.9" thickBot="1" x14ac:dyDescent="0.3">
      <c r="P59" s="51" t="s">
        <v>45</v>
      </c>
      <c r="Q59" s="52"/>
      <c r="R59" s="96">
        <f>IRTP!X59</f>
        <v>2.4800378941670066E-2</v>
      </c>
      <c r="S59" s="53"/>
    </row>
    <row r="60" spans="1:20" ht="13.15" x14ac:dyDescent="0.25">
      <c r="P60" s="63" t="s">
        <v>50</v>
      </c>
      <c r="Q60" s="64" t="s">
        <v>46</v>
      </c>
    </row>
    <row r="61" spans="1:20" ht="13.15" x14ac:dyDescent="0.25">
      <c r="P61" s="24" t="s">
        <v>220</v>
      </c>
    </row>
    <row r="62" spans="1:20" ht="13.15" x14ac:dyDescent="0.25">
      <c r="P62" s="23" t="s">
        <v>63</v>
      </c>
    </row>
    <row r="63" spans="1:20" ht="13.15" x14ac:dyDescent="0.25">
      <c r="P63" s="54" t="s">
        <v>48</v>
      </c>
    </row>
    <row r="65" spans="16:16" ht="13.15" x14ac:dyDescent="0.25">
      <c r="P65" s="55" t="s">
        <v>49</v>
      </c>
    </row>
    <row r="66" spans="16:16" ht="13.15" x14ac:dyDescent="0.25">
      <c r="P66" s="100" t="s">
        <v>80</v>
      </c>
    </row>
    <row r="67" spans="16:16" ht="13.15" x14ac:dyDescent="0.25">
      <c r="P67" s="100" t="s">
        <v>76</v>
      </c>
    </row>
    <row r="68" spans="16:16" ht="13.15" x14ac:dyDescent="0.25">
      <c r="P68" s="94" t="s">
        <v>79</v>
      </c>
    </row>
    <row r="69" spans="16:16" ht="13.15" x14ac:dyDescent="0.25">
      <c r="P69" s="23" t="s">
        <v>73</v>
      </c>
    </row>
    <row r="70" spans="16:16" x14ac:dyDescent="0.2">
      <c r="P70" s="94" t="s">
        <v>255</v>
      </c>
    </row>
    <row r="71" spans="16:16" x14ac:dyDescent="0.2">
      <c r="P71" s="94" t="s">
        <v>143</v>
      </c>
    </row>
    <row r="72" spans="16:16" ht="13.15" x14ac:dyDescent="0.25">
      <c r="P72" s="23" t="s">
        <v>221</v>
      </c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 topLeftCell="A28">
      <pageMargins left="0.7" right="0.7" top="0.75" bottom="0.75" header="0.3" footer="0.3"/>
      <pageSetup orientation="portrait" verticalDpi="0" r:id="rId4"/>
    </customSheetView>
  </customSheetViews>
  <mergeCells count="6">
    <mergeCell ref="P1:S1"/>
    <mergeCell ref="Q3:R3"/>
    <mergeCell ref="F6:F7"/>
    <mergeCell ref="A6:E7"/>
    <mergeCell ref="H6:L7"/>
    <mergeCell ref="M6:M7"/>
  </mergeCells>
  <phoneticPr fontId="29" type="noConversion"/>
  <pageMargins left="0.7" right="0.7" top="0.75" bottom="0.75" header="0.3" footer="0.3"/>
  <pageSetup scale="66" fitToHeight="0" orientation="landscape" r:id="rId5"/>
  <headerFooter>
    <oddFooter>&amp;R2016-04-12
&amp;A
Caring Together rate review</oddFooter>
  </headerFooter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T169"/>
  <sheetViews>
    <sheetView view="pageBreakPreview" topLeftCell="A49" zoomScale="70" zoomScaleNormal="85" zoomScaleSheetLayoutView="70" workbookViewId="0">
      <selection activeCell="K62" sqref="K62:K63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6" width="13.140625" style="23" customWidth="1"/>
    <col min="7" max="7" width="13.140625" style="281" customWidth="1"/>
    <col min="8" max="8" width="31.85546875" style="23" customWidth="1"/>
    <col min="9" max="9" width="5.7109375" style="23" customWidth="1"/>
    <col min="10" max="10" width="12.85546875" style="23" customWidth="1"/>
    <col min="11" max="11" width="10.85546875" style="23" customWidth="1"/>
    <col min="12" max="12" width="13.140625" style="23" customWidth="1"/>
    <col min="13" max="14" width="13.140625" style="281" customWidth="1"/>
    <col min="15" max="15" width="31.85546875" style="23" bestFit="1" customWidth="1"/>
    <col min="16" max="19" width="10.140625" style="23" customWidth="1"/>
    <col min="20" max="16384" width="9.140625" style="23"/>
  </cols>
  <sheetData>
    <row r="1" spans="1:20" ht="13.9" thickBot="1" x14ac:dyDescent="0.3">
      <c r="O1" s="1431" t="s">
        <v>8</v>
      </c>
      <c r="P1" s="1431"/>
      <c r="Q1" s="1431"/>
      <c r="R1" s="1431"/>
    </row>
    <row r="2" spans="1:20" ht="13.9" thickBot="1" x14ac:dyDescent="0.3"/>
    <row r="3" spans="1:20" ht="13.15" x14ac:dyDescent="0.25">
      <c r="O3" s="5" t="s">
        <v>9</v>
      </c>
      <c r="P3" s="1432" t="s">
        <v>10</v>
      </c>
      <c r="Q3" s="1432"/>
      <c r="R3" s="6"/>
      <c r="S3" s="24"/>
      <c r="T3" s="24"/>
    </row>
    <row r="4" spans="1:20" ht="13.15" x14ac:dyDescent="0.25">
      <c r="O4" s="7"/>
      <c r="P4" s="8" t="s">
        <v>11</v>
      </c>
      <c r="Q4" s="9" t="s">
        <v>12</v>
      </c>
      <c r="R4" s="10"/>
      <c r="S4" s="24"/>
      <c r="T4" s="24"/>
    </row>
    <row r="5" spans="1:20" ht="13.15" x14ac:dyDescent="0.25">
      <c r="O5" s="11" t="s">
        <v>13</v>
      </c>
      <c r="P5" s="12">
        <v>13</v>
      </c>
      <c r="Q5" s="13">
        <f>P5*8</f>
        <v>104</v>
      </c>
      <c r="R5" s="10"/>
      <c r="S5" s="24"/>
      <c r="T5" s="24"/>
    </row>
    <row r="6" spans="1:20" ht="13.15" customHeight="1" x14ac:dyDescent="0.2">
      <c r="A6" s="1520" t="s">
        <v>505</v>
      </c>
      <c r="B6" s="1521"/>
      <c r="C6" s="1521"/>
      <c r="D6" s="1521"/>
      <c r="E6" s="1521"/>
      <c r="F6" s="1433" t="s">
        <v>460</v>
      </c>
      <c r="G6" s="521"/>
      <c r="H6" s="1426" t="s">
        <v>509</v>
      </c>
      <c r="I6" s="1451"/>
      <c r="J6" s="1451"/>
      <c r="K6" s="1451"/>
      <c r="L6" s="1451"/>
      <c r="M6" s="628"/>
      <c r="O6" s="11" t="s">
        <v>14</v>
      </c>
      <c r="P6" s="12">
        <v>10</v>
      </c>
      <c r="Q6" s="13">
        <f>P6*8</f>
        <v>80</v>
      </c>
      <c r="R6" s="10"/>
      <c r="S6" s="24"/>
      <c r="T6" s="24"/>
    </row>
    <row r="7" spans="1:20" ht="15" customHeight="1" thickBot="1" x14ac:dyDescent="0.25">
      <c r="A7" s="1474"/>
      <c r="B7" s="1474"/>
      <c r="C7" s="1474"/>
      <c r="D7" s="1474"/>
      <c r="E7" s="1474"/>
      <c r="F7" s="1469"/>
      <c r="G7" s="625"/>
      <c r="H7" s="1452"/>
      <c r="I7" s="1452"/>
      <c r="J7" s="1452"/>
      <c r="K7" s="1452"/>
      <c r="L7" s="1452"/>
      <c r="M7" s="628"/>
      <c r="O7" s="11" t="s">
        <v>15</v>
      </c>
      <c r="P7" s="12">
        <v>11</v>
      </c>
      <c r="Q7" s="13">
        <f>P7*8</f>
        <v>88</v>
      </c>
      <c r="R7" s="10"/>
      <c r="S7" s="24"/>
      <c r="T7" s="24"/>
    </row>
    <row r="8" spans="1:20" ht="13.15" x14ac:dyDescent="0.25">
      <c r="A8" s="25" t="s">
        <v>0</v>
      </c>
      <c r="B8" s="69">
        <f>P$30</f>
        <v>12</v>
      </c>
      <c r="C8" s="25"/>
      <c r="D8" s="25" t="s">
        <v>1</v>
      </c>
      <c r="E8" s="68">
        <f>B8*365</f>
        <v>4380</v>
      </c>
      <c r="F8" s="427"/>
      <c r="G8" s="162"/>
      <c r="H8" s="25" t="s">
        <v>0</v>
      </c>
      <c r="I8" s="69">
        <v>12</v>
      </c>
      <c r="J8" s="25"/>
      <c r="K8" s="25" t="s">
        <v>1</v>
      </c>
      <c r="L8" s="68">
        <f>I8*365</f>
        <v>4380</v>
      </c>
      <c r="M8" s="629"/>
      <c r="O8" s="14" t="s">
        <v>16</v>
      </c>
      <c r="P8" s="15">
        <v>7</v>
      </c>
      <c r="Q8" s="16">
        <f>P8*8</f>
        <v>56</v>
      </c>
      <c r="R8" s="17"/>
      <c r="S8" s="24"/>
      <c r="T8" s="24"/>
    </row>
    <row r="9" spans="1:20" ht="13.15" x14ac:dyDescent="0.25">
      <c r="F9" s="407"/>
      <c r="G9" s="162"/>
      <c r="O9" s="11"/>
      <c r="P9" s="18" t="s">
        <v>17</v>
      </c>
      <c r="Q9" s="13">
        <f>SUM(Q5:Q8)</f>
        <v>328</v>
      </c>
      <c r="R9" s="19"/>
      <c r="S9" s="24"/>
      <c r="T9" s="24"/>
    </row>
    <row r="10" spans="1:20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G10" s="162"/>
      <c r="H10" s="26"/>
      <c r="I10" s="26"/>
      <c r="J10" s="27" t="s">
        <v>2</v>
      </c>
      <c r="K10" s="27" t="s">
        <v>3</v>
      </c>
      <c r="L10" s="27" t="s">
        <v>4</v>
      </c>
      <c r="M10" s="335"/>
      <c r="O10" s="20"/>
      <c r="P10" s="21" t="s">
        <v>18</v>
      </c>
      <c r="Q10" s="22">
        <f>Q9/(52*40)</f>
        <v>0.15769230769230769</v>
      </c>
      <c r="R10" s="56"/>
    </row>
    <row r="11" spans="1:20" ht="13.9" thickBot="1" x14ac:dyDescent="0.3">
      <c r="A11" s="1" t="s">
        <v>19</v>
      </c>
      <c r="C11" s="30">
        <f>Q$13</f>
        <v>52305.406251052875</v>
      </c>
      <c r="D11" s="35">
        <f>P$31</f>
        <v>1.75</v>
      </c>
      <c r="E11" s="28">
        <f>C11*D11</f>
        <v>91534.460939342534</v>
      </c>
      <c r="F11" s="407"/>
      <c r="G11" s="162"/>
      <c r="H11" s="1" t="s">
        <v>19</v>
      </c>
      <c r="J11" s="30">
        <v>52305.406251052875</v>
      </c>
      <c r="K11" s="35">
        <v>1.75</v>
      </c>
      <c r="L11" s="28">
        <f>J11*K11</f>
        <v>91534.460939342534</v>
      </c>
      <c r="M11" s="284"/>
    </row>
    <row r="12" spans="1:20" ht="13.15" x14ac:dyDescent="0.25">
      <c r="A12" s="2" t="s">
        <v>227</v>
      </c>
      <c r="C12" s="30"/>
      <c r="D12" s="35"/>
      <c r="E12" s="28"/>
      <c r="F12" s="407"/>
      <c r="G12" s="162"/>
      <c r="H12" s="2" t="s">
        <v>227</v>
      </c>
      <c r="J12" s="30"/>
      <c r="K12" s="35"/>
      <c r="L12" s="28"/>
      <c r="M12" s="284"/>
      <c r="O12" s="36"/>
      <c r="P12" s="37"/>
      <c r="Q12" s="38" t="s">
        <v>75</v>
      </c>
      <c r="R12" s="38"/>
      <c r="S12" s="39"/>
    </row>
    <row r="13" spans="1:20" ht="13.15" x14ac:dyDescent="0.25">
      <c r="A13" s="3" t="s">
        <v>23</v>
      </c>
      <c r="C13" s="282">
        <f>Q15</f>
        <v>200122.62</v>
      </c>
      <c r="D13" s="35">
        <f>P33</f>
        <v>0.1</v>
      </c>
      <c r="E13" s="28">
        <f t="shared" ref="E13:E22" si="0">C13*D13</f>
        <v>20012.262000000002</v>
      </c>
      <c r="F13" s="407"/>
      <c r="G13" s="162"/>
      <c r="H13" s="3" t="s">
        <v>23</v>
      </c>
      <c r="J13" s="282">
        <v>200122.62</v>
      </c>
      <c r="K13" s="35">
        <v>0.1</v>
      </c>
      <c r="L13" s="28">
        <f>J13*K13</f>
        <v>20012.262000000002</v>
      </c>
      <c r="M13" s="284"/>
      <c r="O13" s="7" t="s">
        <v>19</v>
      </c>
      <c r="P13" s="29"/>
      <c r="Q13" s="40">
        <f>[10]Summary!$C$4</f>
        <v>52305.406251052875</v>
      </c>
      <c r="R13" s="40"/>
      <c r="S13" s="99"/>
    </row>
    <row r="14" spans="1:20" ht="13.15" x14ac:dyDescent="0.25">
      <c r="A14" s="3" t="s">
        <v>24</v>
      </c>
      <c r="C14" s="30">
        <f>Q16</f>
        <v>64673.926018287602</v>
      </c>
      <c r="D14" s="35">
        <f>P34</f>
        <v>0.25</v>
      </c>
      <c r="E14" s="28">
        <f t="shared" si="0"/>
        <v>16168.481504571901</v>
      </c>
      <c r="F14" s="407"/>
      <c r="G14" s="162"/>
      <c r="H14" s="3" t="s">
        <v>24</v>
      </c>
      <c r="J14" s="30">
        <v>64673.926018287602</v>
      </c>
      <c r="K14" s="659">
        <f>0.25 + (I8*0.5/40)</f>
        <v>0.4</v>
      </c>
      <c r="L14" s="28">
        <f>J14*K14</f>
        <v>25869.570407315041</v>
      </c>
      <c r="M14" s="668"/>
      <c r="O14" s="7" t="s">
        <v>227</v>
      </c>
      <c r="P14" s="29"/>
      <c r="Q14" s="280"/>
      <c r="R14" s="40"/>
      <c r="S14" s="99"/>
    </row>
    <row r="15" spans="1:20" ht="13.15" x14ac:dyDescent="0.25">
      <c r="A15" s="3" t="s">
        <v>25</v>
      </c>
      <c r="C15" s="30">
        <f>Q17</f>
        <v>61725</v>
      </c>
      <c r="D15" s="35">
        <f>P35</f>
        <v>0.5</v>
      </c>
      <c r="E15" s="28">
        <f t="shared" si="0"/>
        <v>30862.5</v>
      </c>
      <c r="F15" s="407"/>
      <c r="G15" s="162"/>
      <c r="H15" s="3" t="s">
        <v>25</v>
      </c>
      <c r="J15" s="30">
        <v>61725</v>
      </c>
      <c r="K15" s="35">
        <v>0.5</v>
      </c>
      <c r="L15" s="28">
        <f>J15*K15</f>
        <v>30862.5</v>
      </c>
      <c r="M15" s="284"/>
      <c r="O15" s="11" t="s">
        <v>23</v>
      </c>
      <c r="P15" s="29"/>
      <c r="Q15" s="280">
        <f>IRTP!X15</f>
        <v>200122.62</v>
      </c>
      <c r="R15" s="341" t="s">
        <v>84</v>
      </c>
      <c r="S15" s="99"/>
    </row>
    <row r="16" spans="1:20" ht="13.15" x14ac:dyDescent="0.25">
      <c r="A16" s="3" t="s">
        <v>26</v>
      </c>
      <c r="C16" s="282">
        <f>Q18</f>
        <v>50000</v>
      </c>
      <c r="D16" s="35">
        <f>P36</f>
        <v>1</v>
      </c>
      <c r="E16" s="28">
        <f t="shared" si="0"/>
        <v>50000</v>
      </c>
      <c r="F16" s="407"/>
      <c r="G16" s="162"/>
      <c r="H16" s="3" t="s">
        <v>26</v>
      </c>
      <c r="J16" s="282">
        <v>50000</v>
      </c>
      <c r="K16" s="35">
        <v>1</v>
      </c>
      <c r="L16" s="28">
        <f>J16*K16</f>
        <v>50000</v>
      </c>
      <c r="M16" s="284"/>
      <c r="O16" s="11" t="s">
        <v>24</v>
      </c>
      <c r="P16" s="29"/>
      <c r="Q16" s="280">
        <f>IRTP!X17</f>
        <v>64673.926018287602</v>
      </c>
      <c r="R16" s="341" t="s">
        <v>69</v>
      </c>
      <c r="S16" s="99"/>
    </row>
    <row r="17" spans="1:20" ht="13.15" x14ac:dyDescent="0.25">
      <c r="A17" s="2" t="s">
        <v>5</v>
      </c>
      <c r="C17" s="30"/>
      <c r="D17" s="35"/>
      <c r="E17" s="28"/>
      <c r="F17" s="407"/>
      <c r="G17" s="162"/>
      <c r="H17" s="2" t="s">
        <v>5</v>
      </c>
      <c r="J17" s="30"/>
      <c r="K17" s="35"/>
      <c r="L17" s="28"/>
      <c r="M17" s="284"/>
      <c r="O17" s="11" t="s">
        <v>25</v>
      </c>
      <c r="P17" s="29"/>
      <c r="Q17" s="280">
        <f>IRTP!X18</f>
        <v>61725</v>
      </c>
      <c r="R17" s="341" t="s">
        <v>82</v>
      </c>
      <c r="S17" s="99"/>
    </row>
    <row r="18" spans="1:20" ht="13.15" x14ac:dyDescent="0.25">
      <c r="A18" s="3" t="s">
        <v>59</v>
      </c>
      <c r="C18" s="30">
        <f>Q21</f>
        <v>42189.221412467887</v>
      </c>
      <c r="D18" s="35">
        <f>P39</f>
        <v>1</v>
      </c>
      <c r="E18" s="28">
        <f t="shared" si="0"/>
        <v>42189.221412467887</v>
      </c>
      <c r="F18" s="407"/>
      <c r="G18" s="162"/>
      <c r="H18" s="3" t="s">
        <v>59</v>
      </c>
      <c r="J18" s="30">
        <v>42189.221412467887</v>
      </c>
      <c r="K18" s="35">
        <v>1</v>
      </c>
      <c r="L18" s="28">
        <f>J18*K18</f>
        <v>42189.221412467887</v>
      </c>
      <c r="M18" s="284"/>
      <c r="O18" s="11" t="s">
        <v>26</v>
      </c>
      <c r="P18" s="29"/>
      <c r="Q18" s="280">
        <f>IRTP!X19</f>
        <v>50000</v>
      </c>
      <c r="R18" s="93"/>
      <c r="S18" s="99"/>
    </row>
    <row r="19" spans="1:20" ht="13.15" x14ac:dyDescent="0.25">
      <c r="A19" s="3" t="s">
        <v>30</v>
      </c>
      <c r="C19" s="30">
        <f>Q23</f>
        <v>28500</v>
      </c>
      <c r="D19" s="35">
        <f>P41</f>
        <v>15</v>
      </c>
      <c r="E19" s="28">
        <f t="shared" si="0"/>
        <v>427500</v>
      </c>
      <c r="F19" s="407"/>
      <c r="G19" s="162"/>
      <c r="H19" s="3" t="s">
        <v>30</v>
      </c>
      <c r="J19" s="30">
        <v>28500</v>
      </c>
      <c r="K19" s="35">
        <v>15</v>
      </c>
      <c r="L19" s="28">
        <f>J19*K19</f>
        <v>427500</v>
      </c>
      <c r="M19" s="634"/>
      <c r="O19" s="7" t="s">
        <v>5</v>
      </c>
      <c r="P19" s="29"/>
      <c r="Q19" s="40"/>
      <c r="R19" s="93"/>
      <c r="S19" s="99"/>
    </row>
    <row r="20" spans="1:20" ht="13.15" x14ac:dyDescent="0.25">
      <c r="A20" s="4" t="s">
        <v>31</v>
      </c>
      <c r="C20" s="282">
        <f>Q24</f>
        <v>28500</v>
      </c>
      <c r="D20" s="283">
        <f>P42</f>
        <v>2.3653846153846154</v>
      </c>
      <c r="E20" s="28">
        <f>C20*D20</f>
        <v>67413.461538461546</v>
      </c>
      <c r="F20" s="407"/>
      <c r="G20" s="162"/>
      <c r="H20" s="4" t="s">
        <v>31</v>
      </c>
      <c r="J20" s="282">
        <v>28500</v>
      </c>
      <c r="K20" s="283">
        <v>2.3653846153846199</v>
      </c>
      <c r="L20" s="28">
        <f>J20*K20</f>
        <v>67413.461538461663</v>
      </c>
      <c r="M20" s="758"/>
      <c r="O20" s="11" t="s">
        <v>85</v>
      </c>
      <c r="P20" s="29"/>
      <c r="Q20" s="40">
        <f>11*2080</f>
        <v>22880</v>
      </c>
      <c r="R20" s="93"/>
      <c r="S20" s="99"/>
      <c r="T20" s="177"/>
    </row>
    <row r="21" spans="1:20" ht="13.15" x14ac:dyDescent="0.25">
      <c r="A21" s="2" t="s">
        <v>6</v>
      </c>
      <c r="C21" s="30"/>
      <c r="D21" s="35"/>
      <c r="E21" s="28"/>
      <c r="F21" s="407"/>
      <c r="G21" s="162"/>
      <c r="H21" s="2" t="s">
        <v>6</v>
      </c>
      <c r="J21" s="30"/>
      <c r="K21" s="35"/>
      <c r="L21" s="28"/>
      <c r="M21" s="758"/>
      <c r="O21" s="11" t="s">
        <v>59</v>
      </c>
      <c r="P21" s="29"/>
      <c r="Q21" s="40">
        <f>[10]Summary!$C$11</f>
        <v>42189.221412467887</v>
      </c>
      <c r="R21" s="93"/>
      <c r="S21" s="99"/>
    </row>
    <row r="22" spans="1:20" ht="13.15" x14ac:dyDescent="0.25">
      <c r="A22" s="3" t="s">
        <v>32</v>
      </c>
      <c r="C22" s="30">
        <f>Q26</f>
        <v>28500</v>
      </c>
      <c r="D22" s="35">
        <f>P44</f>
        <v>0.25</v>
      </c>
      <c r="E22" s="28">
        <f t="shared" si="0"/>
        <v>7125</v>
      </c>
      <c r="F22" s="407"/>
      <c r="G22" s="162"/>
      <c r="H22" s="3" t="s">
        <v>32</v>
      </c>
      <c r="J22" s="30">
        <v>28500</v>
      </c>
      <c r="K22" s="35">
        <v>0.25</v>
      </c>
      <c r="L22" s="28">
        <f>J22*K22</f>
        <v>7125</v>
      </c>
      <c r="M22" s="284"/>
      <c r="O22" s="11" t="s">
        <v>60</v>
      </c>
      <c r="P22" s="29"/>
      <c r="Q22" s="40">
        <f>[10]Summary!$C$12</f>
        <v>36304.547622226877</v>
      </c>
      <c r="R22" s="93"/>
      <c r="S22" s="99"/>
    </row>
    <row r="23" spans="1:20" ht="13.15" x14ac:dyDescent="0.25">
      <c r="A23" s="31" t="s">
        <v>7</v>
      </c>
      <c r="B23" s="31"/>
      <c r="C23" s="31"/>
      <c r="D23" s="32">
        <f>SUM(D11:D22)</f>
        <v>22.215384615384618</v>
      </c>
      <c r="E23" s="33">
        <f>SUM(E11:E22)</f>
        <v>752805.38739484386</v>
      </c>
      <c r="F23" s="407"/>
      <c r="G23" s="162"/>
      <c r="H23" s="31" t="s">
        <v>7</v>
      </c>
      <c r="I23" s="31"/>
      <c r="J23" s="31"/>
      <c r="K23" s="32">
        <f>SUM(K11:K22)</f>
        <v>22.36538461538462</v>
      </c>
      <c r="L23" s="33">
        <f>SUM(L11:L22)</f>
        <v>762506.47629758704</v>
      </c>
      <c r="M23" s="393"/>
      <c r="O23" s="11" t="s">
        <v>30</v>
      </c>
      <c r="P23" s="29"/>
      <c r="Q23" s="40">
        <f>'[9]Rate Options'!$J$21</f>
        <v>28500</v>
      </c>
      <c r="R23" s="341" t="s">
        <v>86</v>
      </c>
      <c r="S23" s="99"/>
    </row>
    <row r="24" spans="1:20" ht="13.15" x14ac:dyDescent="0.25">
      <c r="F24" s="407"/>
      <c r="G24" s="162"/>
      <c r="O24" s="42" t="s">
        <v>31</v>
      </c>
      <c r="P24" s="29"/>
      <c r="Q24" s="40">
        <f>Q23</f>
        <v>28500</v>
      </c>
      <c r="R24" s="93"/>
      <c r="S24" s="99"/>
    </row>
    <row r="25" spans="1:20" ht="13.15" x14ac:dyDescent="0.25">
      <c r="A25" s="25" t="s">
        <v>21</v>
      </c>
      <c r="D25" s="25" t="s">
        <v>20</v>
      </c>
      <c r="F25" s="407"/>
      <c r="G25" s="162"/>
      <c r="H25" s="25" t="s">
        <v>21</v>
      </c>
      <c r="K25" s="25" t="s">
        <v>20</v>
      </c>
      <c r="O25" s="7" t="s">
        <v>6</v>
      </c>
      <c r="P25" s="29"/>
      <c r="Q25" s="40"/>
      <c r="R25" s="93"/>
      <c r="S25" s="99"/>
    </row>
    <row r="26" spans="1:20" ht="13.15" x14ac:dyDescent="0.25">
      <c r="A26" s="23" t="s">
        <v>22</v>
      </c>
      <c r="C26" s="97">
        <f>$Q$47</f>
        <v>0.23424901786252411</v>
      </c>
      <c r="E26" s="28">
        <f>C26*E23</f>
        <v>176343.92263885916</v>
      </c>
      <c r="F26" s="407"/>
      <c r="G26" s="162"/>
      <c r="H26" s="23" t="s">
        <v>22</v>
      </c>
      <c r="J26" s="97">
        <f>$Q$47</f>
        <v>0.23424901786252411</v>
      </c>
      <c r="L26" s="28">
        <f>J26*L23</f>
        <v>178616.39318652378</v>
      </c>
      <c r="M26" s="284"/>
      <c r="O26" s="11" t="s">
        <v>32</v>
      </c>
      <c r="P26" s="29"/>
      <c r="Q26" s="40">
        <f>IF('[9]Avg Salary'!$J$44&gt;Q23,Q23,'[9]Avg Salary'!$J$44)</f>
        <v>28500</v>
      </c>
      <c r="R26" s="93" t="s">
        <v>70</v>
      </c>
      <c r="S26" s="99"/>
    </row>
    <row r="27" spans="1:20" ht="13.15" x14ac:dyDescent="0.25">
      <c r="A27" s="31" t="s">
        <v>51</v>
      </c>
      <c r="B27" s="31"/>
      <c r="C27" s="31"/>
      <c r="D27" s="70">
        <f>E27/E8</f>
        <v>212.13454566979522</v>
      </c>
      <c r="E27" s="33">
        <f>E26+E23</f>
        <v>929149.31003370299</v>
      </c>
      <c r="F27" s="407"/>
      <c r="G27" s="162"/>
      <c r="H27" s="31" t="s">
        <v>51</v>
      </c>
      <c r="I27" s="31"/>
      <c r="J27" s="31"/>
      <c r="K27" s="70">
        <f>L27/L8</f>
        <v>214.86823504203443</v>
      </c>
      <c r="L27" s="33">
        <f>L26+L23</f>
        <v>941122.86948411085</v>
      </c>
      <c r="M27" s="393"/>
      <c r="O27" s="11"/>
      <c r="P27" s="29"/>
      <c r="Q27" s="40"/>
      <c r="R27" s="40"/>
      <c r="S27" s="41"/>
    </row>
    <row r="28" spans="1:20" ht="13.15" x14ac:dyDescent="0.25">
      <c r="F28" s="407"/>
      <c r="G28" s="162"/>
      <c r="O28" s="43"/>
      <c r="P28" s="29"/>
      <c r="Q28" s="44" t="s">
        <v>37</v>
      </c>
      <c r="R28" s="44"/>
      <c r="S28" s="41"/>
    </row>
    <row r="29" spans="1:20" ht="13.15" x14ac:dyDescent="0.25">
      <c r="A29" s="23" t="s">
        <v>39</v>
      </c>
      <c r="D29" s="71">
        <f>$Q$49</f>
        <v>20.4634671275006</v>
      </c>
      <c r="E29" s="105">
        <f>D29*E8</f>
        <v>89629.986018452633</v>
      </c>
      <c r="F29" s="407"/>
      <c r="G29" s="162"/>
      <c r="H29" s="23" t="s">
        <v>39</v>
      </c>
      <c r="K29" s="71">
        <f>$Q$49</f>
        <v>20.4634671275006</v>
      </c>
      <c r="L29" s="105">
        <f>K29*L8</f>
        <v>89629.986018452633</v>
      </c>
      <c r="M29" s="630"/>
      <c r="O29" s="43" t="s">
        <v>35</v>
      </c>
      <c r="P29" s="65" t="s">
        <v>98</v>
      </c>
      <c r="Q29" s="65" t="s">
        <v>88</v>
      </c>
      <c r="R29" s="65" t="s">
        <v>89</v>
      </c>
      <c r="S29" s="66" t="s">
        <v>90</v>
      </c>
    </row>
    <row r="30" spans="1:20" ht="13.15" x14ac:dyDescent="0.25">
      <c r="A30" s="29" t="s">
        <v>40</v>
      </c>
      <c r="D30" s="71">
        <f>$Q$50</f>
        <v>16.648815707573558</v>
      </c>
      <c r="E30" s="105">
        <f>D30*E8</f>
        <v>72921.812799172185</v>
      </c>
      <c r="F30" s="407"/>
      <c r="G30" s="162"/>
      <c r="H30" s="29" t="s">
        <v>40</v>
      </c>
      <c r="K30" s="71">
        <f>$Q$50</f>
        <v>16.648815707573558</v>
      </c>
      <c r="L30" s="105">
        <f>K30*L8</f>
        <v>72921.812799172185</v>
      </c>
      <c r="M30" s="630"/>
      <c r="O30" s="43" t="s">
        <v>36</v>
      </c>
      <c r="P30" s="57">
        <f>'[9]Rate Options'!I28</f>
        <v>12</v>
      </c>
      <c r="Q30" s="57">
        <f>'[9]Rate Options'!J28</f>
        <v>12</v>
      </c>
      <c r="R30" s="57">
        <f>'[9]Rate Options'!K28</f>
        <v>10</v>
      </c>
      <c r="S30" s="67">
        <f>'[9]Rate Options'!L28</f>
        <v>12</v>
      </c>
    </row>
    <row r="31" spans="1:20" ht="13.15" x14ac:dyDescent="0.25">
      <c r="A31" s="29" t="s">
        <v>41</v>
      </c>
      <c r="D31" s="71">
        <f>$Q$51</f>
        <v>0.66139269406392698</v>
      </c>
      <c r="E31" s="105">
        <f>D31*E8</f>
        <v>2896.9</v>
      </c>
      <c r="F31" s="407"/>
      <c r="G31" s="162"/>
      <c r="H31" s="29" t="s">
        <v>41</v>
      </c>
      <c r="K31" s="71">
        <f>$Q$51</f>
        <v>0.66139269406392698</v>
      </c>
      <c r="L31" s="105">
        <f>K31*L8</f>
        <v>2896.9</v>
      </c>
      <c r="M31" s="630"/>
      <c r="O31" s="7" t="s">
        <v>19</v>
      </c>
      <c r="P31" s="189">
        <f>'[9]Rate Options'!I30</f>
        <v>1.75</v>
      </c>
      <c r="Q31" s="189">
        <f>'[9]Rate Options'!J30</f>
        <v>1.75</v>
      </c>
      <c r="R31" s="189">
        <f>'[9]Rate Options'!K30</f>
        <v>1</v>
      </c>
      <c r="S31" s="190">
        <f>'[9]Rate Options'!L30</f>
        <v>1</v>
      </c>
    </row>
    <row r="32" spans="1:20" ht="13.15" x14ac:dyDescent="0.25">
      <c r="A32" s="29" t="s">
        <v>42</v>
      </c>
      <c r="D32" s="71">
        <f>$Q$52</f>
        <v>-1.9951315068493152</v>
      </c>
      <c r="E32" s="105">
        <f>D32*E8</f>
        <v>-8738.6760000000013</v>
      </c>
      <c r="F32" s="407"/>
      <c r="G32" s="162"/>
      <c r="H32" s="29" t="s">
        <v>42</v>
      </c>
      <c r="K32" s="71">
        <f>$Q$52</f>
        <v>-1.9951315068493152</v>
      </c>
      <c r="L32" s="105">
        <f>K32*L8</f>
        <v>-8738.6760000000013</v>
      </c>
      <c r="M32" s="630"/>
      <c r="O32" s="7" t="s">
        <v>227</v>
      </c>
      <c r="P32" s="189"/>
      <c r="Q32" s="189"/>
      <c r="R32" s="189"/>
      <c r="S32" s="190"/>
    </row>
    <row r="33" spans="1:20" ht="13.15" x14ac:dyDescent="0.25">
      <c r="D33" s="72">
        <f>SUM(D29:D32)</f>
        <v>35.77854402228877</v>
      </c>
      <c r="F33" s="407"/>
      <c r="G33" s="162"/>
      <c r="K33" s="72">
        <f>SUM(K29:K32)</f>
        <v>35.77854402228877</v>
      </c>
      <c r="O33" s="11" t="s">
        <v>23</v>
      </c>
      <c r="P33" s="189">
        <f>'[9]Rate Options'!I32</f>
        <v>0.1</v>
      </c>
      <c r="Q33" s="189"/>
      <c r="R33" s="189"/>
      <c r="S33" s="190"/>
    </row>
    <row r="34" spans="1:20" ht="13.15" x14ac:dyDescent="0.25">
      <c r="F34" s="407"/>
      <c r="G34" s="162"/>
      <c r="O34" s="11" t="s">
        <v>24</v>
      </c>
      <c r="P34" s="189">
        <f>'[9]Rate Options'!I33</f>
        <v>0.25</v>
      </c>
      <c r="Q34" s="189">
        <f>'[9]Rate Options'!J33</f>
        <v>0.25</v>
      </c>
      <c r="R34" s="189">
        <f>'[9]Rate Options'!K33</f>
        <v>0.1</v>
      </c>
      <c r="S34" s="190"/>
    </row>
    <row r="35" spans="1:20" ht="13.15" x14ac:dyDescent="0.25">
      <c r="A35" s="31" t="s">
        <v>43</v>
      </c>
      <c r="B35" s="31"/>
      <c r="C35" s="31"/>
      <c r="D35" s="31"/>
      <c r="E35" s="33">
        <f>SUM(E27:E32)</f>
        <v>1085859.3328513277</v>
      </c>
      <c r="F35" s="407"/>
      <c r="G35" s="162"/>
      <c r="H35" s="31" t="s">
        <v>43</v>
      </c>
      <c r="I35" s="31"/>
      <c r="J35" s="31"/>
      <c r="K35" s="31"/>
      <c r="L35" s="33">
        <f>SUM(L27:L32)</f>
        <v>1097832.8923017357</v>
      </c>
      <c r="M35" s="393"/>
      <c r="O35" s="11" t="s">
        <v>25</v>
      </c>
      <c r="P35" s="189">
        <f>'[9]Rate Options'!I34</f>
        <v>0.5</v>
      </c>
      <c r="Q35" s="189"/>
      <c r="R35" s="189"/>
      <c r="S35" s="190"/>
    </row>
    <row r="36" spans="1:20" ht="13.15" x14ac:dyDescent="0.25">
      <c r="F36" s="407"/>
      <c r="G36" s="162"/>
      <c r="O36" s="11" t="s">
        <v>26</v>
      </c>
      <c r="P36" s="189">
        <f>'[9]Rate Options'!I35</f>
        <v>1</v>
      </c>
      <c r="Q36" s="189">
        <f>'[9]Rate Options'!J35</f>
        <v>0.5</v>
      </c>
      <c r="R36" s="189" t="s">
        <v>91</v>
      </c>
      <c r="S36" s="190"/>
    </row>
    <row r="37" spans="1:20" ht="13.15" x14ac:dyDescent="0.25">
      <c r="A37" s="23" t="s">
        <v>44</v>
      </c>
      <c r="C37" s="97">
        <f>$Q$55</f>
        <v>0.11846733793705286</v>
      </c>
      <c r="E37" s="28">
        <f>C37*E35</f>
        <v>128638.86453700101</v>
      </c>
      <c r="F37" s="407"/>
      <c r="G37" s="162"/>
      <c r="H37" s="23" t="s">
        <v>44</v>
      </c>
      <c r="J37" s="97">
        <f>$Q$55</f>
        <v>0.11846733793705286</v>
      </c>
      <c r="L37" s="28">
        <f>J37*L35</f>
        <v>130057.34025072189</v>
      </c>
      <c r="M37" s="284"/>
      <c r="O37" s="7" t="s">
        <v>5</v>
      </c>
      <c r="P37" s="189"/>
      <c r="Q37" s="189"/>
      <c r="R37" s="189"/>
      <c r="S37" s="190"/>
    </row>
    <row r="38" spans="1:20" ht="13.15" x14ac:dyDescent="0.25">
      <c r="F38" s="407"/>
      <c r="G38" s="162"/>
      <c r="O38" s="11" t="s">
        <v>85</v>
      </c>
      <c r="P38" s="189"/>
      <c r="Q38" s="189"/>
      <c r="R38" s="189">
        <f>'[9]Rate Options'!K37</f>
        <v>0.5</v>
      </c>
      <c r="S38" s="190">
        <f>'[9]Rate Options'!L37</f>
        <v>0.5</v>
      </c>
    </row>
    <row r="39" spans="1:20" ht="13.9" thickBot="1" x14ac:dyDescent="0.3">
      <c r="A39" s="73" t="s">
        <v>52</v>
      </c>
      <c r="B39" s="74"/>
      <c r="C39" s="74"/>
      <c r="D39" s="74"/>
      <c r="E39" s="75">
        <f>SUM(E35:E37)</f>
        <v>1214498.1973883286</v>
      </c>
      <c r="F39" s="407"/>
      <c r="G39" s="162"/>
      <c r="H39" s="73" t="s">
        <v>52</v>
      </c>
      <c r="I39" s="74"/>
      <c r="J39" s="74"/>
      <c r="K39" s="74"/>
      <c r="L39" s="75">
        <f>SUM(L35:L37)</f>
        <v>1227890.2325524576</v>
      </c>
      <c r="M39" s="393"/>
      <c r="O39" s="11" t="s">
        <v>59</v>
      </c>
      <c r="P39" s="189">
        <f>'[9]Rate Options'!I38</f>
        <v>1</v>
      </c>
      <c r="Q39" s="189">
        <f>'[9]Rate Options'!J38</f>
        <v>1</v>
      </c>
      <c r="R39" s="189"/>
      <c r="S39" s="190"/>
    </row>
    <row r="40" spans="1:20" ht="13.9" thickTop="1" x14ac:dyDescent="0.25">
      <c r="F40" s="407"/>
      <c r="G40" s="162"/>
      <c r="O40" s="11" t="s">
        <v>60</v>
      </c>
      <c r="P40" s="189"/>
      <c r="Q40" s="189"/>
      <c r="R40" s="189">
        <f>'[9]Rate Options'!K39</f>
        <v>1</v>
      </c>
      <c r="S40" s="190">
        <f>'[9]Rate Options'!L39</f>
        <v>2</v>
      </c>
    </row>
    <row r="41" spans="1:20" x14ac:dyDescent="0.2">
      <c r="A41" s="23" t="s">
        <v>53</v>
      </c>
      <c r="C41" s="98">
        <f>$Q$57</f>
        <v>5.3904190379097106E-2</v>
      </c>
      <c r="E41" s="77">
        <f>E39*(1+C41)</f>
        <v>1279964.7394354194</v>
      </c>
      <c r="F41" s="407"/>
      <c r="G41" s="162"/>
      <c r="H41" s="23" t="s">
        <v>53</v>
      </c>
      <c r="J41" s="98">
        <f>$Q$57</f>
        <v>5.3904190379097106E-2</v>
      </c>
      <c r="L41" s="77">
        <f>L39*(1+J41)</f>
        <v>1294078.661412599</v>
      </c>
      <c r="M41" s="631"/>
      <c r="O41" s="11" t="s">
        <v>30</v>
      </c>
      <c r="P41" s="189">
        <f>'[9]Rate Options'!I40</f>
        <v>15</v>
      </c>
      <c r="Q41" s="189">
        <f>'[9]Rate Options'!J40</f>
        <v>13</v>
      </c>
      <c r="R41" s="189">
        <f>'[9]Rate Options'!K40</f>
        <v>6</v>
      </c>
      <c r="S41" s="190"/>
      <c r="T41" s="243" t="s">
        <v>92</v>
      </c>
    </row>
    <row r="42" spans="1:20" ht="13.15" x14ac:dyDescent="0.25">
      <c r="F42" s="407"/>
      <c r="G42" s="162"/>
      <c r="O42" s="42" t="s">
        <v>31</v>
      </c>
      <c r="P42" s="187">
        <f>P41*$Q$10</f>
        <v>2.3653846153846154</v>
      </c>
      <c r="Q42" s="187">
        <f>Q41*$Q$10</f>
        <v>2.0499999999999998</v>
      </c>
      <c r="R42" s="187">
        <f>R41*$Q$10</f>
        <v>0.94615384615384612</v>
      </c>
      <c r="S42" s="188"/>
    </row>
    <row r="43" spans="1:20" ht="13.15" x14ac:dyDescent="0.25">
      <c r="E43" s="92" t="s">
        <v>56</v>
      </c>
      <c r="F43" s="407"/>
      <c r="G43" s="162"/>
      <c r="L43" s="92" t="s">
        <v>56</v>
      </c>
      <c r="M43" s="632"/>
      <c r="O43" s="7" t="s">
        <v>6</v>
      </c>
      <c r="P43" s="189"/>
      <c r="Q43" s="189"/>
      <c r="R43" s="189"/>
      <c r="S43" s="190"/>
    </row>
    <row r="44" spans="1:20" ht="13.15" x14ac:dyDescent="0.25">
      <c r="A44" s="23" t="s">
        <v>55</v>
      </c>
      <c r="D44" s="76">
        <f>E39/E8</f>
        <v>277.28269346765495</v>
      </c>
      <c r="E44" s="76">
        <f>D44*(1+C41)</f>
        <v>292.22939256516423</v>
      </c>
      <c r="F44" s="407"/>
      <c r="G44" s="162"/>
      <c r="H44" s="23" t="s">
        <v>55</v>
      </c>
      <c r="K44" s="76">
        <f>L39/L8</f>
        <v>280.3402357425702</v>
      </c>
      <c r="L44" s="76">
        <f>K44*(1+J41)</f>
        <v>295.45174918095864</v>
      </c>
      <c r="M44" s="633"/>
      <c r="O44" s="11" t="s">
        <v>32</v>
      </c>
      <c r="P44" s="189">
        <f>'[9]Rate Options'!I43</f>
        <v>0.25</v>
      </c>
      <c r="Q44" s="189">
        <f>'[9]Rate Options'!J43</f>
        <v>0.25</v>
      </c>
      <c r="R44" s="189">
        <f>'[9]Rate Options'!K43</f>
        <v>0.25</v>
      </c>
      <c r="S44" s="190">
        <f>'[9]Rate Options'!L43</f>
        <v>0.25</v>
      </c>
    </row>
    <row r="45" spans="1:20" ht="13.9" thickBot="1" x14ac:dyDescent="0.3">
      <c r="A45" s="377" t="s">
        <v>456</v>
      </c>
      <c r="B45" s="378"/>
      <c r="C45" s="379">
        <f>'CAF Spring 2015'!$BC$24</f>
        <v>2.0354406130268236E-2</v>
      </c>
      <c r="D45" s="380"/>
      <c r="E45" s="380"/>
      <c r="F45" s="386">
        <f>E44*(1+C45)</f>
        <v>298.17754830463718</v>
      </c>
      <c r="G45" s="398"/>
      <c r="H45" s="377" t="s">
        <v>456</v>
      </c>
      <c r="I45" s="378"/>
      <c r="J45" s="379">
        <f>'CAF Spring 2015'!$BC$24</f>
        <v>2.0354406130268236E-2</v>
      </c>
      <c r="K45" s="380"/>
      <c r="L45" s="380">
        <f>L44*(1+J45)</f>
        <v>301.46549407568602</v>
      </c>
      <c r="M45" s="633"/>
      <c r="O45" s="43"/>
      <c r="P45" s="29"/>
      <c r="Q45" s="29"/>
      <c r="R45" s="29"/>
      <c r="S45" s="41"/>
    </row>
    <row r="46" spans="1:20" ht="13.9" thickBot="1" x14ac:dyDescent="0.3">
      <c r="A46" s="78" t="s">
        <v>54</v>
      </c>
      <c r="B46" s="79">
        <v>0.9</v>
      </c>
      <c r="C46" s="80"/>
      <c r="D46" s="86">
        <f>E39/(E8*B46)</f>
        <v>308.0918816307277</v>
      </c>
      <c r="E46" s="384">
        <f>D46*(1+C41)</f>
        <v>324.69932507240469</v>
      </c>
      <c r="F46" s="660">
        <f>F45/B46</f>
        <v>331.30838700515244</v>
      </c>
      <c r="G46" s="394"/>
      <c r="H46" s="78" t="s">
        <v>54</v>
      </c>
      <c r="I46" s="79">
        <v>0.9</v>
      </c>
      <c r="J46" s="80"/>
      <c r="K46" s="86"/>
      <c r="L46" s="656">
        <f>L45/I46</f>
        <v>334.96166008409557</v>
      </c>
      <c r="M46" s="389"/>
      <c r="O46" s="43"/>
      <c r="P46" s="29"/>
      <c r="Q46" s="44" t="s">
        <v>38</v>
      </c>
      <c r="R46" s="44"/>
      <c r="S46" s="41"/>
    </row>
    <row r="47" spans="1:20" ht="13.15" x14ac:dyDescent="0.25">
      <c r="A47" s="81"/>
      <c r="B47" s="82">
        <v>0.85</v>
      </c>
      <c r="C47" s="83"/>
      <c r="D47" s="88">
        <f>E39/(E8*B47)</f>
        <v>326.21493349135875</v>
      </c>
      <c r="E47" s="89">
        <f>D47*(1+C41)</f>
        <v>343.79928537078143</v>
      </c>
      <c r="F47" s="381"/>
      <c r="G47" s="394"/>
      <c r="H47" s="81"/>
      <c r="I47" s="82">
        <v>0.85</v>
      </c>
      <c r="J47" s="83"/>
      <c r="K47" s="88"/>
      <c r="L47" s="626"/>
      <c r="M47" s="389"/>
      <c r="O47" s="43" t="s">
        <v>22</v>
      </c>
      <c r="P47" s="29"/>
      <c r="Q47" s="95">
        <f>[10]Summary!$C$18</f>
        <v>0.23424901786252411</v>
      </c>
      <c r="R47" s="114" t="s">
        <v>68</v>
      </c>
      <c r="S47" s="41"/>
      <c r="T47" s="177"/>
    </row>
    <row r="48" spans="1:20" ht="13.15" x14ac:dyDescent="0.25">
      <c r="A48" s="84"/>
      <c r="B48" s="85">
        <v>0.8</v>
      </c>
      <c r="C48" s="34"/>
      <c r="D48" s="90">
        <f>E39/(E8*B48)</f>
        <v>346.60336683456865</v>
      </c>
      <c r="E48" s="91">
        <f>D48*(1+C41)</f>
        <v>365.28674070645525</v>
      </c>
      <c r="F48" s="382"/>
      <c r="G48" s="394"/>
      <c r="H48" s="84"/>
      <c r="I48" s="85">
        <v>0.8</v>
      </c>
      <c r="J48" s="34"/>
      <c r="K48" s="90"/>
      <c r="L48" s="627"/>
      <c r="M48" s="389"/>
      <c r="O48" s="43"/>
      <c r="P48" s="29"/>
      <c r="Q48" s="48"/>
      <c r="R48" s="48"/>
      <c r="S48" s="41"/>
    </row>
    <row r="49" spans="1:19" ht="13.15" x14ac:dyDescent="0.25">
      <c r="O49" s="43" t="s">
        <v>39</v>
      </c>
      <c r="P49" s="29"/>
      <c r="Q49" s="59">
        <f>'[9]Avg Expenses'!$H$5</f>
        <v>20.4634671275006</v>
      </c>
      <c r="R49" s="59"/>
      <c r="S49" s="41"/>
    </row>
    <row r="50" spans="1:19" ht="13.15" x14ac:dyDescent="0.25">
      <c r="O50" s="43" t="s">
        <v>40</v>
      </c>
      <c r="P50" s="29"/>
      <c r="Q50" s="59">
        <f>'[9]Avg Expenses'!$H$11</f>
        <v>16.648815707573558</v>
      </c>
      <c r="R50" s="59"/>
      <c r="S50" s="41"/>
    </row>
    <row r="51" spans="1:19" ht="13.15" customHeight="1" x14ac:dyDescent="0.2">
      <c r="A51" s="1520" t="s">
        <v>506</v>
      </c>
      <c r="B51" s="1521"/>
      <c r="C51" s="1521"/>
      <c r="D51" s="1521"/>
      <c r="E51" s="1521"/>
      <c r="F51" s="1433" t="s">
        <v>460</v>
      </c>
      <c r="G51" s="521"/>
      <c r="H51" s="1520" t="s">
        <v>510</v>
      </c>
      <c r="I51" s="1521"/>
      <c r="J51" s="1521"/>
      <c r="K51" s="1521"/>
      <c r="L51" s="1521"/>
      <c r="M51" s="335"/>
      <c r="O51" s="43" t="s">
        <v>41</v>
      </c>
      <c r="P51" s="29"/>
      <c r="Q51" s="59">
        <f>[9]Transportation!$C$21</f>
        <v>0.66139269406392698</v>
      </c>
      <c r="R51" s="59"/>
      <c r="S51" s="41"/>
    </row>
    <row r="52" spans="1:19" ht="15" customHeight="1" thickBot="1" x14ac:dyDescent="0.25">
      <c r="A52" s="1474"/>
      <c r="B52" s="1474"/>
      <c r="C52" s="1474"/>
      <c r="D52" s="1474"/>
      <c r="E52" s="1474"/>
      <c r="F52" s="1469"/>
      <c r="G52" s="625"/>
      <c r="H52" s="1474"/>
      <c r="I52" s="1474"/>
      <c r="J52" s="1474"/>
      <c r="K52" s="1474"/>
      <c r="L52" s="1474"/>
      <c r="M52" s="335"/>
      <c r="O52" s="43" t="s">
        <v>42</v>
      </c>
      <c r="P52" s="29"/>
      <c r="Q52" s="59">
        <f>-1*[11]Sheet1!$F$26</f>
        <v>-1.9951315068493152</v>
      </c>
      <c r="R52" s="59"/>
      <c r="S52" s="41"/>
    </row>
    <row r="53" spans="1:19" ht="13.15" x14ac:dyDescent="0.25">
      <c r="A53" s="25" t="s">
        <v>0</v>
      </c>
      <c r="B53" s="69">
        <f>Q$30</f>
        <v>12</v>
      </c>
      <c r="C53" s="25"/>
      <c r="D53" s="25" t="s">
        <v>1</v>
      </c>
      <c r="E53" s="68">
        <f>B53*365</f>
        <v>4380</v>
      </c>
      <c r="F53" s="427"/>
      <c r="G53" s="162"/>
      <c r="H53" s="25" t="s">
        <v>0</v>
      </c>
      <c r="I53" s="69">
        <v>12</v>
      </c>
      <c r="J53" s="25"/>
      <c r="K53" s="25" t="s">
        <v>1</v>
      </c>
      <c r="L53" s="68">
        <f>I53*365</f>
        <v>4380</v>
      </c>
      <c r="M53" s="629"/>
      <c r="O53" s="101" t="s">
        <v>43</v>
      </c>
      <c r="P53" s="102"/>
      <c r="Q53" s="103">
        <f>SUM(Q49:Q52)</f>
        <v>35.77854402228877</v>
      </c>
      <c r="R53" s="103"/>
      <c r="S53" s="104"/>
    </row>
    <row r="54" spans="1:19" ht="13.15" x14ac:dyDescent="0.25">
      <c r="F54" s="407"/>
      <c r="G54" s="162"/>
      <c r="O54" s="43"/>
      <c r="P54" s="29"/>
      <c r="Q54" s="29"/>
      <c r="R54" s="29"/>
      <c r="S54" s="41"/>
    </row>
    <row r="55" spans="1:19" ht="13.15" x14ac:dyDescent="0.25">
      <c r="A55" s="26"/>
      <c r="B55" s="26"/>
      <c r="C55" s="27" t="s">
        <v>2</v>
      </c>
      <c r="D55" s="27" t="s">
        <v>3</v>
      </c>
      <c r="E55" s="27" t="s">
        <v>4</v>
      </c>
      <c r="F55" s="407"/>
      <c r="G55" s="162"/>
      <c r="H55" s="26"/>
      <c r="I55" s="26"/>
      <c r="J55" s="27" t="s">
        <v>2</v>
      </c>
      <c r="K55" s="27" t="s">
        <v>3</v>
      </c>
      <c r="L55" s="27" t="s">
        <v>4</v>
      </c>
      <c r="M55" s="335"/>
      <c r="O55" s="43" t="s">
        <v>44</v>
      </c>
      <c r="P55" s="29"/>
      <c r="Q55" s="95">
        <f>'STARR (rebased)'!T47</f>
        <v>0.11846733793705286</v>
      </c>
      <c r="R55" s="114" t="s">
        <v>93</v>
      </c>
      <c r="S55" s="41"/>
    </row>
    <row r="56" spans="1:19" ht="13.15" x14ac:dyDescent="0.25">
      <c r="A56" s="1" t="s">
        <v>19</v>
      </c>
      <c r="C56" s="30">
        <f>Q$13</f>
        <v>52305.406251052875</v>
      </c>
      <c r="D56" s="35">
        <f>Q$31</f>
        <v>1.75</v>
      </c>
      <c r="E56" s="28">
        <f>C56*D56</f>
        <v>91534.460939342534</v>
      </c>
      <c r="F56" s="407"/>
      <c r="G56" s="162"/>
      <c r="H56" s="1" t="s">
        <v>19</v>
      </c>
      <c r="J56" s="30">
        <v>52305.406251052875</v>
      </c>
      <c r="K56" s="35">
        <v>1.75</v>
      </c>
      <c r="L56" s="28">
        <f>J56*K56</f>
        <v>91534.460939342534</v>
      </c>
      <c r="M56" s="284"/>
      <c r="O56" s="43"/>
      <c r="P56" s="29"/>
      <c r="Q56" s="29"/>
      <c r="R56" s="29"/>
      <c r="S56" s="41"/>
    </row>
    <row r="57" spans="1:19" ht="13.9" thickBot="1" x14ac:dyDescent="0.3">
      <c r="A57" s="2" t="s">
        <v>227</v>
      </c>
      <c r="C57" s="30"/>
      <c r="D57" s="35"/>
      <c r="E57" s="28"/>
      <c r="F57" s="407"/>
      <c r="G57" s="162"/>
      <c r="H57" s="2" t="s">
        <v>227</v>
      </c>
      <c r="J57" s="30"/>
      <c r="K57" s="35"/>
      <c r="L57" s="28"/>
      <c r="M57" s="284"/>
      <c r="O57" s="51" t="s">
        <v>45</v>
      </c>
      <c r="P57" s="52"/>
      <c r="Q57" s="96">
        <f>'[12]Spring 2011 CPI'!$J$28</f>
        <v>5.3904190379097106E-2</v>
      </c>
      <c r="R57" s="96"/>
      <c r="S57" s="53"/>
    </row>
    <row r="58" spans="1:19" ht="13.15" x14ac:dyDescent="0.25">
      <c r="A58" s="3" t="s">
        <v>24</v>
      </c>
      <c r="C58" s="30">
        <f>Q16</f>
        <v>64673.926018287602</v>
      </c>
      <c r="D58" s="35">
        <f>Q34</f>
        <v>0.25</v>
      </c>
      <c r="E58" s="28">
        <f>C58*D58</f>
        <v>16168.481504571901</v>
      </c>
      <c r="F58" s="407"/>
      <c r="G58" s="162"/>
      <c r="H58" s="3" t="s">
        <v>24</v>
      </c>
      <c r="J58" s="30">
        <v>64673.926018287602</v>
      </c>
      <c r="K58" s="35">
        <f>0.25 + (I53*0.5/40)</f>
        <v>0.4</v>
      </c>
      <c r="L58" s="28">
        <f>J58*K58</f>
        <v>25869.570407315041</v>
      </c>
      <c r="M58" s="284"/>
      <c r="O58" s="63" t="s">
        <v>50</v>
      </c>
      <c r="P58" s="64" t="s">
        <v>46</v>
      </c>
    </row>
    <row r="59" spans="1:19" ht="13.15" x14ac:dyDescent="0.25">
      <c r="A59" s="3" t="s">
        <v>26</v>
      </c>
      <c r="C59" s="282">
        <f>Q18</f>
        <v>50000</v>
      </c>
      <c r="D59" s="35">
        <f>Q36</f>
        <v>0.5</v>
      </c>
      <c r="E59" s="28">
        <f>C59*D59</f>
        <v>25000</v>
      </c>
      <c r="F59" s="407"/>
      <c r="G59" s="162"/>
      <c r="H59" s="3" t="s">
        <v>26</v>
      </c>
      <c r="J59" s="282">
        <v>50000</v>
      </c>
      <c r="K59" s="659">
        <v>0.5</v>
      </c>
      <c r="L59" s="28">
        <f>J59*K59</f>
        <v>25000</v>
      </c>
      <c r="M59" s="284"/>
      <c r="O59" s="24" t="s">
        <v>47</v>
      </c>
    </row>
    <row r="60" spans="1:19" ht="13.15" x14ac:dyDescent="0.25">
      <c r="A60" s="2" t="s">
        <v>5</v>
      </c>
      <c r="C60" s="30"/>
      <c r="D60" s="35"/>
      <c r="E60" s="28"/>
      <c r="F60" s="407"/>
      <c r="G60" s="162"/>
      <c r="H60" s="2" t="s">
        <v>5</v>
      </c>
      <c r="J60" s="30"/>
      <c r="K60" s="35"/>
      <c r="L60" s="28"/>
      <c r="M60" s="284"/>
      <c r="O60" s="23" t="s">
        <v>63</v>
      </c>
    </row>
    <row r="61" spans="1:19" ht="13.15" x14ac:dyDescent="0.25">
      <c r="A61" s="3" t="s">
        <v>59</v>
      </c>
      <c r="C61" s="30">
        <f>Q21</f>
        <v>42189.221412467887</v>
      </c>
      <c r="D61" s="35">
        <f>Q39</f>
        <v>1</v>
      </c>
      <c r="E61" s="28">
        <f>C61*D61</f>
        <v>42189.221412467887</v>
      </c>
      <c r="F61" s="407"/>
      <c r="G61" s="162"/>
      <c r="H61" s="3" t="s">
        <v>59</v>
      </c>
      <c r="J61" s="30">
        <v>42189.221412467887</v>
      </c>
      <c r="K61" s="35">
        <v>1</v>
      </c>
      <c r="L61" s="28">
        <f>J61*K61</f>
        <v>42189.221412467887</v>
      </c>
      <c r="M61" s="284"/>
      <c r="O61" s="54" t="s">
        <v>48</v>
      </c>
    </row>
    <row r="62" spans="1:19" ht="13.15" x14ac:dyDescent="0.25">
      <c r="A62" s="3" t="s">
        <v>30</v>
      </c>
      <c r="C62" s="30">
        <f>Q23</f>
        <v>28500</v>
      </c>
      <c r="D62" s="35">
        <f>Q41</f>
        <v>13</v>
      </c>
      <c r="E62" s="28">
        <f>C62*D62</f>
        <v>370500</v>
      </c>
      <c r="F62" s="407"/>
      <c r="G62" s="162"/>
      <c r="H62" s="3" t="s">
        <v>30</v>
      </c>
      <c r="J62" s="30">
        <v>28500</v>
      </c>
      <c r="K62" s="35">
        <v>13</v>
      </c>
      <c r="L62" s="28">
        <f>J62*K62</f>
        <v>370500</v>
      </c>
      <c r="M62" s="634"/>
    </row>
    <row r="63" spans="1:19" ht="13.15" x14ac:dyDescent="0.25">
      <c r="A63" s="4" t="s">
        <v>31</v>
      </c>
      <c r="C63" s="282">
        <f>Q24</f>
        <v>28500</v>
      </c>
      <c r="D63" s="283">
        <f>Q42</f>
        <v>2.0499999999999998</v>
      </c>
      <c r="E63" s="28">
        <f>C63*D63</f>
        <v>58424.999999999993</v>
      </c>
      <c r="F63" s="407"/>
      <c r="G63" s="162"/>
      <c r="H63" s="4" t="s">
        <v>31</v>
      </c>
      <c r="J63" s="282">
        <v>28500</v>
      </c>
      <c r="K63" s="283">
        <v>2.0499999999999998</v>
      </c>
      <c r="L63" s="28">
        <f>J63*K63</f>
        <v>58424.999999999993</v>
      </c>
      <c r="M63" s="284"/>
      <c r="O63" s="55" t="s">
        <v>49</v>
      </c>
    </row>
    <row r="64" spans="1:19" ht="13.15" x14ac:dyDescent="0.25">
      <c r="A64" s="2" t="s">
        <v>6</v>
      </c>
      <c r="C64" s="30"/>
      <c r="D64" s="35"/>
      <c r="E64" s="28"/>
      <c r="F64" s="407"/>
      <c r="G64" s="162"/>
      <c r="H64" s="2" t="s">
        <v>6</v>
      </c>
      <c r="J64" s="30"/>
      <c r="K64" s="35"/>
      <c r="L64" s="28"/>
      <c r="M64" s="284"/>
      <c r="O64" s="23" t="s">
        <v>67</v>
      </c>
    </row>
    <row r="65" spans="1:15" ht="13.15" x14ac:dyDescent="0.25">
      <c r="A65" s="3" t="s">
        <v>32</v>
      </c>
      <c r="C65" s="30">
        <f>Q26</f>
        <v>28500</v>
      </c>
      <c r="D65" s="35">
        <f>Q44</f>
        <v>0.25</v>
      </c>
      <c r="E65" s="28">
        <f>C65*D65</f>
        <v>7125</v>
      </c>
      <c r="F65" s="407"/>
      <c r="G65" s="162"/>
      <c r="H65" s="3" t="s">
        <v>32</v>
      </c>
      <c r="J65" s="30">
        <v>28500</v>
      </c>
      <c r="K65" s="35">
        <v>0.25</v>
      </c>
      <c r="L65" s="28">
        <f>J65*K65</f>
        <v>7125</v>
      </c>
      <c r="M65" s="284"/>
      <c r="O65" s="23" t="s">
        <v>83</v>
      </c>
    </row>
    <row r="66" spans="1:15" ht="13.15" x14ac:dyDescent="0.25">
      <c r="A66" s="31" t="s">
        <v>7</v>
      </c>
      <c r="B66" s="31"/>
      <c r="C66" s="31"/>
      <c r="D66" s="32">
        <f>SUM(D56:D65)</f>
        <v>18.8</v>
      </c>
      <c r="E66" s="33">
        <f>SUM(E56:E65)</f>
        <v>610942.16385638225</v>
      </c>
      <c r="F66" s="407"/>
      <c r="G66" s="162"/>
      <c r="H66" s="31" t="s">
        <v>7</v>
      </c>
      <c r="I66" s="31"/>
      <c r="J66" s="31"/>
      <c r="K66" s="32">
        <f>SUM(K56:K65)</f>
        <v>18.95</v>
      </c>
      <c r="L66" s="33">
        <f>SUM(L56:L65)</f>
        <v>620643.25275912543</v>
      </c>
      <c r="M66" s="393"/>
      <c r="O66" s="23" t="s">
        <v>57</v>
      </c>
    </row>
    <row r="67" spans="1:15" ht="13.15" x14ac:dyDescent="0.25">
      <c r="F67" s="407"/>
      <c r="G67" s="162"/>
      <c r="O67" s="100" t="s">
        <v>76</v>
      </c>
    </row>
    <row r="68" spans="1:15" ht="13.15" x14ac:dyDescent="0.25">
      <c r="A68" s="25" t="s">
        <v>21</v>
      </c>
      <c r="D68" s="25" t="s">
        <v>20</v>
      </c>
      <c r="F68" s="407"/>
      <c r="G68" s="162"/>
      <c r="H68" s="25" t="s">
        <v>21</v>
      </c>
      <c r="K68" s="25" t="s">
        <v>20</v>
      </c>
      <c r="O68" s="109" t="s">
        <v>87</v>
      </c>
    </row>
    <row r="69" spans="1:15" ht="13.15" x14ac:dyDescent="0.25">
      <c r="A69" s="23" t="s">
        <v>22</v>
      </c>
      <c r="C69" s="97">
        <f>$Q$47</f>
        <v>0.23424901786252411</v>
      </c>
      <c r="E69" s="28">
        <f>C69*E66</f>
        <v>143112.60185416281</v>
      </c>
      <c r="F69" s="407"/>
      <c r="G69" s="162"/>
      <c r="H69" s="23" t="s">
        <v>22</v>
      </c>
      <c r="J69" s="97">
        <f>$Q$47</f>
        <v>0.23424901786252411</v>
      </c>
      <c r="L69" s="28">
        <f>J69*L66</f>
        <v>145385.07240182743</v>
      </c>
      <c r="M69" s="284"/>
      <c r="O69" s="94" t="s">
        <v>66</v>
      </c>
    </row>
    <row r="70" spans="1:15" x14ac:dyDescent="0.2">
      <c r="A70" s="31" t="s">
        <v>51</v>
      </c>
      <c r="B70" s="31"/>
      <c r="C70" s="31"/>
      <c r="D70" s="70">
        <f>E70/E53</f>
        <v>172.15862230834361</v>
      </c>
      <c r="E70" s="33">
        <f>E69+E66</f>
        <v>754054.76571054501</v>
      </c>
      <c r="F70" s="407"/>
      <c r="G70" s="162"/>
      <c r="H70" s="31" t="s">
        <v>51</v>
      </c>
      <c r="I70" s="31"/>
      <c r="J70" s="31"/>
      <c r="K70" s="70">
        <f>L70/L53</f>
        <v>174.89231168058285</v>
      </c>
      <c r="L70" s="33">
        <f>L69+L66</f>
        <v>766028.32516095287</v>
      </c>
      <c r="M70" s="393"/>
      <c r="O70" s="144" t="s">
        <v>141</v>
      </c>
    </row>
    <row r="71" spans="1:15" ht="13.15" x14ac:dyDescent="0.25">
      <c r="F71" s="407"/>
      <c r="G71" s="162"/>
      <c r="O71" s="94" t="s">
        <v>94</v>
      </c>
    </row>
    <row r="72" spans="1:15" ht="13.15" x14ac:dyDescent="0.25">
      <c r="A72" s="23" t="s">
        <v>39</v>
      </c>
      <c r="D72" s="71">
        <f>$Q$49</f>
        <v>20.4634671275006</v>
      </c>
      <c r="E72" s="105">
        <f>D72*E53</f>
        <v>89629.986018452633</v>
      </c>
      <c r="F72" s="407"/>
      <c r="G72" s="162"/>
      <c r="H72" s="23" t="s">
        <v>39</v>
      </c>
      <c r="K72" s="71">
        <f>$Q$49</f>
        <v>20.4634671275006</v>
      </c>
      <c r="L72" s="105">
        <f>K72*L53</f>
        <v>89629.986018452633</v>
      </c>
      <c r="M72" s="630"/>
    </row>
    <row r="73" spans="1:15" ht="13.15" x14ac:dyDescent="0.25">
      <c r="A73" s="29" t="s">
        <v>40</v>
      </c>
      <c r="D73" s="71">
        <f>$Q$50</f>
        <v>16.648815707573558</v>
      </c>
      <c r="E73" s="105">
        <f>D73*E53</f>
        <v>72921.812799172185</v>
      </c>
      <c r="F73" s="407"/>
      <c r="G73" s="162"/>
      <c r="H73" s="29" t="s">
        <v>40</v>
      </c>
      <c r="K73" s="71">
        <f>$Q$50</f>
        <v>16.648815707573558</v>
      </c>
      <c r="L73" s="105">
        <f>K73*L53</f>
        <v>72921.812799172185</v>
      </c>
      <c r="M73" s="630"/>
    </row>
    <row r="74" spans="1:15" ht="13.15" x14ac:dyDescent="0.25">
      <c r="A74" s="29" t="s">
        <v>41</v>
      </c>
      <c r="D74" s="71">
        <f>$Q$51</f>
        <v>0.66139269406392698</v>
      </c>
      <c r="E74" s="105">
        <f>D74*E53</f>
        <v>2896.9</v>
      </c>
      <c r="F74" s="407"/>
      <c r="G74" s="162"/>
      <c r="H74" s="29" t="s">
        <v>41</v>
      </c>
      <c r="K74" s="71">
        <f>$Q$51</f>
        <v>0.66139269406392698</v>
      </c>
      <c r="L74" s="105">
        <f>K74*L53</f>
        <v>2896.9</v>
      </c>
      <c r="M74" s="630"/>
    </row>
    <row r="75" spans="1:15" ht="13.15" x14ac:dyDescent="0.25">
      <c r="A75" s="29" t="s">
        <v>42</v>
      </c>
      <c r="D75" s="71">
        <f>$Q$52</f>
        <v>-1.9951315068493152</v>
      </c>
      <c r="E75" s="105">
        <f>D75*E53</f>
        <v>-8738.6760000000013</v>
      </c>
      <c r="F75" s="407"/>
      <c r="G75" s="162"/>
      <c r="H75" s="29" t="s">
        <v>42</v>
      </c>
      <c r="K75" s="71">
        <f>$Q$52</f>
        <v>-1.9951315068493152</v>
      </c>
      <c r="L75" s="105">
        <f>K75*L53</f>
        <v>-8738.6760000000013</v>
      </c>
      <c r="M75" s="630"/>
    </row>
    <row r="76" spans="1:15" ht="13.15" x14ac:dyDescent="0.25">
      <c r="D76" s="72">
        <f>SUM(D72:D75)</f>
        <v>35.77854402228877</v>
      </c>
      <c r="F76" s="407"/>
      <c r="G76" s="162"/>
      <c r="K76" s="72">
        <f>SUM(K72:K75)</f>
        <v>35.77854402228877</v>
      </c>
    </row>
    <row r="77" spans="1:15" ht="13.15" x14ac:dyDescent="0.25">
      <c r="F77" s="407"/>
      <c r="G77" s="162"/>
    </row>
    <row r="78" spans="1:15" ht="13.15" x14ac:dyDescent="0.25">
      <c r="A78" s="31" t="s">
        <v>43</v>
      </c>
      <c r="B78" s="31"/>
      <c r="C78" s="31"/>
      <c r="D78" s="31"/>
      <c r="E78" s="33">
        <f>SUM(E70:E75)</f>
        <v>910764.78852816985</v>
      </c>
      <c r="F78" s="407"/>
      <c r="G78" s="162"/>
      <c r="H78" s="31" t="s">
        <v>43</v>
      </c>
      <c r="I78" s="31"/>
      <c r="J78" s="31"/>
      <c r="K78" s="31"/>
      <c r="L78" s="33">
        <f>SUM(L70:L75)</f>
        <v>922738.34797857783</v>
      </c>
      <c r="M78" s="393"/>
    </row>
    <row r="79" spans="1:15" ht="13.15" x14ac:dyDescent="0.25">
      <c r="F79" s="407"/>
      <c r="G79" s="162"/>
    </row>
    <row r="80" spans="1:15" ht="13.15" x14ac:dyDescent="0.25">
      <c r="A80" s="23" t="s">
        <v>44</v>
      </c>
      <c r="C80" s="97">
        <f>$Q$55</f>
        <v>0.11846733793705286</v>
      </c>
      <c r="E80" s="28">
        <f>C80*E78</f>
        <v>107895.87998373518</v>
      </c>
      <c r="F80" s="407"/>
      <c r="G80" s="162"/>
      <c r="H80" s="23" t="s">
        <v>44</v>
      </c>
      <c r="J80" s="97">
        <f>$Q$55</f>
        <v>0.11846733793705286</v>
      </c>
      <c r="L80" s="28">
        <f>J80*L78</f>
        <v>109314.35569745605</v>
      </c>
      <c r="M80" s="284"/>
    </row>
    <row r="81" spans="1:14" ht="13.15" x14ac:dyDescent="0.25">
      <c r="F81" s="407"/>
      <c r="G81" s="162"/>
    </row>
    <row r="82" spans="1:14" ht="13.9" thickBot="1" x14ac:dyDescent="0.3">
      <c r="A82" s="73" t="s">
        <v>52</v>
      </c>
      <c r="B82" s="74"/>
      <c r="C82" s="74"/>
      <c r="D82" s="74"/>
      <c r="E82" s="75">
        <f>SUM(E78:E80)</f>
        <v>1018660.668511905</v>
      </c>
      <c r="F82" s="407"/>
      <c r="G82" s="162"/>
      <c r="H82" s="73" t="s">
        <v>52</v>
      </c>
      <c r="I82" s="74"/>
      <c r="J82" s="74"/>
      <c r="K82" s="74"/>
      <c r="L82" s="75">
        <f>SUM(L78:L80)</f>
        <v>1032052.7036760339</v>
      </c>
      <c r="M82" s="393"/>
    </row>
    <row r="83" spans="1:14" ht="13.9" thickTop="1" x14ac:dyDescent="0.25">
      <c r="F83" s="407"/>
      <c r="G83" s="162"/>
    </row>
    <row r="84" spans="1:14" ht="13.15" x14ac:dyDescent="0.25">
      <c r="A84" s="23" t="s">
        <v>53</v>
      </c>
      <c r="C84" s="98">
        <f>$Q$57</f>
        <v>5.3904190379097106E-2</v>
      </c>
      <c r="E84" s="77">
        <f>E82*(1+C84)</f>
        <v>1073570.7471190691</v>
      </c>
      <c r="F84" s="407"/>
      <c r="G84" s="162"/>
      <c r="H84" s="23" t="s">
        <v>53</v>
      </c>
      <c r="J84" s="98">
        <f>$Q$57</f>
        <v>5.3904190379097106E-2</v>
      </c>
      <c r="L84" s="77">
        <f>L82*(1+J84)</f>
        <v>1087684.6690962487</v>
      </c>
      <c r="M84" s="631"/>
    </row>
    <row r="85" spans="1:14" ht="13.15" x14ac:dyDescent="0.25">
      <c r="F85" s="407"/>
      <c r="G85" s="162"/>
    </row>
    <row r="86" spans="1:14" ht="13.15" x14ac:dyDescent="0.25">
      <c r="E86" s="92" t="s">
        <v>56</v>
      </c>
      <c r="F86" s="407"/>
      <c r="G86" s="162"/>
      <c r="L86" s="92" t="s">
        <v>56</v>
      </c>
      <c r="M86" s="632"/>
    </row>
    <row r="87" spans="1:14" ht="13.15" x14ac:dyDescent="0.25">
      <c r="A87" s="23" t="s">
        <v>55</v>
      </c>
      <c r="D87" s="76">
        <f>E82/E53</f>
        <v>232.57092888399657</v>
      </c>
      <c r="E87" s="76">
        <f>D87*(1+C84)</f>
        <v>245.10747651120298</v>
      </c>
      <c r="F87" s="407"/>
      <c r="G87" s="162"/>
      <c r="H87" s="23" t="s">
        <v>55</v>
      </c>
      <c r="K87" s="76">
        <f>L82/L53</f>
        <v>235.62847115891185</v>
      </c>
      <c r="L87" s="76">
        <f>K87*(1+J84)</f>
        <v>248.32983312699741</v>
      </c>
      <c r="M87" s="633"/>
    </row>
    <row r="88" spans="1:14" ht="13.9" thickBot="1" x14ac:dyDescent="0.3">
      <c r="A88" s="377" t="s">
        <v>456</v>
      </c>
      <c r="B88" s="378"/>
      <c r="C88" s="379">
        <f>'CAF Spring 2015'!$BC$24</f>
        <v>2.0354406130268236E-2</v>
      </c>
      <c r="D88" s="380"/>
      <c r="E88" s="380"/>
      <c r="F88" s="386">
        <f>E87*(1+C88)</f>
        <v>250.0964936336772</v>
      </c>
      <c r="G88" s="398"/>
      <c r="H88" s="377" t="s">
        <v>456</v>
      </c>
      <c r="I88" s="378"/>
      <c r="J88" s="379">
        <f>'CAF Spring 2015'!$BC$24</f>
        <v>2.0354406130268236E-2</v>
      </c>
      <c r="K88" s="380"/>
      <c r="L88" s="380">
        <f>L87*(1+J88)</f>
        <v>253.38443940472607</v>
      </c>
      <c r="M88" s="633"/>
    </row>
    <row r="89" spans="1:14" ht="13.9" thickBot="1" x14ac:dyDescent="0.3">
      <c r="A89" s="78" t="s">
        <v>54</v>
      </c>
      <c r="B89" s="79">
        <v>0.9</v>
      </c>
      <c r="C89" s="80"/>
      <c r="D89" s="86">
        <f>E82/(E53*B89)</f>
        <v>258.41214320444067</v>
      </c>
      <c r="E89" s="384">
        <f>D89*(1+C84)</f>
        <v>272.34164056800336</v>
      </c>
      <c r="F89" s="660">
        <f>F88/B89</f>
        <v>277.88499292630797</v>
      </c>
      <c r="G89" s="394"/>
      <c r="H89" s="78" t="s">
        <v>54</v>
      </c>
      <c r="I89" s="79">
        <v>0.9</v>
      </c>
      <c r="J89" s="80"/>
      <c r="K89" s="86"/>
      <c r="L89" s="656">
        <f>L88/I89</f>
        <v>281.53826600525116</v>
      </c>
      <c r="M89" s="389"/>
    </row>
    <row r="90" spans="1:14" ht="13.15" x14ac:dyDescent="0.25">
      <c r="A90" s="81"/>
      <c r="B90" s="82">
        <v>0.85</v>
      </c>
      <c r="C90" s="83"/>
      <c r="D90" s="88">
        <f>E82/(E53*B90)</f>
        <v>273.61285751058421</v>
      </c>
      <c r="E90" s="89">
        <f>D90*(1+C84)</f>
        <v>288.36173707200351</v>
      </c>
      <c r="F90" s="381"/>
      <c r="G90" s="394"/>
      <c r="H90" s="81"/>
      <c r="I90" s="82">
        <v>0.85</v>
      </c>
      <c r="J90" s="83"/>
      <c r="K90" s="88"/>
      <c r="L90" s="626"/>
      <c r="M90" s="389"/>
    </row>
    <row r="91" spans="1:14" ht="13.15" x14ac:dyDescent="0.25">
      <c r="A91" s="84"/>
      <c r="B91" s="85">
        <v>0.8</v>
      </c>
      <c r="C91" s="34"/>
      <c r="D91" s="90">
        <f>E82/(E53*B91)</f>
        <v>290.71366110499571</v>
      </c>
      <c r="E91" s="91">
        <f>D91*(1+C84)</f>
        <v>306.3843456390037</v>
      </c>
      <c r="F91" s="382"/>
      <c r="G91" s="394"/>
      <c r="H91" s="84"/>
      <c r="I91" s="85">
        <v>0.8</v>
      </c>
      <c r="J91" s="34"/>
      <c r="K91" s="90"/>
      <c r="L91" s="627"/>
      <c r="M91" s="389"/>
    </row>
    <row r="94" spans="1:14" ht="13.15" customHeight="1" x14ac:dyDescent="0.2">
      <c r="A94" s="1520" t="s">
        <v>507</v>
      </c>
      <c r="B94" s="1521"/>
      <c r="C94" s="1521"/>
      <c r="D94" s="1521"/>
      <c r="E94" s="1521"/>
      <c r="F94" s="1433" t="s">
        <v>460</v>
      </c>
      <c r="G94" s="521"/>
      <c r="H94" s="1520" t="s">
        <v>511</v>
      </c>
      <c r="I94" s="1521"/>
      <c r="J94" s="1521"/>
      <c r="K94" s="1521"/>
      <c r="L94" s="1521"/>
      <c r="M94" s="335"/>
    </row>
    <row r="95" spans="1:14" ht="15" customHeight="1" thickBot="1" x14ac:dyDescent="0.25">
      <c r="A95" s="1474"/>
      <c r="B95" s="1474"/>
      <c r="C95" s="1474"/>
      <c r="D95" s="1474"/>
      <c r="E95" s="1474"/>
      <c r="F95" s="1469"/>
      <c r="G95" s="625"/>
      <c r="H95" s="1474"/>
      <c r="I95" s="1474"/>
      <c r="J95" s="1474"/>
      <c r="K95" s="1474"/>
      <c r="L95" s="1474"/>
      <c r="M95" s="335"/>
      <c r="N95" s="618"/>
    </row>
    <row r="96" spans="1:14" ht="13.15" x14ac:dyDescent="0.25">
      <c r="A96" s="25" t="s">
        <v>0</v>
      </c>
      <c r="B96" s="69">
        <f>R$30</f>
        <v>10</v>
      </c>
      <c r="C96" s="25"/>
      <c r="D96" s="25" t="s">
        <v>1</v>
      </c>
      <c r="E96" s="68">
        <f>B96*365</f>
        <v>3650</v>
      </c>
      <c r="F96" s="427"/>
      <c r="G96" s="162"/>
      <c r="H96" s="25" t="s">
        <v>0</v>
      </c>
      <c r="I96" s="69">
        <v>10</v>
      </c>
      <c r="J96" s="25"/>
      <c r="K96" s="25" t="s">
        <v>1</v>
      </c>
      <c r="L96" s="68">
        <f>I96*365</f>
        <v>3650</v>
      </c>
      <c r="M96" s="629"/>
      <c r="N96" s="162"/>
    </row>
    <row r="97" spans="1:18" ht="13.15" x14ac:dyDescent="0.25">
      <c r="F97" s="407"/>
      <c r="G97" s="162"/>
      <c r="N97" s="162"/>
    </row>
    <row r="98" spans="1:18" ht="13.15" x14ac:dyDescent="0.25">
      <c r="A98" s="26"/>
      <c r="B98" s="26"/>
      <c r="C98" s="27" t="s">
        <v>2</v>
      </c>
      <c r="D98" s="27" t="s">
        <v>3</v>
      </c>
      <c r="E98" s="27" t="s">
        <v>4</v>
      </c>
      <c r="F98" s="407"/>
      <c r="G98" s="162"/>
      <c r="H98" s="26"/>
      <c r="I98" s="26"/>
      <c r="J98" s="27" t="s">
        <v>2</v>
      </c>
      <c r="K98" s="27" t="s">
        <v>3</v>
      </c>
      <c r="L98" s="27" t="s">
        <v>4</v>
      </c>
      <c r="M98" s="335"/>
      <c r="N98" s="335"/>
    </row>
    <row r="99" spans="1:18" ht="13.15" x14ac:dyDescent="0.25">
      <c r="A99" s="1" t="s">
        <v>19</v>
      </c>
      <c r="C99" s="30">
        <f>Q13</f>
        <v>52305.406251052875</v>
      </c>
      <c r="D99" s="35">
        <f>R31</f>
        <v>1</v>
      </c>
      <c r="E99" s="28">
        <f>C99*D99</f>
        <v>52305.406251052875</v>
      </c>
      <c r="F99" s="407"/>
      <c r="G99" s="162"/>
      <c r="H99" s="1" t="s">
        <v>19</v>
      </c>
      <c r="J99" s="30">
        <v>52305.406251052875</v>
      </c>
      <c r="K99" s="35">
        <v>1</v>
      </c>
      <c r="L99" s="28">
        <f>J99*K99</f>
        <v>52305.406251052875</v>
      </c>
      <c r="M99" s="284"/>
      <c r="N99" s="395"/>
    </row>
    <row r="100" spans="1:18" ht="13.15" x14ac:dyDescent="0.25">
      <c r="A100" s="2" t="s">
        <v>227</v>
      </c>
      <c r="C100" s="30"/>
      <c r="D100" s="35"/>
      <c r="E100" s="28"/>
      <c r="F100" s="407"/>
      <c r="G100" s="162"/>
      <c r="H100" s="2" t="s">
        <v>227</v>
      </c>
      <c r="J100" s="30"/>
      <c r="K100" s="35"/>
      <c r="L100" s="28"/>
      <c r="M100" s="284"/>
      <c r="N100" s="395"/>
    </row>
    <row r="101" spans="1:18" ht="13.15" x14ac:dyDescent="0.25">
      <c r="A101" s="3" t="s">
        <v>24</v>
      </c>
      <c r="C101" s="30">
        <f>Q16</f>
        <v>64673.926018287602</v>
      </c>
      <c r="D101" s="35">
        <f>R34</f>
        <v>0.1</v>
      </c>
      <c r="E101" s="28">
        <f>C101*D101</f>
        <v>6467.3926018287602</v>
      </c>
      <c r="F101" s="407"/>
      <c r="G101" s="162"/>
      <c r="H101" s="3" t="s">
        <v>24</v>
      </c>
      <c r="J101" s="30">
        <v>64673.926018287602</v>
      </c>
      <c r="K101" s="659">
        <f>0.1 + (I96*0.5/40)</f>
        <v>0.22500000000000001</v>
      </c>
      <c r="L101" s="28">
        <f>J101*K101</f>
        <v>14551.633354114711</v>
      </c>
      <c r="M101" s="284"/>
      <c r="N101" s="395"/>
    </row>
    <row r="102" spans="1:18" ht="13.15" x14ac:dyDescent="0.25">
      <c r="A102" s="2" t="s">
        <v>5</v>
      </c>
      <c r="C102" s="30"/>
      <c r="D102" s="35"/>
      <c r="E102" s="28"/>
      <c r="F102" s="407"/>
      <c r="G102" s="162"/>
      <c r="H102" s="2" t="s">
        <v>5</v>
      </c>
      <c r="J102" s="30"/>
      <c r="K102" s="35"/>
      <c r="L102" s="28"/>
      <c r="M102" s="284"/>
      <c r="N102" s="395"/>
    </row>
    <row r="103" spans="1:18" ht="13.15" x14ac:dyDescent="0.25">
      <c r="A103" s="3" t="s">
        <v>85</v>
      </c>
      <c r="C103" s="30">
        <f>Q20</f>
        <v>22880</v>
      </c>
      <c r="D103" s="35">
        <f>R38</f>
        <v>0.5</v>
      </c>
      <c r="E103" s="28">
        <f>C103*D103</f>
        <v>11440</v>
      </c>
      <c r="F103" s="407"/>
      <c r="G103" s="162"/>
      <c r="H103" s="3" t="s">
        <v>85</v>
      </c>
      <c r="J103" s="30">
        <v>22880</v>
      </c>
      <c r="K103" s="35">
        <v>0.5</v>
      </c>
      <c r="L103" s="28">
        <f>J103*K103</f>
        <v>11440</v>
      </c>
      <c r="M103" s="284"/>
      <c r="N103" s="645"/>
    </row>
    <row r="104" spans="1:18" ht="13.15" x14ac:dyDescent="0.25">
      <c r="A104" s="3" t="s">
        <v>60</v>
      </c>
      <c r="C104" s="30">
        <f>Q22</f>
        <v>36304.547622226877</v>
      </c>
      <c r="D104" s="35">
        <f>R40</f>
        <v>1</v>
      </c>
      <c r="E104" s="28">
        <f>C104*D104</f>
        <v>36304.547622226877</v>
      </c>
      <c r="F104" s="407"/>
      <c r="G104" s="162"/>
      <c r="H104" s="3" t="s">
        <v>60</v>
      </c>
      <c r="J104" s="30">
        <v>36304.547622226877</v>
      </c>
      <c r="K104" s="35">
        <v>1</v>
      </c>
      <c r="L104" s="28">
        <f>J104*K104</f>
        <v>36304.547622226877</v>
      </c>
      <c r="M104" s="284"/>
      <c r="N104" s="395"/>
    </row>
    <row r="105" spans="1:18" ht="13.15" x14ac:dyDescent="0.25">
      <c r="A105" s="3" t="s">
        <v>30</v>
      </c>
      <c r="C105" s="30">
        <f>Q23</f>
        <v>28500</v>
      </c>
      <c r="D105" s="35">
        <v>6</v>
      </c>
      <c r="E105" s="28">
        <f>C105*D105</f>
        <v>171000</v>
      </c>
      <c r="F105" s="407"/>
      <c r="G105" s="162"/>
      <c r="H105" s="3" t="s">
        <v>30</v>
      </c>
      <c r="J105" s="30">
        <v>28500</v>
      </c>
      <c r="K105" s="654">
        <v>9.1999999999999993</v>
      </c>
      <c r="L105" s="28">
        <f>J105*K105</f>
        <v>262200</v>
      </c>
      <c r="M105" s="634"/>
      <c r="N105" s="395"/>
    </row>
    <row r="106" spans="1:18" ht="13.15" x14ac:dyDescent="0.25">
      <c r="A106" s="4" t="s">
        <v>31</v>
      </c>
      <c r="C106" s="282">
        <f>Q24</f>
        <v>28500</v>
      </c>
      <c r="D106" s="283">
        <f>R42</f>
        <v>0.94615384615384612</v>
      </c>
      <c r="E106" s="28">
        <f>C106*D106</f>
        <v>26965.384615384613</v>
      </c>
      <c r="F106" s="407"/>
      <c r="G106" s="162"/>
      <c r="H106" s="4" t="s">
        <v>31</v>
      </c>
      <c r="J106" s="282">
        <v>28500</v>
      </c>
      <c r="K106" s="654">
        <f>K105*Q10</f>
        <v>1.4507692307692306</v>
      </c>
      <c r="L106" s="28">
        <f>J106*K106</f>
        <v>41346.923076923071</v>
      </c>
      <c r="M106" s="284"/>
      <c r="N106" s="395"/>
    </row>
    <row r="107" spans="1:18" ht="13.15" x14ac:dyDescent="0.25">
      <c r="A107" s="2" t="s">
        <v>6</v>
      </c>
      <c r="C107" s="30"/>
      <c r="D107" s="35"/>
      <c r="E107" s="28"/>
      <c r="F107" s="407"/>
      <c r="G107" s="162"/>
      <c r="H107" s="2" t="s">
        <v>6</v>
      </c>
      <c r="J107" s="30"/>
      <c r="K107" s="35"/>
      <c r="L107" s="28"/>
      <c r="M107" s="284"/>
      <c r="N107" s="395"/>
    </row>
    <row r="108" spans="1:18" ht="13.15" x14ac:dyDescent="0.25">
      <c r="A108" s="3" t="s">
        <v>32</v>
      </c>
      <c r="C108" s="30">
        <f>Q26</f>
        <v>28500</v>
      </c>
      <c r="D108" s="35">
        <f>R44</f>
        <v>0.25</v>
      </c>
      <c r="E108" s="28">
        <f>C108*D108</f>
        <v>7125</v>
      </c>
      <c r="F108" s="407"/>
      <c r="G108" s="162"/>
      <c r="H108" s="3" t="s">
        <v>32</v>
      </c>
      <c r="J108" s="30">
        <v>28500</v>
      </c>
      <c r="K108" s="35">
        <v>0.25</v>
      </c>
      <c r="L108" s="28">
        <f>J108*K108</f>
        <v>7125</v>
      </c>
      <c r="M108" s="284"/>
      <c r="N108" s="395"/>
      <c r="P108" s="29"/>
    </row>
    <row r="109" spans="1:18" ht="13.15" x14ac:dyDescent="0.25">
      <c r="A109" s="31" t="s">
        <v>7</v>
      </c>
      <c r="B109" s="31"/>
      <c r="C109" s="31"/>
      <c r="D109" s="32">
        <f>SUM(D99:D108)</f>
        <v>9.796153846153846</v>
      </c>
      <c r="E109" s="33">
        <f>SUM(E99:E108)</f>
        <v>311607.73109049315</v>
      </c>
      <c r="F109" s="407"/>
      <c r="G109" s="162"/>
      <c r="H109" s="31" t="s">
        <v>7</v>
      </c>
      <c r="I109" s="31"/>
      <c r="J109" s="31"/>
      <c r="K109" s="32">
        <f>SUM(K99:K108)</f>
        <v>13.62576923076923</v>
      </c>
      <c r="L109" s="33">
        <f>SUM(L99:L108)</f>
        <v>425273.51030431752</v>
      </c>
      <c r="M109" s="393"/>
      <c r="N109" s="619"/>
      <c r="P109" s="23">
        <v>15</v>
      </c>
      <c r="Q109" s="23">
        <f>P109*0.5</f>
        <v>7.5</v>
      </c>
      <c r="R109" s="23">
        <f>Q109/40</f>
        <v>0.1875</v>
      </c>
    </row>
    <row r="110" spans="1:18" ht="13.15" x14ac:dyDescent="0.25">
      <c r="F110" s="407"/>
      <c r="G110" s="162"/>
      <c r="N110" s="162"/>
      <c r="P110" s="23">
        <v>12</v>
      </c>
      <c r="Q110" s="23">
        <f>P110*0.5</f>
        <v>6</v>
      </c>
      <c r="R110" s="23">
        <f>Q110/40</f>
        <v>0.15</v>
      </c>
    </row>
    <row r="111" spans="1:18" ht="13.15" x14ac:dyDescent="0.25">
      <c r="A111" s="25" t="s">
        <v>21</v>
      </c>
      <c r="D111" s="25" t="s">
        <v>20</v>
      </c>
      <c r="F111" s="407"/>
      <c r="G111" s="162"/>
      <c r="H111" s="25" t="s">
        <v>21</v>
      </c>
      <c r="K111" s="25" t="s">
        <v>20</v>
      </c>
      <c r="N111" s="162"/>
      <c r="P111" s="23">
        <v>9</v>
      </c>
      <c r="Q111" s="23">
        <f>P111*0.5</f>
        <v>4.5</v>
      </c>
      <c r="R111" s="23">
        <f>Q111/40</f>
        <v>0.1125</v>
      </c>
    </row>
    <row r="112" spans="1:18" ht="13.15" x14ac:dyDescent="0.25">
      <c r="A112" s="23" t="s">
        <v>22</v>
      </c>
      <c r="C112" s="97">
        <f>$Q$47</f>
        <v>0.23424901786252411</v>
      </c>
      <c r="E112" s="28">
        <f>C112*E109</f>
        <v>72993.804966317533</v>
      </c>
      <c r="F112" s="407"/>
      <c r="G112" s="162"/>
      <c r="H112" s="23" t="s">
        <v>22</v>
      </c>
      <c r="J112" s="97">
        <f>$Q$47</f>
        <v>0.23424901786252411</v>
      </c>
      <c r="L112" s="28">
        <f>J112*L109</f>
        <v>99619.902111734409</v>
      </c>
      <c r="M112" s="284"/>
      <c r="N112" s="395"/>
      <c r="P112" s="23">
        <v>6</v>
      </c>
      <c r="Q112" s="23">
        <f>P112*0.5</f>
        <v>3</v>
      </c>
      <c r="R112" s="23">
        <f>Q112/40</f>
        <v>7.4999999999999997E-2</v>
      </c>
    </row>
    <row r="113" spans="1:18" ht="13.15" x14ac:dyDescent="0.25">
      <c r="A113" s="31" t="s">
        <v>51</v>
      </c>
      <c r="B113" s="31"/>
      <c r="C113" s="31"/>
      <c r="D113" s="70">
        <f>E113/E96</f>
        <v>105.37028385118101</v>
      </c>
      <c r="E113" s="33">
        <f>E112+E109</f>
        <v>384601.5360568107</v>
      </c>
      <c r="F113" s="407"/>
      <c r="G113" s="162"/>
      <c r="H113" s="31" t="s">
        <v>51</v>
      </c>
      <c r="I113" s="31"/>
      <c r="J113" s="31"/>
      <c r="K113" s="70">
        <f>L113/L96</f>
        <v>143.80641436056217</v>
      </c>
      <c r="L113" s="33">
        <f>L112+L109</f>
        <v>524893.41241605196</v>
      </c>
      <c r="M113" s="393"/>
      <c r="N113" s="620"/>
      <c r="P113" s="23">
        <v>10</v>
      </c>
      <c r="Q113" s="23">
        <f>P113*0.5</f>
        <v>5</v>
      </c>
      <c r="R113" s="23">
        <f>Q113/40</f>
        <v>0.125</v>
      </c>
    </row>
    <row r="114" spans="1:18" ht="13.15" x14ac:dyDescent="0.25">
      <c r="F114" s="407"/>
      <c r="G114" s="162"/>
      <c r="N114" s="162"/>
    </row>
    <row r="115" spans="1:18" ht="13.15" x14ac:dyDescent="0.25">
      <c r="A115" s="23" t="s">
        <v>39</v>
      </c>
      <c r="D115" s="71">
        <f>$Q$49</f>
        <v>20.4634671275006</v>
      </c>
      <c r="E115" s="105">
        <f>D115*E96</f>
        <v>74691.655015377197</v>
      </c>
      <c r="F115" s="407"/>
      <c r="G115" s="162"/>
      <c r="H115" s="23" t="s">
        <v>39</v>
      </c>
      <c r="K115" s="71">
        <f>$Q$49</f>
        <v>20.4634671275006</v>
      </c>
      <c r="L115" s="105">
        <f>K115*L96</f>
        <v>74691.655015377197</v>
      </c>
      <c r="M115" s="630"/>
      <c r="N115" s="395"/>
    </row>
    <row r="116" spans="1:18" ht="13.15" x14ac:dyDescent="0.25">
      <c r="A116" s="29" t="s">
        <v>40</v>
      </c>
      <c r="D116" s="71">
        <f>$Q$50</f>
        <v>16.648815707573558</v>
      </c>
      <c r="E116" s="105">
        <f>D116*E96</f>
        <v>60768.177332643485</v>
      </c>
      <c r="F116" s="407"/>
      <c r="G116" s="162"/>
      <c r="H116" s="29" t="s">
        <v>40</v>
      </c>
      <c r="K116" s="71">
        <f>$Q$50</f>
        <v>16.648815707573558</v>
      </c>
      <c r="L116" s="105">
        <f>K116*L96</f>
        <v>60768.177332643485</v>
      </c>
      <c r="M116" s="630"/>
      <c r="N116" s="395"/>
    </row>
    <row r="117" spans="1:18" ht="13.15" x14ac:dyDescent="0.25">
      <c r="D117" s="72">
        <f>SUM(D115:D116)</f>
        <v>37.112282835074154</v>
      </c>
      <c r="F117" s="407"/>
      <c r="G117" s="162"/>
      <c r="K117" s="72">
        <f>SUM(K115:K116)</f>
        <v>37.112282835074154</v>
      </c>
      <c r="N117" s="162"/>
    </row>
    <row r="118" spans="1:18" ht="13.15" x14ac:dyDescent="0.25">
      <c r="F118" s="407"/>
      <c r="G118" s="162"/>
      <c r="N118" s="162"/>
    </row>
    <row r="119" spans="1:18" ht="13.15" x14ac:dyDescent="0.25">
      <c r="A119" s="31" t="s">
        <v>43</v>
      </c>
      <c r="B119" s="31"/>
      <c r="C119" s="31"/>
      <c r="D119" s="31"/>
      <c r="E119" s="33">
        <f>SUM(E113:E116)</f>
        <v>520061.36840483139</v>
      </c>
      <c r="F119" s="407"/>
      <c r="G119" s="162"/>
      <c r="H119" s="31" t="s">
        <v>43</v>
      </c>
      <c r="I119" s="31"/>
      <c r="J119" s="31"/>
      <c r="K119" s="31"/>
      <c r="L119" s="33">
        <f>SUM(L113:L116)</f>
        <v>660353.2447640727</v>
      </c>
      <c r="M119" s="393"/>
      <c r="N119" s="620"/>
    </row>
    <row r="120" spans="1:18" ht="13.15" x14ac:dyDescent="0.25">
      <c r="F120" s="407"/>
      <c r="G120" s="162"/>
      <c r="N120" s="162"/>
    </row>
    <row r="121" spans="1:18" ht="13.15" x14ac:dyDescent="0.25">
      <c r="A121" s="23" t="s">
        <v>44</v>
      </c>
      <c r="C121" s="97">
        <f>$Q$55</f>
        <v>0.11846733793705286</v>
      </c>
      <c r="E121" s="28">
        <f>C121*E119</f>
        <v>61610.285878821305</v>
      </c>
      <c r="F121" s="407"/>
      <c r="G121" s="162"/>
      <c r="H121" s="23" t="s">
        <v>44</v>
      </c>
      <c r="J121" s="97">
        <f>$Q$55</f>
        <v>0.11846733793705286</v>
      </c>
      <c r="L121" s="28">
        <f>J121*L119</f>
        <v>78230.291005294785</v>
      </c>
      <c r="M121" s="284"/>
      <c r="N121" s="395"/>
    </row>
    <row r="122" spans="1:18" ht="13.15" x14ac:dyDescent="0.25">
      <c r="F122" s="407"/>
      <c r="G122" s="162"/>
      <c r="N122" s="162"/>
    </row>
    <row r="123" spans="1:18" ht="13.9" thickBot="1" x14ac:dyDescent="0.3">
      <c r="A123" s="73" t="s">
        <v>52</v>
      </c>
      <c r="B123" s="74"/>
      <c r="C123" s="74"/>
      <c r="D123" s="74"/>
      <c r="E123" s="75">
        <f>SUM(E119:E121)</f>
        <v>581671.65428365266</v>
      </c>
      <c r="F123" s="407"/>
      <c r="G123" s="162"/>
      <c r="H123" s="73" t="s">
        <v>52</v>
      </c>
      <c r="I123" s="74"/>
      <c r="J123" s="74"/>
      <c r="K123" s="74"/>
      <c r="L123" s="75">
        <f>SUM(L119:L121)</f>
        <v>738583.53576936747</v>
      </c>
      <c r="M123" s="393"/>
      <c r="N123" s="653"/>
    </row>
    <row r="124" spans="1:18" ht="13.9" thickTop="1" x14ac:dyDescent="0.25">
      <c r="F124" s="407"/>
      <c r="G124" s="162"/>
      <c r="N124" s="162"/>
    </row>
    <row r="125" spans="1:18" ht="13.15" x14ac:dyDescent="0.25">
      <c r="A125" s="23" t="s">
        <v>53</v>
      </c>
      <c r="C125" s="98">
        <f>$Q$57</f>
        <v>5.3904190379097106E-2</v>
      </c>
      <c r="E125" s="77">
        <f>E123*(1+C125)</f>
        <v>613026.193874283</v>
      </c>
      <c r="F125" s="407"/>
      <c r="G125" s="162"/>
      <c r="H125" s="23" t="s">
        <v>53</v>
      </c>
      <c r="J125" s="98">
        <f>$Q$57</f>
        <v>5.3904190379097106E-2</v>
      </c>
      <c r="L125" s="77">
        <f>L123*(1+J125)</f>
        <v>778396.28329234617</v>
      </c>
      <c r="M125" s="631"/>
      <c r="N125" s="395"/>
    </row>
    <row r="126" spans="1:18" x14ac:dyDescent="0.2">
      <c r="F126" s="407"/>
      <c r="G126" s="162"/>
      <c r="N126" s="162"/>
    </row>
    <row r="127" spans="1:18" x14ac:dyDescent="0.2">
      <c r="E127" s="92" t="s">
        <v>56</v>
      </c>
      <c r="F127" s="407"/>
      <c r="G127" s="162"/>
      <c r="L127" s="92" t="s">
        <v>56</v>
      </c>
      <c r="M127" s="632"/>
      <c r="N127" s="397"/>
    </row>
    <row r="128" spans="1:18" x14ac:dyDescent="0.2">
      <c r="A128" s="23" t="s">
        <v>55</v>
      </c>
      <c r="D128" s="76">
        <f>E123/E96</f>
        <v>159.36209706401442</v>
      </c>
      <c r="E128" s="76">
        <f>D128*(1+C125)</f>
        <v>167.95238188336521</v>
      </c>
      <c r="F128" s="376"/>
      <c r="G128" s="394"/>
      <c r="H128" s="23" t="s">
        <v>55</v>
      </c>
      <c r="K128" s="76">
        <f>L123/L96</f>
        <v>202.35165363544314</v>
      </c>
      <c r="L128" s="76">
        <f>K128*(1+J125)</f>
        <v>213.25925569653319</v>
      </c>
      <c r="M128" s="633"/>
      <c r="N128" s="621"/>
      <c r="O128" s="483"/>
    </row>
    <row r="129" spans="1:15" ht="13.5" thickBot="1" x14ac:dyDescent="0.25">
      <c r="A129" s="377" t="s">
        <v>456</v>
      </c>
      <c r="B129" s="378"/>
      <c r="C129" s="379">
        <f>'CAF Spring 2015'!$BC$24</f>
        <v>2.0354406130268236E-2</v>
      </c>
      <c r="D129" s="380"/>
      <c r="E129" s="380"/>
      <c r="F129" s="386">
        <f>E128*(1+C129)</f>
        <v>171.37095287476512</v>
      </c>
      <c r="G129" s="398"/>
      <c r="H129" s="377" t="s">
        <v>456</v>
      </c>
      <c r="I129" s="378"/>
      <c r="J129" s="379">
        <f>'CAF Spring 2015'!$BC$24</f>
        <v>2.0354406130268236E-2</v>
      </c>
      <c r="K129" s="380"/>
      <c r="L129" s="380">
        <f>L128*(1+J129)</f>
        <v>217.60002119801916</v>
      </c>
      <c r="M129" s="633"/>
      <c r="N129" s="622"/>
    </row>
    <row r="130" spans="1:15" ht="13.5" thickBot="1" x14ac:dyDescent="0.25">
      <c r="A130" s="78" t="s">
        <v>54</v>
      </c>
      <c r="B130" s="79">
        <v>0.9</v>
      </c>
      <c r="C130" s="80"/>
      <c r="D130" s="86">
        <f>E123/(E96*B130)</f>
        <v>177.06899673779381</v>
      </c>
      <c r="E130" s="384">
        <f>D130*(1+C125)</f>
        <v>186.61375764818357</v>
      </c>
      <c r="F130" s="660">
        <f>F129/B130</f>
        <v>190.41216986085013</v>
      </c>
      <c r="G130" s="394"/>
      <c r="H130" s="78" t="s">
        <v>54</v>
      </c>
      <c r="I130" s="79">
        <v>0.9</v>
      </c>
      <c r="J130" s="80"/>
      <c r="K130" s="86"/>
      <c r="L130" s="656">
        <f>L129/I130</f>
        <v>241.77780133113239</v>
      </c>
      <c r="M130" s="389"/>
      <c r="N130" s="622"/>
      <c r="O130" s="482"/>
    </row>
    <row r="131" spans="1:15" x14ac:dyDescent="0.2">
      <c r="A131" s="81"/>
      <c r="B131" s="82">
        <v>0.85</v>
      </c>
      <c r="C131" s="83"/>
      <c r="D131" s="88">
        <f>E123/(E96*B131)</f>
        <v>187.48482007531109</v>
      </c>
      <c r="E131" s="89">
        <f>D131*(1+C125)</f>
        <v>197.59103750984141</v>
      </c>
      <c r="F131" s="381"/>
      <c r="G131" s="394"/>
      <c r="H131" s="81"/>
      <c r="I131" s="82">
        <v>0.85</v>
      </c>
      <c r="J131" s="83"/>
      <c r="K131" s="88"/>
      <c r="L131" s="626"/>
      <c r="M131" s="389"/>
      <c r="N131" s="623"/>
    </row>
    <row r="132" spans="1:15" x14ac:dyDescent="0.2">
      <c r="A132" s="84"/>
      <c r="B132" s="85">
        <v>0.8</v>
      </c>
      <c r="C132" s="34"/>
      <c r="D132" s="90">
        <f>E123/(E96*B132)</f>
        <v>199.20262133001805</v>
      </c>
      <c r="E132" s="91">
        <f>D132*(1+C125)</f>
        <v>209.94047735420654</v>
      </c>
      <c r="F132" s="382"/>
      <c r="G132" s="394"/>
      <c r="H132" s="84"/>
      <c r="I132" s="85">
        <v>0.8</v>
      </c>
      <c r="J132" s="34"/>
      <c r="K132" s="90"/>
      <c r="L132" s="627"/>
      <c r="M132" s="389"/>
      <c r="N132" s="623"/>
    </row>
    <row r="134" spans="1:15" x14ac:dyDescent="0.2">
      <c r="F134" s="483"/>
      <c r="G134" s="624"/>
      <c r="N134" s="624"/>
    </row>
    <row r="135" spans="1:15" ht="13.15" customHeight="1" x14ac:dyDescent="0.2">
      <c r="A135" s="1520" t="s">
        <v>508</v>
      </c>
      <c r="B135" s="1521"/>
      <c r="C135" s="1521"/>
      <c r="D135" s="1521"/>
      <c r="E135" s="1521"/>
      <c r="F135" s="1433" t="s">
        <v>460</v>
      </c>
      <c r="G135" s="521"/>
      <c r="H135" s="1520" t="s">
        <v>512</v>
      </c>
      <c r="I135" s="1521"/>
      <c r="J135" s="1521"/>
      <c r="K135" s="1521"/>
      <c r="L135" s="1521"/>
      <c r="M135" s="335"/>
    </row>
    <row r="136" spans="1:15" ht="15" customHeight="1" thickBot="1" x14ac:dyDescent="0.25">
      <c r="A136" s="1474"/>
      <c r="B136" s="1474"/>
      <c r="C136" s="1474"/>
      <c r="D136" s="1474"/>
      <c r="E136" s="1474"/>
      <c r="F136" s="1469"/>
      <c r="G136" s="625"/>
      <c r="H136" s="1474"/>
      <c r="I136" s="1474"/>
      <c r="J136" s="1474"/>
      <c r="K136" s="1474"/>
      <c r="L136" s="1474"/>
      <c r="M136" s="335"/>
    </row>
    <row r="137" spans="1:15" x14ac:dyDescent="0.2">
      <c r="A137" s="25" t="s">
        <v>0</v>
      </c>
      <c r="B137" s="69">
        <f>S$30</f>
        <v>12</v>
      </c>
      <c r="C137" s="25"/>
      <c r="D137" s="25" t="s">
        <v>1</v>
      </c>
      <c r="E137" s="68">
        <f>B137*365</f>
        <v>4380</v>
      </c>
      <c r="F137" s="427"/>
      <c r="G137" s="162"/>
      <c r="H137" s="25" t="s">
        <v>0</v>
      </c>
      <c r="I137" s="69">
        <v>12</v>
      </c>
      <c r="J137" s="25"/>
      <c r="K137" s="25" t="s">
        <v>1</v>
      </c>
      <c r="L137" s="68">
        <f>I137*365</f>
        <v>4380</v>
      </c>
      <c r="M137" s="629"/>
    </row>
    <row r="138" spans="1:15" x14ac:dyDescent="0.2">
      <c r="F138" s="407"/>
      <c r="G138" s="162"/>
    </row>
    <row r="139" spans="1:15" x14ac:dyDescent="0.2">
      <c r="A139" s="26"/>
      <c r="B139" s="26"/>
      <c r="C139" s="27" t="s">
        <v>2</v>
      </c>
      <c r="D139" s="27" t="s">
        <v>3</v>
      </c>
      <c r="E139" s="27" t="s">
        <v>4</v>
      </c>
      <c r="F139" s="407"/>
      <c r="G139" s="162"/>
      <c r="H139" s="26"/>
      <c r="I139" s="26"/>
      <c r="J139" s="27" t="s">
        <v>2</v>
      </c>
      <c r="K139" s="27" t="s">
        <v>3</v>
      </c>
      <c r="L139" s="27" t="s">
        <v>4</v>
      </c>
      <c r="M139" s="335"/>
    </row>
    <row r="140" spans="1:15" x14ac:dyDescent="0.2">
      <c r="A140" s="1" t="s">
        <v>19</v>
      </c>
      <c r="C140" s="30">
        <f>Q13</f>
        <v>52305.406251052875</v>
      </c>
      <c r="D140" s="35">
        <f>S31</f>
        <v>1</v>
      </c>
      <c r="E140" s="28">
        <f>C140*D140</f>
        <v>52305.406251052875</v>
      </c>
      <c r="F140" s="407"/>
      <c r="G140" s="162"/>
      <c r="H140" s="1" t="s">
        <v>19</v>
      </c>
      <c r="J140" s="30">
        <v>52305.406251052875</v>
      </c>
      <c r="K140" s="35">
        <v>1</v>
      </c>
      <c r="L140" s="28">
        <f>J140*K140</f>
        <v>52305.406251052875</v>
      </c>
      <c r="M140" s="284"/>
    </row>
    <row r="141" spans="1:15" x14ac:dyDescent="0.2">
      <c r="A141" s="2" t="s">
        <v>5</v>
      </c>
      <c r="C141" s="30"/>
      <c r="D141" s="35"/>
      <c r="E141" s="28"/>
      <c r="F141" s="407"/>
      <c r="G141" s="162"/>
      <c r="H141" s="2" t="s">
        <v>5</v>
      </c>
      <c r="J141" s="30"/>
      <c r="K141" s="35"/>
      <c r="L141" s="28"/>
      <c r="M141" s="284"/>
    </row>
    <row r="142" spans="1:15" x14ac:dyDescent="0.2">
      <c r="A142" s="3" t="s">
        <v>85</v>
      </c>
      <c r="C142" s="30">
        <f>Q20</f>
        <v>22880</v>
      </c>
      <c r="D142" s="35">
        <f>S38</f>
        <v>0.5</v>
      </c>
      <c r="E142" s="28">
        <f>C142*D142</f>
        <v>11440</v>
      </c>
      <c r="F142" s="407"/>
      <c r="G142" s="162"/>
      <c r="H142" s="3" t="s">
        <v>85</v>
      </c>
      <c r="J142" s="30">
        <v>22880</v>
      </c>
      <c r="K142" s="35">
        <v>0.5</v>
      </c>
      <c r="L142" s="28">
        <f>J142*K142</f>
        <v>11440</v>
      </c>
      <c r="M142" s="284"/>
    </row>
    <row r="143" spans="1:15" x14ac:dyDescent="0.2">
      <c r="A143" s="3" t="s">
        <v>60</v>
      </c>
      <c r="C143" s="30">
        <f>Q22</f>
        <v>36304.547622226877</v>
      </c>
      <c r="D143" s="35">
        <f>S40</f>
        <v>2</v>
      </c>
      <c r="E143" s="28">
        <f>C143*D143</f>
        <v>72609.095244453754</v>
      </c>
      <c r="F143" s="407"/>
      <c r="G143" s="162"/>
      <c r="H143" s="3" t="s">
        <v>60</v>
      </c>
      <c r="J143" s="30">
        <v>36304.547622226877</v>
      </c>
      <c r="K143" s="35">
        <v>2</v>
      </c>
      <c r="L143" s="28">
        <f>J143*K143</f>
        <v>72609.095244453754</v>
      </c>
      <c r="M143" s="284"/>
    </row>
    <row r="144" spans="1:15" x14ac:dyDescent="0.2">
      <c r="A144" s="2" t="s">
        <v>6</v>
      </c>
      <c r="C144" s="30"/>
      <c r="D144" s="35"/>
      <c r="E144" s="28"/>
      <c r="F144" s="407"/>
      <c r="G144" s="162"/>
      <c r="H144" s="2" t="s">
        <v>6</v>
      </c>
      <c r="J144" s="30"/>
      <c r="K144" s="35"/>
      <c r="L144" s="28"/>
      <c r="M144" s="284"/>
    </row>
    <row r="145" spans="1:13" x14ac:dyDescent="0.2">
      <c r="A145" s="3" t="s">
        <v>32</v>
      </c>
      <c r="C145" s="30">
        <f>Q26</f>
        <v>28500</v>
      </c>
      <c r="D145" s="35">
        <f>S44</f>
        <v>0.25</v>
      </c>
      <c r="E145" s="28">
        <f>C145*D145</f>
        <v>7125</v>
      </c>
      <c r="F145" s="407"/>
      <c r="G145" s="162"/>
      <c r="H145" s="3" t="s">
        <v>32</v>
      </c>
      <c r="J145" s="30">
        <v>28500</v>
      </c>
      <c r="K145" s="35">
        <v>0.25</v>
      </c>
      <c r="L145" s="28">
        <f>J145*K145</f>
        <v>7125</v>
      </c>
      <c r="M145" s="284"/>
    </row>
    <row r="146" spans="1:13" x14ac:dyDescent="0.2">
      <c r="A146" s="31" t="s">
        <v>7</v>
      </c>
      <c r="B146" s="31"/>
      <c r="C146" s="31"/>
      <c r="D146" s="32">
        <f>SUM(D140:D145)</f>
        <v>3.75</v>
      </c>
      <c r="E146" s="33">
        <f>SUM(E140:E145)</f>
        <v>143479.50149550661</v>
      </c>
      <c r="F146" s="407"/>
      <c r="G146" s="162"/>
      <c r="H146" s="31" t="s">
        <v>7</v>
      </c>
      <c r="I146" s="31"/>
      <c r="J146" s="31"/>
      <c r="K146" s="32">
        <f>SUM(K140:K145)</f>
        <v>3.75</v>
      </c>
      <c r="L146" s="33">
        <f>SUM(L140:L145)</f>
        <v>143479.50149550661</v>
      </c>
      <c r="M146" s="393"/>
    </row>
    <row r="147" spans="1:13" x14ac:dyDescent="0.2">
      <c r="F147" s="407"/>
      <c r="G147" s="162"/>
    </row>
    <row r="148" spans="1:13" x14ac:dyDescent="0.2">
      <c r="A148" s="25" t="s">
        <v>21</v>
      </c>
      <c r="D148" s="25" t="s">
        <v>20</v>
      </c>
      <c r="F148" s="407"/>
      <c r="G148" s="162"/>
      <c r="H148" s="25" t="s">
        <v>21</v>
      </c>
      <c r="K148" s="25" t="s">
        <v>20</v>
      </c>
    </row>
    <row r="149" spans="1:13" x14ac:dyDescent="0.2">
      <c r="A149" s="23" t="s">
        <v>22</v>
      </c>
      <c r="C149" s="97">
        <f>$Q$47</f>
        <v>0.23424901786252411</v>
      </c>
      <c r="E149" s="28">
        <f>C149*E146</f>
        <v>33609.93230872698</v>
      </c>
      <c r="F149" s="407"/>
      <c r="G149" s="162"/>
      <c r="H149" s="23" t="s">
        <v>22</v>
      </c>
      <c r="J149" s="97">
        <f>$Q$47</f>
        <v>0.23424901786252411</v>
      </c>
      <c r="L149" s="28">
        <f>J149*L146</f>
        <v>33609.93230872698</v>
      </c>
      <c r="M149" s="284"/>
    </row>
    <row r="150" spans="1:13" x14ac:dyDescent="0.2">
      <c r="A150" s="31" t="s">
        <v>51</v>
      </c>
      <c r="B150" s="31"/>
      <c r="C150" s="31"/>
      <c r="D150" s="70">
        <f>E150/E137</f>
        <v>40.43137758087525</v>
      </c>
      <c r="E150" s="33">
        <f>E149+E146</f>
        <v>177089.43380423359</v>
      </c>
      <c r="F150" s="407"/>
      <c r="G150" s="162"/>
      <c r="H150" s="31" t="s">
        <v>51</v>
      </c>
      <c r="I150" s="31"/>
      <c r="J150" s="31"/>
      <c r="K150" s="70">
        <f>L150/L137</f>
        <v>40.43137758087525</v>
      </c>
      <c r="L150" s="33">
        <f>L149+L146</f>
        <v>177089.43380423359</v>
      </c>
      <c r="M150" s="393"/>
    </row>
    <row r="151" spans="1:13" x14ac:dyDescent="0.2">
      <c r="F151" s="407"/>
      <c r="G151" s="162"/>
    </row>
    <row r="152" spans="1:13" x14ac:dyDescent="0.2">
      <c r="A152" s="23" t="s">
        <v>39</v>
      </c>
      <c r="D152" s="71">
        <f>$Q$49</f>
        <v>20.4634671275006</v>
      </c>
      <c r="E152" s="105">
        <f>D152*E137</f>
        <v>89629.986018452633</v>
      </c>
      <c r="F152" s="407"/>
      <c r="G152" s="162"/>
      <c r="H152" s="23" t="s">
        <v>39</v>
      </c>
      <c r="K152" s="71">
        <f>$Q$49</f>
        <v>20.4634671275006</v>
      </c>
      <c r="L152" s="105">
        <f>K152*L137</f>
        <v>89629.986018452633</v>
      </c>
      <c r="M152" s="630"/>
    </row>
    <row r="153" spans="1:13" x14ac:dyDescent="0.2">
      <c r="A153" s="29" t="s">
        <v>40</v>
      </c>
      <c r="D153" s="71">
        <f>$Q$50</f>
        <v>16.648815707573558</v>
      </c>
      <c r="E153" s="105">
        <f>D153*E137</f>
        <v>72921.812799172185</v>
      </c>
      <c r="F153" s="407"/>
      <c r="G153" s="162"/>
      <c r="H153" s="29" t="s">
        <v>40</v>
      </c>
      <c r="K153" s="71">
        <f>$Q$50</f>
        <v>16.648815707573558</v>
      </c>
      <c r="L153" s="105">
        <f>K153*L137</f>
        <v>72921.812799172185</v>
      </c>
      <c r="M153" s="630"/>
    </row>
    <row r="154" spans="1:13" x14ac:dyDescent="0.2">
      <c r="D154" s="72">
        <f>SUM(D152:D153)</f>
        <v>37.112282835074154</v>
      </c>
      <c r="F154" s="407"/>
      <c r="G154" s="162"/>
      <c r="K154" s="72">
        <f>SUM(K152:K153)</f>
        <v>37.112282835074154</v>
      </c>
    </row>
    <row r="155" spans="1:13" x14ac:dyDescent="0.2">
      <c r="F155" s="407"/>
      <c r="G155" s="162"/>
    </row>
    <row r="156" spans="1:13" x14ac:dyDescent="0.2">
      <c r="A156" s="31" t="s">
        <v>43</v>
      </c>
      <c r="B156" s="31"/>
      <c r="C156" s="31"/>
      <c r="D156" s="31"/>
      <c r="E156" s="33">
        <f>SUM(E150:E153)</f>
        <v>339641.23262185842</v>
      </c>
      <c r="F156" s="407"/>
      <c r="G156" s="162"/>
      <c r="H156" s="31" t="s">
        <v>43</v>
      </c>
      <c r="I156" s="31"/>
      <c r="J156" s="31"/>
      <c r="K156" s="31"/>
      <c r="L156" s="33">
        <f>SUM(L150:L153)</f>
        <v>339641.23262185842</v>
      </c>
      <c r="M156" s="393"/>
    </row>
    <row r="157" spans="1:13" x14ac:dyDescent="0.2">
      <c r="F157" s="407"/>
      <c r="G157" s="162"/>
    </row>
    <row r="158" spans="1:13" x14ac:dyDescent="0.2">
      <c r="A158" s="23" t="s">
        <v>44</v>
      </c>
      <c r="C158" s="97">
        <f>$Q$55</f>
        <v>0.11846733793705286</v>
      </c>
      <c r="E158" s="28">
        <f>C158*E156</f>
        <v>40236.392682370883</v>
      </c>
      <c r="F158" s="407"/>
      <c r="G158" s="162"/>
      <c r="H158" s="23" t="s">
        <v>44</v>
      </c>
      <c r="J158" s="97">
        <f>$Q$55</f>
        <v>0.11846733793705286</v>
      </c>
      <c r="L158" s="28">
        <f>J158*L156</f>
        <v>40236.392682370883</v>
      </c>
      <c r="M158" s="284"/>
    </row>
    <row r="159" spans="1:13" x14ac:dyDescent="0.2">
      <c r="F159" s="407"/>
      <c r="G159" s="162"/>
    </row>
    <row r="160" spans="1:13" ht="13.5" thickBot="1" x14ac:dyDescent="0.25">
      <c r="A160" s="73" t="s">
        <v>52</v>
      </c>
      <c r="B160" s="74"/>
      <c r="C160" s="74"/>
      <c r="D160" s="74"/>
      <c r="E160" s="75">
        <f>SUM(E156:E158)</f>
        <v>379877.62530422932</v>
      </c>
      <c r="F160" s="407"/>
      <c r="G160" s="162"/>
      <c r="H160" s="73" t="s">
        <v>52</v>
      </c>
      <c r="I160" s="74"/>
      <c r="J160" s="74"/>
      <c r="K160" s="74"/>
      <c r="L160" s="75">
        <f>SUM(L156:L158)</f>
        <v>379877.62530422932</v>
      </c>
      <c r="M160" s="393"/>
    </row>
    <row r="161" spans="1:13" ht="13.5" thickTop="1" x14ac:dyDescent="0.2">
      <c r="F161" s="407"/>
      <c r="G161" s="162"/>
    </row>
    <row r="162" spans="1:13" x14ac:dyDescent="0.2">
      <c r="A162" s="23" t="s">
        <v>53</v>
      </c>
      <c r="C162" s="98">
        <f>$Q$57</f>
        <v>5.3904190379097106E-2</v>
      </c>
      <c r="E162" s="77">
        <f>E160*(1+C162)</f>
        <v>400354.62113938783</v>
      </c>
      <c r="F162" s="407"/>
      <c r="G162" s="162"/>
      <c r="H162" s="23" t="s">
        <v>53</v>
      </c>
      <c r="J162" s="98">
        <f>$Q$57</f>
        <v>5.3904190379097106E-2</v>
      </c>
      <c r="L162" s="77">
        <f>L160*(1+J162)</f>
        <v>400354.62113938783</v>
      </c>
      <c r="M162" s="631"/>
    </row>
    <row r="163" spans="1:13" x14ac:dyDescent="0.2">
      <c r="F163" s="407"/>
      <c r="G163" s="162"/>
    </row>
    <row r="164" spans="1:13" x14ac:dyDescent="0.2">
      <c r="E164" s="92" t="s">
        <v>56</v>
      </c>
      <c r="F164" s="407"/>
      <c r="G164" s="162"/>
      <c r="L164" s="92" t="s">
        <v>56</v>
      </c>
      <c r="M164" s="632"/>
    </row>
    <row r="165" spans="1:13" x14ac:dyDescent="0.2">
      <c r="A165" s="23" t="s">
        <v>55</v>
      </c>
      <c r="D165" s="76">
        <f>E160/E137</f>
        <v>86.73005143932177</v>
      </c>
      <c r="E165" s="76">
        <f>D165*(1+C162)</f>
        <v>91.405164643695855</v>
      </c>
      <c r="F165" s="407"/>
      <c r="G165" s="162"/>
      <c r="H165" s="23" t="s">
        <v>55</v>
      </c>
      <c r="K165" s="76">
        <f>L160/L137</f>
        <v>86.73005143932177</v>
      </c>
      <c r="L165" s="76">
        <f>K165*(1+J162)</f>
        <v>91.405164643695855</v>
      </c>
      <c r="M165" s="633"/>
    </row>
    <row r="166" spans="1:13" ht="13.5" thickBot="1" x14ac:dyDescent="0.25">
      <c r="A166" s="377" t="s">
        <v>456</v>
      </c>
      <c r="B166" s="378"/>
      <c r="C166" s="379">
        <f>'CAF Spring 2015'!$BC$24</f>
        <v>2.0354406130268236E-2</v>
      </c>
      <c r="D166" s="380"/>
      <c r="E166" s="380"/>
      <c r="F166" s="386">
        <f>E165*(1+C166)</f>
        <v>93.265662487257686</v>
      </c>
      <c r="G166" s="398"/>
      <c r="H166" s="377" t="s">
        <v>456</v>
      </c>
      <c r="I166" s="378"/>
      <c r="J166" s="379">
        <f>'CAF Spring 2015'!$BC$24</f>
        <v>2.0354406130268236E-2</v>
      </c>
      <c r="K166" s="380"/>
      <c r="L166" s="380">
        <f>L165*(1+J166)</f>
        <v>93.265662487257686</v>
      </c>
      <c r="M166" s="633"/>
    </row>
    <row r="167" spans="1:13" ht="13.5" thickBot="1" x14ac:dyDescent="0.25">
      <c r="A167" s="78" t="s">
        <v>54</v>
      </c>
      <c r="B167" s="79">
        <v>0.9</v>
      </c>
      <c r="C167" s="80"/>
      <c r="D167" s="86">
        <f>E160/(E137*B167)</f>
        <v>96.366723821468625</v>
      </c>
      <c r="E167" s="384">
        <f>D167*(1+C162)</f>
        <v>101.56129404855095</v>
      </c>
      <c r="F167" s="660">
        <f>F166/B167</f>
        <v>103.62851387473076</v>
      </c>
      <c r="G167" s="394"/>
      <c r="H167" s="78" t="s">
        <v>54</v>
      </c>
      <c r="I167" s="79">
        <v>0.9</v>
      </c>
      <c r="J167" s="80"/>
      <c r="K167" s="86"/>
      <c r="L167" s="656">
        <f>L166/I167</f>
        <v>103.62851387473076</v>
      </c>
      <c r="M167" s="389"/>
    </row>
    <row r="168" spans="1:13" x14ac:dyDescent="0.2">
      <c r="A168" s="81"/>
      <c r="B168" s="82">
        <v>0.85</v>
      </c>
      <c r="C168" s="83"/>
      <c r="D168" s="88">
        <f>E160/(E137*B168)</f>
        <v>102.03535463449619</v>
      </c>
      <c r="E168" s="89">
        <f>D168*(1+C162)</f>
        <v>107.53548781611276</v>
      </c>
      <c r="F168" s="381"/>
      <c r="G168" s="394"/>
      <c r="H168" s="81"/>
      <c r="I168" s="82">
        <v>0.85</v>
      </c>
      <c r="J168" s="83"/>
      <c r="K168" s="88"/>
      <c r="L168" s="649">
        <f>L166/I168</f>
        <v>109.72430880853845</v>
      </c>
      <c r="M168" s="389"/>
    </row>
    <row r="169" spans="1:13" x14ac:dyDescent="0.2">
      <c r="A169" s="84"/>
      <c r="B169" s="85">
        <v>0.8</v>
      </c>
      <c r="C169" s="34"/>
      <c r="D169" s="90">
        <f>E160/(E137*B169)</f>
        <v>108.41256429915221</v>
      </c>
      <c r="E169" s="91">
        <f>D169*(1+C162)</f>
        <v>114.25645580461982</v>
      </c>
      <c r="F169" s="382"/>
      <c r="G169" s="394"/>
      <c r="H169" s="84"/>
      <c r="I169" s="85">
        <v>0.8</v>
      </c>
      <c r="J169" s="34"/>
      <c r="K169" s="90"/>
      <c r="L169" s="650">
        <f>L166/I169</f>
        <v>116.5820781090721</v>
      </c>
      <c r="M169" s="389"/>
    </row>
  </sheetData>
  <customSheetViews>
    <customSheetView guid="{C4FB04C2-CA74-4980-BD95-4B9444F5E469}" scale="110" showRuler="0" topLeftCell="B1">
      <selection activeCell="J26" sqref="J26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 topLeftCell="A14">
      <selection activeCell="J50" sqref="J50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 topLeftCell="A7">
      <selection activeCell="K22" sqref="K22"/>
      <pageMargins left="0.7" right="0.7" top="0.75" bottom="0.75" header="0.3" footer="0.3"/>
      <pageSetup orientation="portrait" verticalDpi="0" r:id="rId4"/>
    </customSheetView>
  </customSheetViews>
  <mergeCells count="14">
    <mergeCell ref="A6:E7"/>
    <mergeCell ref="A51:E52"/>
    <mergeCell ref="A94:E95"/>
    <mergeCell ref="A135:E136"/>
    <mergeCell ref="H6:L7"/>
    <mergeCell ref="H51:L52"/>
    <mergeCell ref="H94:L95"/>
    <mergeCell ref="H135:L136"/>
    <mergeCell ref="O1:R1"/>
    <mergeCell ref="P3:Q3"/>
    <mergeCell ref="F135:F136"/>
    <mergeCell ref="F94:F95"/>
    <mergeCell ref="F51:F52"/>
    <mergeCell ref="F6:F7"/>
  </mergeCells>
  <phoneticPr fontId="29" type="noConversion"/>
  <pageMargins left="0.7" right="0.7" top="0.75" bottom="0.75" header="0.3" footer="0.3"/>
  <pageSetup scale="69" fitToHeight="0" orientation="landscape" r:id="rId5"/>
  <headerFooter>
    <oddFooter>&amp;R2016-04-12
&amp;A
Caring Together rate review</oddFooter>
  </headerFooter>
  <rowBreaks count="3" manualBreakCount="3">
    <brk id="50" max="11" man="1"/>
    <brk id="93" max="11" man="1"/>
    <brk id="134" max="11" man="1"/>
  </rowBreaks>
  <legacy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P162"/>
  <sheetViews>
    <sheetView zoomScale="70" zoomScaleNormal="70" zoomScaleSheetLayoutView="70" workbookViewId="0">
      <selection activeCell="L13" sqref="L13:L24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8" width="13.140625" style="23" customWidth="1"/>
    <col min="9" max="9" width="9.140625" style="23"/>
    <col min="10" max="10" width="31.85546875" style="23" bestFit="1" customWidth="1"/>
    <col min="11" max="11" width="10.7109375" style="23" customWidth="1"/>
    <col min="12" max="12" width="10.140625" style="23" customWidth="1"/>
    <col min="13" max="13" width="12.42578125" style="23" bestFit="1" customWidth="1"/>
    <col min="14" max="14" width="10.140625" style="23" customWidth="1"/>
    <col min="15" max="16384" width="9.140625" style="23"/>
  </cols>
  <sheetData>
    <row r="1" spans="1:15" ht="13.9" thickBot="1" x14ac:dyDescent="0.3">
      <c r="J1" s="1431" t="s">
        <v>8</v>
      </c>
      <c r="K1" s="1431"/>
      <c r="L1" s="1431"/>
      <c r="M1" s="1431"/>
    </row>
    <row r="2" spans="1:15" ht="13.9" thickBot="1" x14ac:dyDescent="0.3"/>
    <row r="3" spans="1:15" ht="13.15" x14ac:dyDescent="0.25">
      <c r="J3" s="5" t="s">
        <v>9</v>
      </c>
      <c r="K3" s="1432" t="s">
        <v>10</v>
      </c>
      <c r="L3" s="1432"/>
      <c r="M3" s="6"/>
      <c r="N3" s="24"/>
      <c r="O3" s="24"/>
    </row>
    <row r="4" spans="1:15" ht="13.15" x14ac:dyDescent="0.25">
      <c r="J4" s="7"/>
      <c r="K4" s="8" t="s">
        <v>11</v>
      </c>
      <c r="L4" s="9" t="s">
        <v>12</v>
      </c>
      <c r="M4" s="10"/>
      <c r="N4" s="24"/>
      <c r="O4" s="24"/>
    </row>
    <row r="5" spans="1:15" ht="13.15" x14ac:dyDescent="0.25">
      <c r="G5" s="281"/>
      <c r="H5" s="281"/>
      <c r="J5" s="11" t="s">
        <v>13</v>
      </c>
      <c r="K5" s="12">
        <v>13</v>
      </c>
      <c r="L5" s="13">
        <f>K5*8</f>
        <v>104</v>
      </c>
      <c r="M5" s="10"/>
      <c r="N5" s="24"/>
      <c r="O5" s="24"/>
    </row>
    <row r="6" spans="1:15" x14ac:dyDescent="0.2">
      <c r="F6" s="1433" t="s">
        <v>460</v>
      </c>
      <c r="G6" s="506"/>
      <c r="H6" s="506"/>
      <c r="J6" s="11" t="s">
        <v>14</v>
      </c>
      <c r="K6" s="12">
        <v>10</v>
      </c>
      <c r="L6" s="13">
        <f>K6*8</f>
        <v>80</v>
      </c>
      <c r="M6" s="10"/>
      <c r="N6" s="24"/>
      <c r="O6" s="24"/>
    </row>
    <row r="7" spans="1:15" ht="13.5" thickBot="1" x14ac:dyDescent="0.25">
      <c r="A7" s="1474" t="s">
        <v>102</v>
      </c>
      <c r="B7" s="1474"/>
      <c r="C7" s="1474"/>
      <c r="D7" s="1474"/>
      <c r="E7" s="1474"/>
      <c r="F7" s="1434"/>
      <c r="G7" s="507"/>
      <c r="H7" s="507"/>
      <c r="J7" s="11" t="s">
        <v>15</v>
      </c>
      <c r="K7" s="12">
        <v>11</v>
      </c>
      <c r="L7" s="13">
        <f>K7*8</f>
        <v>88</v>
      </c>
      <c r="M7" s="10"/>
      <c r="N7" s="24"/>
      <c r="O7" s="24"/>
    </row>
    <row r="8" spans="1:15" ht="13.15" x14ac:dyDescent="0.25">
      <c r="A8" s="25" t="s">
        <v>0</v>
      </c>
      <c r="B8" s="69">
        <f>K$28</f>
        <v>12</v>
      </c>
      <c r="C8" s="25"/>
      <c r="D8" s="25" t="s">
        <v>1</v>
      </c>
      <c r="E8" s="68">
        <f>B8*365</f>
        <v>4380</v>
      </c>
      <c r="F8" s="427"/>
      <c r="G8" s="29"/>
      <c r="H8" s="29"/>
      <c r="J8" s="14" t="s">
        <v>16</v>
      </c>
      <c r="K8" s="15">
        <v>7</v>
      </c>
      <c r="L8" s="16">
        <f>K8*8</f>
        <v>56</v>
      </c>
      <c r="M8" s="17"/>
      <c r="N8" s="24"/>
      <c r="O8" s="24"/>
    </row>
    <row r="9" spans="1:15" ht="13.15" x14ac:dyDescent="0.25">
      <c r="F9" s="407"/>
      <c r="G9" s="29"/>
      <c r="H9" s="29"/>
      <c r="J9" s="11"/>
      <c r="K9" s="18" t="s">
        <v>17</v>
      </c>
      <c r="L9" s="13">
        <f>SUM(L5:L8)</f>
        <v>328</v>
      </c>
      <c r="M9" s="19"/>
      <c r="N9" s="24"/>
      <c r="O9" s="24"/>
    </row>
    <row r="10" spans="1:15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G10" s="29"/>
      <c r="H10" s="29"/>
      <c r="J10" s="20"/>
      <c r="K10" s="21" t="s">
        <v>18</v>
      </c>
      <c r="L10" s="22">
        <f>L9/(52*40)</f>
        <v>0.15769230769230769</v>
      </c>
      <c r="M10" s="56"/>
    </row>
    <row r="11" spans="1:15" ht="13.9" thickBot="1" x14ac:dyDescent="0.3">
      <c r="A11" s="1" t="s">
        <v>19</v>
      </c>
      <c r="C11" s="30">
        <f>L$13</f>
        <v>56249</v>
      </c>
      <c r="D11" s="35">
        <f>K$29</f>
        <v>1.75</v>
      </c>
      <c r="E11" s="28">
        <f>C11*D11</f>
        <v>98435.75</v>
      </c>
      <c r="F11" s="407"/>
      <c r="G11" s="1029"/>
      <c r="H11" s="29"/>
    </row>
    <row r="12" spans="1:15" ht="13.15" x14ac:dyDescent="0.25">
      <c r="A12" s="2" t="s">
        <v>227</v>
      </c>
      <c r="C12" s="30"/>
      <c r="D12" s="35"/>
      <c r="E12" s="28"/>
      <c r="F12" s="407"/>
      <c r="G12" s="1029"/>
      <c r="H12" s="29"/>
      <c r="J12" s="36"/>
      <c r="K12" s="37"/>
      <c r="L12" s="38" t="s">
        <v>75</v>
      </c>
      <c r="M12" s="38"/>
      <c r="N12" s="39"/>
    </row>
    <row r="13" spans="1:15" ht="13.15" x14ac:dyDescent="0.25">
      <c r="A13" s="3" t="s">
        <v>24</v>
      </c>
      <c r="C13" s="30">
        <f>L15</f>
        <v>69550</v>
      </c>
      <c r="D13" s="35">
        <f>K31</f>
        <v>0.25</v>
      </c>
      <c r="E13" s="28">
        <f t="shared" ref="E13:E20" si="0">C13*D13</f>
        <v>17387.5</v>
      </c>
      <c r="F13" s="407"/>
      <c r="G13" s="1029"/>
      <c r="H13" s="29"/>
      <c r="J13" s="7" t="s">
        <v>19</v>
      </c>
      <c r="K13" s="29"/>
      <c r="L13" s="40">
        <v>56249</v>
      </c>
      <c r="M13" s="40"/>
      <c r="N13" s="99"/>
    </row>
    <row r="14" spans="1:15" ht="13.15" x14ac:dyDescent="0.25">
      <c r="A14" s="2" t="s">
        <v>5</v>
      </c>
      <c r="C14" s="30"/>
      <c r="D14" s="35"/>
      <c r="E14" s="28"/>
      <c r="F14" s="407"/>
      <c r="G14" s="1029"/>
      <c r="H14" s="29"/>
      <c r="J14" s="7" t="s">
        <v>227</v>
      </c>
      <c r="K14" s="29"/>
      <c r="L14" s="40"/>
      <c r="M14" s="40"/>
      <c r="N14" s="99"/>
    </row>
    <row r="15" spans="1:15" ht="13.15" x14ac:dyDescent="0.25">
      <c r="A15" s="2" t="s">
        <v>103</v>
      </c>
      <c r="C15" s="30">
        <f>L18</f>
        <v>24605</v>
      </c>
      <c r="D15" s="35">
        <f>K34</f>
        <v>1</v>
      </c>
      <c r="E15" s="28">
        <f>C15*D15</f>
        <v>24605</v>
      </c>
      <c r="F15" s="407"/>
      <c r="G15" s="1029"/>
      <c r="H15" s="29"/>
      <c r="J15" s="11" t="s">
        <v>24</v>
      </c>
      <c r="K15" s="29"/>
      <c r="L15" s="40">
        <v>69550</v>
      </c>
      <c r="M15" s="93" t="s">
        <v>69</v>
      </c>
      <c r="N15" s="99"/>
    </row>
    <row r="16" spans="1:15" ht="13.15" x14ac:dyDescent="0.25">
      <c r="A16" s="3" t="s">
        <v>59</v>
      </c>
      <c r="C16" s="30">
        <f>L19</f>
        <v>47586</v>
      </c>
      <c r="D16" s="35">
        <f>K35</f>
        <v>2</v>
      </c>
      <c r="E16" s="28">
        <f t="shared" si="0"/>
        <v>95172</v>
      </c>
      <c r="F16" s="407"/>
      <c r="G16" s="1029"/>
      <c r="H16" s="29"/>
      <c r="J16" s="11" t="s">
        <v>26</v>
      </c>
      <c r="K16" s="29"/>
      <c r="L16" s="280">
        <f>'Group Home'!Q18</f>
        <v>50000</v>
      </c>
      <c r="M16" s="93"/>
      <c r="N16" s="99"/>
    </row>
    <row r="17" spans="1:15" ht="13.15" x14ac:dyDescent="0.25">
      <c r="A17" s="3" t="s">
        <v>30</v>
      </c>
      <c r="C17" s="337">
        <f>L21</f>
        <v>30649</v>
      </c>
      <c r="D17" s="35">
        <f>K37</f>
        <v>11.5</v>
      </c>
      <c r="E17" s="28">
        <f t="shared" si="0"/>
        <v>352463.5</v>
      </c>
      <c r="F17" s="407"/>
      <c r="G17" s="1029"/>
      <c r="H17" s="29"/>
      <c r="J17" s="7" t="s">
        <v>5</v>
      </c>
      <c r="K17" s="29"/>
      <c r="L17" s="40"/>
      <c r="M17" s="93"/>
      <c r="N17" s="99"/>
    </row>
    <row r="18" spans="1:15" ht="13.15" x14ac:dyDescent="0.25">
      <c r="A18" s="4" t="s">
        <v>31</v>
      </c>
      <c r="C18" s="30">
        <f>L22</f>
        <v>30649</v>
      </c>
      <c r="D18" s="283">
        <f>K38</f>
        <v>1.8134615384615385</v>
      </c>
      <c r="E18" s="28">
        <f>C18*D18</f>
        <v>55580.782692307694</v>
      </c>
      <c r="F18" s="407"/>
      <c r="G18" s="1029"/>
      <c r="H18" s="29"/>
      <c r="J18" s="11" t="s">
        <v>85</v>
      </c>
      <c r="K18" s="29"/>
      <c r="L18" s="40">
        <v>24605</v>
      </c>
      <c r="M18" s="93"/>
      <c r="N18" s="99"/>
      <c r="O18" s="177"/>
    </row>
    <row r="19" spans="1:15" ht="13.15" x14ac:dyDescent="0.25">
      <c r="A19" s="2" t="s">
        <v>6</v>
      </c>
      <c r="C19" s="30"/>
      <c r="D19" s="35"/>
      <c r="E19" s="28"/>
      <c r="F19" s="407"/>
      <c r="G19" s="1029"/>
      <c r="H19" s="29"/>
      <c r="J19" s="11" t="s">
        <v>59</v>
      </c>
      <c r="K19" s="29"/>
      <c r="L19" s="40">
        <v>47586</v>
      </c>
      <c r="M19" s="93"/>
      <c r="N19" s="99"/>
    </row>
    <row r="20" spans="1:15" ht="13.15" x14ac:dyDescent="0.25">
      <c r="A20" s="3" t="s">
        <v>32</v>
      </c>
      <c r="C20" s="30">
        <f>L24</f>
        <v>30649</v>
      </c>
      <c r="D20" s="35">
        <f>K40</f>
        <v>0.25</v>
      </c>
      <c r="E20" s="28">
        <f t="shared" si="0"/>
        <v>7662.25</v>
      </c>
      <c r="F20" s="407"/>
      <c r="G20" s="1029"/>
      <c r="H20" s="29"/>
      <c r="J20" s="11" t="s">
        <v>60</v>
      </c>
      <c r="K20" s="29"/>
      <c r="L20" s="40">
        <v>48791</v>
      </c>
      <c r="M20" s="93"/>
      <c r="N20" s="99"/>
    </row>
    <row r="21" spans="1:15" ht="13.15" x14ac:dyDescent="0.25">
      <c r="A21" s="31" t="s">
        <v>7</v>
      </c>
      <c r="B21" s="31"/>
      <c r="C21" s="31"/>
      <c r="D21" s="32">
        <f>SUM(D11:D20)</f>
        <v>18.563461538461539</v>
      </c>
      <c r="E21" s="33">
        <f>SUM(E11:E20)</f>
        <v>651306.78269230772</v>
      </c>
      <c r="F21" s="407"/>
      <c r="G21" s="29"/>
      <c r="H21" s="29"/>
      <c r="J21" s="11" t="s">
        <v>30</v>
      </c>
      <c r="K21" s="29"/>
      <c r="L21" s="40">
        <v>30649</v>
      </c>
      <c r="M21" s="93"/>
      <c r="N21" s="99"/>
    </row>
    <row r="22" spans="1:15" ht="13.15" x14ac:dyDescent="0.25">
      <c r="F22" s="407"/>
      <c r="G22" s="29"/>
      <c r="H22" s="29"/>
      <c r="J22" s="42" t="s">
        <v>31</v>
      </c>
      <c r="K22" s="29"/>
      <c r="L22" s="40">
        <f>L21</f>
        <v>30649</v>
      </c>
      <c r="M22" s="93"/>
      <c r="N22" s="99"/>
    </row>
    <row r="23" spans="1:15" ht="13.15" x14ac:dyDescent="0.25">
      <c r="A23" s="25" t="s">
        <v>21</v>
      </c>
      <c r="D23" s="25" t="s">
        <v>20</v>
      </c>
      <c r="F23" s="407"/>
      <c r="G23" s="29"/>
      <c r="H23" s="29"/>
      <c r="J23" s="7" t="s">
        <v>6</v>
      </c>
      <c r="K23" s="29"/>
      <c r="L23" s="40"/>
      <c r="M23" s="93"/>
      <c r="N23" s="99"/>
    </row>
    <row r="24" spans="1:15" ht="13.15" x14ac:dyDescent="0.25">
      <c r="A24" s="23" t="s">
        <v>22</v>
      </c>
      <c r="C24" s="97">
        <f>$L$43</f>
        <v>0.23424901786252411</v>
      </c>
      <c r="E24" s="28">
        <f>C24*E21</f>
        <v>152567.97417287351</v>
      </c>
      <c r="F24" s="407"/>
      <c r="G24" s="29"/>
      <c r="H24" s="29"/>
      <c r="J24" s="11" t="s">
        <v>32</v>
      </c>
      <c r="K24" s="29"/>
      <c r="L24" s="40">
        <v>30649</v>
      </c>
      <c r="M24" s="93" t="s">
        <v>70</v>
      </c>
      <c r="N24" s="99"/>
    </row>
    <row r="25" spans="1:15" ht="13.15" x14ac:dyDescent="0.25">
      <c r="A25" s="31" t="s">
        <v>51</v>
      </c>
      <c r="B25" s="31"/>
      <c r="C25" s="31"/>
      <c r="D25" s="70">
        <f>E25/E8</f>
        <v>183.53304951259847</v>
      </c>
      <c r="E25" s="33">
        <f>E24+E21</f>
        <v>803874.75686518126</v>
      </c>
      <c r="F25" s="407"/>
      <c r="G25" s="29"/>
      <c r="H25" s="29"/>
      <c r="J25" s="11"/>
      <c r="K25" s="29"/>
      <c r="L25" s="40"/>
      <c r="M25" s="40"/>
      <c r="N25" s="41"/>
    </row>
    <row r="26" spans="1:15" ht="13.15" x14ac:dyDescent="0.25">
      <c r="F26" s="407"/>
      <c r="G26" s="29"/>
      <c r="H26" s="29"/>
      <c r="J26" s="43"/>
      <c r="K26" s="29"/>
      <c r="L26" s="44" t="s">
        <v>37</v>
      </c>
      <c r="M26" s="44"/>
      <c r="N26" s="41"/>
    </row>
    <row r="27" spans="1:15" ht="13.15" x14ac:dyDescent="0.25">
      <c r="A27" s="23" t="s">
        <v>39</v>
      </c>
      <c r="D27" s="71">
        <f>$L$45</f>
        <v>27.74</v>
      </c>
      <c r="E27" s="105">
        <f>D27*E8</f>
        <v>121501.2</v>
      </c>
      <c r="F27" s="407"/>
      <c r="G27" s="428"/>
      <c r="H27" s="29"/>
      <c r="J27" s="43" t="s">
        <v>35</v>
      </c>
      <c r="K27" s="65" t="s">
        <v>99</v>
      </c>
      <c r="L27" s="65" t="s">
        <v>95</v>
      </c>
      <c r="M27" s="65" t="s">
        <v>96</v>
      </c>
      <c r="N27" s="66" t="s">
        <v>97</v>
      </c>
    </row>
    <row r="28" spans="1:15" ht="13.15" x14ac:dyDescent="0.25">
      <c r="A28" s="29" t="s">
        <v>40</v>
      </c>
      <c r="D28" s="71">
        <f>$L$46</f>
        <v>12.872</v>
      </c>
      <c r="E28" s="105">
        <f>D28*E8</f>
        <v>56379.360000000001</v>
      </c>
      <c r="F28" s="407"/>
      <c r="G28" s="428"/>
      <c r="H28" s="29"/>
      <c r="J28" s="43" t="s">
        <v>36</v>
      </c>
      <c r="K28" s="57">
        <f>'[8]Rate Options'!$I$26</f>
        <v>12</v>
      </c>
      <c r="L28" s="57">
        <f>'[8]Rate Options'!$J$26</f>
        <v>10</v>
      </c>
      <c r="M28" s="57">
        <f>'[8]Rate Options'!$K$26</f>
        <v>5</v>
      </c>
      <c r="N28" s="67">
        <f>'[8]Rate Options'!$L$26</f>
        <v>4</v>
      </c>
    </row>
    <row r="29" spans="1:15" ht="13.15" x14ac:dyDescent="0.25">
      <c r="D29" s="72">
        <f>SUM(D27:D28)</f>
        <v>40.611999999999995</v>
      </c>
      <c r="F29" s="407"/>
      <c r="G29" s="29"/>
      <c r="H29" s="29"/>
      <c r="J29" s="7" t="s">
        <v>19</v>
      </c>
      <c r="K29" s="185">
        <f>'[8]Rate Options'!I28</f>
        <v>1.75</v>
      </c>
      <c r="L29" s="185">
        <f>'[8]Rate Options'!J28</f>
        <v>1</v>
      </c>
      <c r="M29" s="185">
        <f>'[8]Rate Options'!K28</f>
        <v>1</v>
      </c>
      <c r="N29" s="186">
        <f>'[8]Rate Options'!L28</f>
        <v>0.2</v>
      </c>
    </row>
    <row r="30" spans="1:15" ht="13.15" x14ac:dyDescent="0.25">
      <c r="F30" s="407"/>
      <c r="G30" s="29"/>
      <c r="H30" s="29"/>
      <c r="J30" s="7" t="s">
        <v>227</v>
      </c>
      <c r="K30" s="185"/>
      <c r="L30" s="185"/>
      <c r="M30" s="185"/>
      <c r="N30" s="186"/>
    </row>
    <row r="31" spans="1:15" ht="13.15" x14ac:dyDescent="0.25">
      <c r="A31" s="31" t="s">
        <v>43</v>
      </c>
      <c r="B31" s="31"/>
      <c r="C31" s="31"/>
      <c r="D31" s="31"/>
      <c r="E31" s="33">
        <f>SUM(E25:E28)</f>
        <v>981755.3168651812</v>
      </c>
      <c r="F31" s="407"/>
      <c r="G31" s="29"/>
      <c r="H31" s="29"/>
      <c r="J31" s="11" t="s">
        <v>24</v>
      </c>
      <c r="K31" s="185">
        <f>'[8]Rate Options'!I30</f>
        <v>0.25</v>
      </c>
      <c r="L31" s="185"/>
      <c r="M31" s="185"/>
      <c r="N31" s="186"/>
    </row>
    <row r="32" spans="1:15" ht="13.15" x14ac:dyDescent="0.25">
      <c r="F32" s="407"/>
      <c r="G32" s="29"/>
      <c r="H32" s="29"/>
      <c r="J32" s="11" t="s">
        <v>26</v>
      </c>
      <c r="K32" s="185"/>
      <c r="L32" s="185">
        <f>'[8]Rate Options'!J31</f>
        <v>0.13</v>
      </c>
      <c r="M32" s="185">
        <f>'[8]Rate Options'!K31</f>
        <v>0.13</v>
      </c>
      <c r="N32" s="186"/>
    </row>
    <row r="33" spans="1:16" ht="13.15" x14ac:dyDescent="0.25">
      <c r="A33" s="23" t="s">
        <v>44</v>
      </c>
      <c r="C33" s="97">
        <f>$L$49</f>
        <v>0.11846733793705286</v>
      </c>
      <c r="E33" s="28">
        <f>C33*E31</f>
        <v>116305.93889456583</v>
      </c>
      <c r="F33" s="407"/>
      <c r="G33" s="29"/>
      <c r="H33" s="29"/>
      <c r="J33" s="7" t="s">
        <v>5</v>
      </c>
      <c r="K33" s="185"/>
      <c r="L33" s="185"/>
      <c r="M33" s="185"/>
      <c r="N33" s="186"/>
    </row>
    <row r="34" spans="1:16" ht="13.15" x14ac:dyDescent="0.25">
      <c r="F34" s="407"/>
      <c r="G34" s="29"/>
      <c r="H34" s="29"/>
      <c r="J34" s="11" t="s">
        <v>85</v>
      </c>
      <c r="K34" s="185">
        <f>'[8]Rate Options'!I33</f>
        <v>1</v>
      </c>
      <c r="L34" s="185">
        <f>'[8]Rate Options'!J33</f>
        <v>0.5</v>
      </c>
      <c r="M34" s="185">
        <f>'[8]Rate Options'!K33</f>
        <v>0.5</v>
      </c>
      <c r="N34" s="186"/>
    </row>
    <row r="35" spans="1:16" ht="13.9" thickBot="1" x14ac:dyDescent="0.3">
      <c r="A35" s="73" t="s">
        <v>52</v>
      </c>
      <c r="B35" s="74"/>
      <c r="C35" s="74"/>
      <c r="D35" s="74"/>
      <c r="E35" s="75">
        <f>SUM(E31:E33)</f>
        <v>1098061.255759747</v>
      </c>
      <c r="F35" s="407"/>
      <c r="G35" s="29"/>
      <c r="H35" s="29"/>
      <c r="J35" s="11" t="s">
        <v>59</v>
      </c>
      <c r="K35" s="185">
        <f>'[8]Rate Options'!I34</f>
        <v>2</v>
      </c>
      <c r="L35" s="185"/>
      <c r="M35" s="185"/>
      <c r="N35" s="186"/>
    </row>
    <row r="36" spans="1:16" ht="13.9" thickTop="1" x14ac:dyDescent="0.25">
      <c r="F36" s="407"/>
      <c r="G36" s="29"/>
      <c r="H36" s="29"/>
      <c r="J36" s="11" t="s">
        <v>60</v>
      </c>
      <c r="K36" s="185"/>
      <c r="L36" s="185">
        <f>'[8]Rate Options'!J35</f>
        <v>1</v>
      </c>
      <c r="M36" s="185">
        <f>'[8]Rate Options'!K35</f>
        <v>0.5</v>
      </c>
      <c r="N36" s="186">
        <f>'[8]Rate Options'!L35</f>
        <v>1</v>
      </c>
    </row>
    <row r="37" spans="1:16" ht="13.9" x14ac:dyDescent="0.3">
      <c r="A37" s="23" t="s">
        <v>53</v>
      </c>
      <c r="C37" s="339"/>
      <c r="E37" s="77">
        <f>E35*(1+C37)</f>
        <v>1098061.255759747</v>
      </c>
      <c r="F37" s="407"/>
      <c r="G37" s="29"/>
      <c r="H37" s="29"/>
      <c r="J37" s="11" t="s">
        <v>30</v>
      </c>
      <c r="K37" s="185">
        <f>'[8]Rate Options'!I36</f>
        <v>11.5</v>
      </c>
      <c r="L37" s="185">
        <f>'[8]Rate Options'!J36</f>
        <v>8</v>
      </c>
      <c r="M37" s="185">
        <f>'[8]Rate Options'!K36</f>
        <v>3</v>
      </c>
      <c r="N37" s="186"/>
      <c r="O37" s="115"/>
    </row>
    <row r="38" spans="1:16" ht="13.15" x14ac:dyDescent="0.25">
      <c r="F38" s="407"/>
      <c r="G38" s="29"/>
      <c r="H38" s="29"/>
      <c r="J38" s="42" t="s">
        <v>31</v>
      </c>
      <c r="K38" s="187">
        <f>K37*$L$10</f>
        <v>1.8134615384615385</v>
      </c>
      <c r="L38" s="187">
        <f>L37*$L$10</f>
        <v>1.2615384615384615</v>
      </c>
      <c r="M38" s="187">
        <f>M37*$L$10</f>
        <v>0.47307692307692306</v>
      </c>
      <c r="N38" s="188"/>
    </row>
    <row r="39" spans="1:16" ht="13.15" x14ac:dyDescent="0.25">
      <c r="E39" s="92" t="s">
        <v>56</v>
      </c>
      <c r="F39" s="407"/>
      <c r="G39" s="29"/>
      <c r="H39" s="29"/>
      <c r="J39" s="7" t="s">
        <v>6</v>
      </c>
      <c r="K39" s="185"/>
      <c r="L39" s="185"/>
      <c r="M39" s="185"/>
      <c r="N39" s="186"/>
    </row>
    <row r="40" spans="1:16" ht="13.15" x14ac:dyDescent="0.25">
      <c r="A40" s="23" t="s">
        <v>55</v>
      </c>
      <c r="D40" s="76">
        <f>E35/E8</f>
        <v>250.69891684012489</v>
      </c>
      <c r="E40" s="76">
        <f>D40*(1+C37)</f>
        <v>250.69891684012489</v>
      </c>
      <c r="F40" s="407"/>
      <c r="G40" s="29"/>
      <c r="H40" s="29"/>
      <c r="J40" s="11" t="s">
        <v>32</v>
      </c>
      <c r="K40" s="185">
        <f>'[8]Rate Options'!I39</f>
        <v>0.25</v>
      </c>
      <c r="L40" s="185">
        <f>'[8]Rate Options'!J39</f>
        <v>0.25</v>
      </c>
      <c r="M40" s="185">
        <f>'[8]Rate Options'!K39</f>
        <v>0.13</v>
      </c>
      <c r="N40" s="186"/>
      <c r="P40" s="71"/>
    </row>
    <row r="41" spans="1:16" ht="13.9" thickBot="1" x14ac:dyDescent="0.3">
      <c r="A41" s="377" t="s">
        <v>455</v>
      </c>
      <c r="B41" s="378"/>
      <c r="C41" s="379"/>
      <c r="D41" s="380"/>
      <c r="E41" s="380"/>
      <c r="F41" s="386">
        <f>E40*(1+C41)</f>
        <v>250.69891684012489</v>
      </c>
      <c r="G41" s="398"/>
      <c r="H41" s="398"/>
      <c r="J41" s="43"/>
      <c r="K41" s="29"/>
      <c r="L41" s="29"/>
      <c r="M41" s="29"/>
      <c r="N41" s="41"/>
    </row>
    <row r="42" spans="1:16" ht="13.9" thickBot="1" x14ac:dyDescent="0.3">
      <c r="A42" s="78" t="s">
        <v>54</v>
      </c>
      <c r="B42" s="79">
        <v>0.9</v>
      </c>
      <c r="C42" s="80"/>
      <c r="D42" s="86">
        <f>E35/(E8*B42)</f>
        <v>278.5543520445832</v>
      </c>
      <c r="E42" s="384">
        <f>D42*(1+C37)</f>
        <v>278.5543520445832</v>
      </c>
      <c r="F42" s="660">
        <f>$F$41/B42</f>
        <v>278.5543520445832</v>
      </c>
      <c r="G42" s="394"/>
      <c r="H42" s="394"/>
      <c r="J42" s="43"/>
      <c r="K42" s="29"/>
      <c r="L42" s="44" t="s">
        <v>100</v>
      </c>
      <c r="M42" s="44"/>
      <c r="N42" s="41"/>
    </row>
    <row r="43" spans="1:16" ht="13.15" x14ac:dyDescent="0.25">
      <c r="A43" s="81"/>
      <c r="B43" s="82">
        <v>0.85</v>
      </c>
      <c r="C43" s="83"/>
      <c r="D43" s="88">
        <f>E35/(E8*B43)</f>
        <v>294.93990216485281</v>
      </c>
      <c r="E43" s="89">
        <f>D43*(1+C37)</f>
        <v>294.93990216485281</v>
      </c>
      <c r="F43" s="381"/>
      <c r="G43" s="394"/>
      <c r="H43" s="394"/>
      <c r="J43" s="43" t="s">
        <v>22</v>
      </c>
      <c r="K43" s="29"/>
      <c r="L43" s="95">
        <f>'Group Home'!Q47</f>
        <v>0.23424901786252411</v>
      </c>
      <c r="M43" s="114"/>
      <c r="N43" s="41"/>
    </row>
    <row r="44" spans="1:16" ht="13.15" x14ac:dyDescent="0.25">
      <c r="A44" s="84"/>
      <c r="B44" s="85">
        <v>0.8</v>
      </c>
      <c r="C44" s="34"/>
      <c r="D44" s="90">
        <f>E35/(E8*B44)</f>
        <v>313.37364605015608</v>
      </c>
      <c r="E44" s="91">
        <f>D44*(1+C37)</f>
        <v>313.37364605015608</v>
      </c>
      <c r="F44" s="382"/>
      <c r="G44" s="394"/>
      <c r="H44" s="394"/>
      <c r="J44" s="43"/>
      <c r="K44" s="29"/>
      <c r="L44" s="48"/>
      <c r="M44" s="48"/>
      <c r="N44" s="41"/>
    </row>
    <row r="45" spans="1:16" x14ac:dyDescent="0.2">
      <c r="J45" s="43" t="s">
        <v>39</v>
      </c>
      <c r="K45" s="29"/>
      <c r="L45" s="59">
        <v>27.74</v>
      </c>
      <c r="M45" s="116" t="s">
        <v>139</v>
      </c>
      <c r="N45" s="41"/>
    </row>
    <row r="46" spans="1:16" x14ac:dyDescent="0.2">
      <c r="J46" s="43" t="s">
        <v>40</v>
      </c>
      <c r="K46" s="29"/>
      <c r="L46" s="59">
        <v>12.872</v>
      </c>
      <c r="M46" s="116" t="s">
        <v>139</v>
      </c>
      <c r="N46" s="41"/>
    </row>
    <row r="47" spans="1:16" ht="26.45" customHeight="1" x14ac:dyDescent="0.2">
      <c r="F47" s="1433" t="s">
        <v>460</v>
      </c>
      <c r="G47" s="1462" t="s">
        <v>458</v>
      </c>
      <c r="H47" s="1524" t="s">
        <v>668</v>
      </c>
      <c r="J47" s="101" t="s">
        <v>43</v>
      </c>
      <c r="K47" s="102"/>
      <c r="L47" s="103">
        <f>SUM(L45:L46)</f>
        <v>40.611999999999995</v>
      </c>
      <c r="M47" s="103"/>
      <c r="N47" s="104"/>
    </row>
    <row r="48" spans="1:16" ht="13.5" thickBot="1" x14ac:dyDescent="0.25">
      <c r="A48" s="1523" t="s">
        <v>104</v>
      </c>
      <c r="B48" s="1474"/>
      <c r="C48" s="1474"/>
      <c r="D48" s="1474"/>
      <c r="E48" s="1474"/>
      <c r="F48" s="1434"/>
      <c r="G48" s="1463"/>
      <c r="H48" s="1524"/>
      <c r="J48" s="43"/>
      <c r="K48" s="29"/>
      <c r="L48" s="29"/>
      <c r="M48" s="29"/>
      <c r="N48" s="41"/>
    </row>
    <row r="49" spans="1:14" ht="13.15" x14ac:dyDescent="0.25">
      <c r="A49" s="25" t="s">
        <v>0</v>
      </c>
      <c r="B49" s="69">
        <f>L$28</f>
        <v>10</v>
      </c>
      <c r="C49" s="25"/>
      <c r="D49" s="25" t="s">
        <v>1</v>
      </c>
      <c r="E49" s="68">
        <f>B49*365</f>
        <v>3650</v>
      </c>
      <c r="F49" s="427"/>
      <c r="G49" s="407"/>
      <c r="H49" s="29"/>
      <c r="J49" s="43" t="s">
        <v>44</v>
      </c>
      <c r="K49" s="29"/>
      <c r="L49" s="95">
        <f>'Group Home'!Q55</f>
        <v>0.11846733793705286</v>
      </c>
      <c r="M49" s="95"/>
      <c r="N49" s="41"/>
    </row>
    <row r="50" spans="1:14" ht="13.15" x14ac:dyDescent="0.25">
      <c r="F50" s="407"/>
      <c r="G50" s="407"/>
      <c r="H50" s="29"/>
      <c r="J50" s="43"/>
      <c r="K50" s="29"/>
      <c r="L50" s="29"/>
      <c r="M50" s="29"/>
      <c r="N50" s="41"/>
    </row>
    <row r="51" spans="1:14" ht="13.5" thickBot="1" x14ac:dyDescent="0.25">
      <c r="A51" s="26"/>
      <c r="B51" s="26"/>
      <c r="C51" s="27" t="s">
        <v>2</v>
      </c>
      <c r="D51" s="27" t="s">
        <v>3</v>
      </c>
      <c r="E51" s="27" t="s">
        <v>4</v>
      </c>
      <c r="F51" s="407"/>
      <c r="G51" s="407"/>
      <c r="H51" s="29"/>
      <c r="J51" s="51" t="s">
        <v>45</v>
      </c>
      <c r="K51" s="52"/>
      <c r="L51" s="96">
        <f>'[12]Spring 2011 CPI'!$J$28</f>
        <v>5.3904190379097106E-2</v>
      </c>
      <c r="M51" s="245" t="s">
        <v>145</v>
      </c>
      <c r="N51" s="53"/>
    </row>
    <row r="52" spans="1:14" ht="13.15" x14ac:dyDescent="0.25">
      <c r="A52" s="1" t="s">
        <v>19</v>
      </c>
      <c r="C52" s="30">
        <f>L$13</f>
        <v>56249</v>
      </c>
      <c r="D52" s="35">
        <f>L$29</f>
        <v>1</v>
      </c>
      <c r="E52" s="28">
        <f>C52*D52</f>
        <v>56249</v>
      </c>
      <c r="F52" s="407"/>
      <c r="G52" s="407"/>
      <c r="H52" s="29"/>
      <c r="J52" s="63" t="s">
        <v>50</v>
      </c>
      <c r="K52" s="64" t="s">
        <v>46</v>
      </c>
    </row>
    <row r="53" spans="1:14" ht="13.15" x14ac:dyDescent="0.25">
      <c r="A53" s="2" t="s">
        <v>227</v>
      </c>
      <c r="C53" s="30"/>
      <c r="D53" s="35"/>
      <c r="E53" s="28"/>
      <c r="F53" s="407"/>
      <c r="G53" s="407"/>
      <c r="H53" s="29"/>
      <c r="J53" s="24" t="s">
        <v>81</v>
      </c>
    </row>
    <row r="54" spans="1:14" ht="13.15" x14ac:dyDescent="0.25">
      <c r="A54" s="3" t="s">
        <v>26</v>
      </c>
      <c r="C54" s="282">
        <f>L16</f>
        <v>50000</v>
      </c>
      <c r="D54" s="35">
        <f>L32</f>
        <v>0.13</v>
      </c>
      <c r="E54" s="28">
        <f>C54*D54</f>
        <v>6500</v>
      </c>
      <c r="F54" s="407"/>
      <c r="G54" s="407"/>
      <c r="H54" s="29"/>
      <c r="J54" s="23" t="s">
        <v>63</v>
      </c>
    </row>
    <row r="55" spans="1:14" ht="13.15" x14ac:dyDescent="0.25">
      <c r="A55" s="2" t="s">
        <v>5</v>
      </c>
      <c r="C55" s="30"/>
      <c r="D55" s="35"/>
      <c r="E55" s="28"/>
      <c r="F55" s="407"/>
      <c r="G55" s="407"/>
      <c r="H55" s="29"/>
      <c r="J55" s="54" t="s">
        <v>48</v>
      </c>
    </row>
    <row r="56" spans="1:14" ht="13.15" x14ac:dyDescent="0.25">
      <c r="A56" s="2" t="s">
        <v>103</v>
      </c>
      <c r="C56" s="30">
        <f>L18</f>
        <v>24605</v>
      </c>
      <c r="D56" s="35">
        <f>L34</f>
        <v>0.5</v>
      </c>
      <c r="E56" s="28">
        <f>C56*D56</f>
        <v>12302.5</v>
      </c>
      <c r="F56" s="407"/>
      <c r="G56" s="407"/>
      <c r="H56" s="29"/>
    </row>
    <row r="57" spans="1:14" ht="13.15" x14ac:dyDescent="0.25">
      <c r="A57" s="3" t="s">
        <v>60</v>
      </c>
      <c r="C57" s="30">
        <f>L20</f>
        <v>48791</v>
      </c>
      <c r="D57" s="35">
        <f>L36</f>
        <v>1</v>
      </c>
      <c r="E57" s="28">
        <f>C57*D57</f>
        <v>48791</v>
      </c>
      <c r="F57" s="407"/>
      <c r="G57" s="407"/>
      <c r="H57" s="29"/>
      <c r="J57" s="55" t="s">
        <v>49</v>
      </c>
    </row>
    <row r="58" spans="1:14" ht="13.15" x14ac:dyDescent="0.25">
      <c r="A58" s="3" t="s">
        <v>30</v>
      </c>
      <c r="C58" s="30">
        <f>L21</f>
        <v>30649</v>
      </c>
      <c r="D58" s="35">
        <f>L37</f>
        <v>8</v>
      </c>
      <c r="E58" s="28">
        <f>C58*D58</f>
        <v>245192</v>
      </c>
      <c r="F58" s="407"/>
      <c r="G58" s="407"/>
      <c r="H58" s="29"/>
      <c r="J58" s="23" t="s">
        <v>101</v>
      </c>
    </row>
    <row r="59" spans="1:14" ht="13.15" x14ac:dyDescent="0.25">
      <c r="A59" s="4" t="s">
        <v>31</v>
      </c>
      <c r="C59" s="30">
        <f>L22</f>
        <v>30649</v>
      </c>
      <c r="D59" s="283">
        <f>L38</f>
        <v>1.2615384615384615</v>
      </c>
      <c r="E59" s="28">
        <f>C59*D59</f>
        <v>38664.892307692309</v>
      </c>
      <c r="F59" s="407"/>
      <c r="G59" s="407"/>
      <c r="H59" s="29"/>
      <c r="J59" s="181" t="s">
        <v>194</v>
      </c>
    </row>
    <row r="60" spans="1:14" ht="13.15" x14ac:dyDescent="0.25">
      <c r="A60" s="2" t="s">
        <v>6</v>
      </c>
      <c r="C60" s="30"/>
      <c r="D60" s="35"/>
      <c r="E60" s="28"/>
      <c r="F60" s="407"/>
      <c r="G60" s="407"/>
      <c r="H60" s="29"/>
      <c r="J60" s="94" t="s">
        <v>66</v>
      </c>
    </row>
    <row r="61" spans="1:14" x14ac:dyDescent="0.2">
      <c r="A61" s="3" t="s">
        <v>32</v>
      </c>
      <c r="C61" s="30">
        <f>L24</f>
        <v>30649</v>
      </c>
      <c r="D61" s="35">
        <f>L40</f>
        <v>0.25</v>
      </c>
      <c r="E61" s="28">
        <f>C61*D61</f>
        <v>7662.25</v>
      </c>
      <c r="F61" s="407"/>
      <c r="G61" s="407"/>
      <c r="H61" s="29"/>
      <c r="J61" s="94" t="s">
        <v>140</v>
      </c>
    </row>
    <row r="62" spans="1:14" x14ac:dyDescent="0.2">
      <c r="A62" s="31" t="s">
        <v>7</v>
      </c>
      <c r="B62" s="31"/>
      <c r="C62" s="31"/>
      <c r="D62" s="32">
        <f>SUM(D52:D61)</f>
        <v>12.14153846153846</v>
      </c>
      <c r="E62" s="33">
        <f>SUM(E52:E61)</f>
        <v>415361.64230769232</v>
      </c>
      <c r="F62" s="407"/>
      <c r="G62" s="407"/>
      <c r="H62" s="29"/>
      <c r="J62" s="54" t="s">
        <v>144</v>
      </c>
    </row>
    <row r="63" spans="1:14" ht="13.15" x14ac:dyDescent="0.25">
      <c r="F63" s="407"/>
      <c r="G63" s="407"/>
      <c r="H63" s="29"/>
    </row>
    <row r="64" spans="1:14" ht="13.15" x14ac:dyDescent="0.25">
      <c r="A64" s="25" t="s">
        <v>21</v>
      </c>
      <c r="D64" s="25" t="s">
        <v>20</v>
      </c>
      <c r="F64" s="407"/>
      <c r="G64" s="407"/>
      <c r="H64" s="29"/>
    </row>
    <row r="65" spans="1:10" ht="13.15" x14ac:dyDescent="0.25">
      <c r="A65" s="23" t="s">
        <v>22</v>
      </c>
      <c r="C65" s="97">
        <f>$L$43</f>
        <v>0.23424901786252411</v>
      </c>
      <c r="E65" s="28">
        <f>C65*E62</f>
        <v>97298.056768341965</v>
      </c>
      <c r="F65" s="407"/>
      <c r="G65" s="407"/>
      <c r="H65" s="29"/>
    </row>
    <row r="66" spans="1:10" ht="13.15" x14ac:dyDescent="0.25">
      <c r="A66" s="31" t="s">
        <v>51</v>
      </c>
      <c r="B66" s="31"/>
      <c r="C66" s="31"/>
      <c r="D66" s="70">
        <f>E66/E49</f>
        <v>140.45471207562585</v>
      </c>
      <c r="E66" s="33">
        <f>E65+E62</f>
        <v>512659.6990760343</v>
      </c>
      <c r="F66" s="407"/>
      <c r="G66" s="407"/>
      <c r="H66" s="29"/>
    </row>
    <row r="67" spans="1:10" ht="13.15" x14ac:dyDescent="0.25">
      <c r="F67" s="407"/>
      <c r="G67" s="407"/>
      <c r="H67" s="29"/>
    </row>
    <row r="68" spans="1:10" ht="13.15" x14ac:dyDescent="0.25">
      <c r="A68" s="23" t="s">
        <v>39</v>
      </c>
      <c r="D68" s="71">
        <f>$L$45</f>
        <v>27.74</v>
      </c>
      <c r="E68" s="105">
        <f>D68*E49</f>
        <v>101251</v>
      </c>
      <c r="F68" s="407"/>
      <c r="G68" s="407"/>
      <c r="H68" s="29"/>
    </row>
    <row r="69" spans="1:10" ht="13.15" x14ac:dyDescent="0.25">
      <c r="A69" s="29" t="s">
        <v>40</v>
      </c>
      <c r="D69" s="71">
        <f>$L$46</f>
        <v>12.872</v>
      </c>
      <c r="E69" s="105">
        <f>D69*E49</f>
        <v>46982.8</v>
      </c>
      <c r="F69" s="407"/>
      <c r="G69" s="407"/>
      <c r="H69" s="29"/>
    </row>
    <row r="70" spans="1:10" ht="13.15" x14ac:dyDescent="0.25">
      <c r="D70" s="72">
        <f>SUM(D68:D69)</f>
        <v>40.611999999999995</v>
      </c>
      <c r="F70" s="407"/>
      <c r="G70" s="407"/>
      <c r="H70" s="29"/>
    </row>
    <row r="71" spans="1:10" ht="13.15" x14ac:dyDescent="0.25">
      <c r="F71" s="407"/>
      <c r="G71" s="407"/>
      <c r="H71" s="29"/>
    </row>
    <row r="72" spans="1:10" ht="13.15" x14ac:dyDescent="0.25">
      <c r="A72" s="31" t="s">
        <v>43</v>
      </c>
      <c r="B72" s="31"/>
      <c r="C72" s="31"/>
      <c r="D72" s="31"/>
      <c r="E72" s="33">
        <f>SUM(E66:E69)</f>
        <v>660893.49907603441</v>
      </c>
      <c r="F72" s="407"/>
      <c r="G72" s="407"/>
      <c r="H72" s="29"/>
    </row>
    <row r="73" spans="1:10" ht="13.15" x14ac:dyDescent="0.25">
      <c r="F73" s="407"/>
      <c r="G73" s="407"/>
      <c r="H73" s="29"/>
    </row>
    <row r="74" spans="1:10" ht="13.15" x14ac:dyDescent="0.25">
      <c r="A74" s="23" t="s">
        <v>44</v>
      </c>
      <c r="C74" s="97">
        <f>$L$49</f>
        <v>0.11846733793705286</v>
      </c>
      <c r="E74" s="28">
        <f>C74*E72</f>
        <v>78294.293495441903</v>
      </c>
      <c r="F74" s="407"/>
      <c r="G74" s="407"/>
      <c r="H74" s="29"/>
    </row>
    <row r="75" spans="1:10" ht="13.15" x14ac:dyDescent="0.25">
      <c r="F75" s="407"/>
      <c r="G75" s="407"/>
      <c r="H75" s="29"/>
    </row>
    <row r="76" spans="1:10" ht="13.9" thickBot="1" x14ac:dyDescent="0.3">
      <c r="A76" s="73" t="s">
        <v>52</v>
      </c>
      <c r="B76" s="74"/>
      <c r="C76" s="74"/>
      <c r="D76" s="74"/>
      <c r="E76" s="75">
        <f>SUM(E72:E74)</f>
        <v>739187.79257147631</v>
      </c>
      <c r="F76" s="407"/>
      <c r="G76" s="510">
        <f>E76</f>
        <v>739187.79257147631</v>
      </c>
      <c r="H76" s="751"/>
    </row>
    <row r="77" spans="1:10" ht="13.5" thickTop="1" x14ac:dyDescent="0.2">
      <c r="F77" s="407"/>
      <c r="G77" s="407"/>
      <c r="H77" s="29"/>
    </row>
    <row r="78" spans="1:10" x14ac:dyDescent="0.2">
      <c r="A78" s="23" t="s">
        <v>53</v>
      </c>
      <c r="C78" s="98">
        <f>$L$51</f>
        <v>5.3904190379097106E-2</v>
      </c>
      <c r="E78" s="77">
        <f>E76*(1+C78)</f>
        <v>779033.11206815368</v>
      </c>
      <c r="F78" s="407"/>
      <c r="G78" s="408">
        <f>G76*(1+C78)</f>
        <v>779033.11206815368</v>
      </c>
      <c r="H78" s="752"/>
    </row>
    <row r="79" spans="1:10" x14ac:dyDescent="0.2">
      <c r="F79" s="407"/>
      <c r="G79" s="407"/>
      <c r="H79" s="29"/>
      <c r="J79" s="71"/>
    </row>
    <row r="80" spans="1:10" x14ac:dyDescent="0.2">
      <c r="E80" s="92" t="s">
        <v>56</v>
      </c>
      <c r="F80" s="407"/>
      <c r="G80" s="409" t="s">
        <v>56</v>
      </c>
      <c r="H80" s="753"/>
    </row>
    <row r="81" spans="1:8" ht="13.5" thickBot="1" x14ac:dyDescent="0.25">
      <c r="A81" s="23" t="s">
        <v>55</v>
      </c>
      <c r="D81" s="76">
        <f>E76/E49</f>
        <v>202.5172034442401</v>
      </c>
      <c r="E81" s="76">
        <f>D81*(1+C78)</f>
        <v>213.43372933374076</v>
      </c>
      <c r="F81" s="407"/>
      <c r="G81" s="408">
        <f>G78/12</f>
        <v>64919.426005679474</v>
      </c>
      <c r="H81" s="752"/>
    </row>
    <row r="82" spans="1:8" ht="13.5" thickBot="1" x14ac:dyDescent="0.25">
      <c r="A82" s="377" t="s">
        <v>455</v>
      </c>
      <c r="B82" s="378"/>
      <c r="C82" s="379">
        <f>'CAF Spring 2015'!BC24</f>
        <v>2.0354406130268236E-2</v>
      </c>
      <c r="D82" s="380"/>
      <c r="E82" s="380"/>
      <c r="F82" s="414">
        <f>E81*(1+C82)</f>
        <v>217.77804614249746</v>
      </c>
      <c r="G82" s="661">
        <f>ROUND(G81*(1+C82),0)</f>
        <v>66241</v>
      </c>
      <c r="H82" s="756">
        <f>ROUNDUP(G82/B49,0)</f>
        <v>6625</v>
      </c>
    </row>
    <row r="83" spans="1:8" ht="13.5" thickBot="1" x14ac:dyDescent="0.25">
      <c r="A83" s="78" t="s">
        <v>54</v>
      </c>
      <c r="B83" s="79">
        <v>0.9</v>
      </c>
      <c r="C83" s="80"/>
      <c r="D83" s="86">
        <f>E76/(E49*B83)</f>
        <v>225.01911493804454</v>
      </c>
      <c r="E83" s="384">
        <f>D83*(1+C78)</f>
        <v>237.14858814860082</v>
      </c>
      <c r="F83" s="660">
        <f>$F$82/B83</f>
        <v>241.97560682499716</v>
      </c>
      <c r="G83" s="591"/>
      <c r="H83" s="755"/>
    </row>
    <row r="84" spans="1:8" x14ac:dyDescent="0.2">
      <c r="A84" s="81"/>
      <c r="B84" s="82">
        <v>0.85</v>
      </c>
      <c r="C84" s="83"/>
      <c r="D84" s="88">
        <f>E76/(E49*B84)</f>
        <v>238.25553346381187</v>
      </c>
      <c r="E84" s="89">
        <f>D84*(1+C78)</f>
        <v>251.09850509851853</v>
      </c>
      <c r="F84" s="381"/>
      <c r="G84" s="508"/>
      <c r="H84" s="755"/>
    </row>
    <row r="85" spans="1:8" x14ac:dyDescent="0.2">
      <c r="A85" s="84"/>
      <c r="B85" s="85">
        <v>0.8</v>
      </c>
      <c r="C85" s="34"/>
      <c r="D85" s="90">
        <f>E76/(E49*B85)</f>
        <v>253.14650430530011</v>
      </c>
      <c r="E85" s="91">
        <f>D85*(1+C78)</f>
        <v>266.79216166717595</v>
      </c>
      <c r="F85" s="382"/>
      <c r="G85" s="509"/>
      <c r="H85" s="755"/>
    </row>
    <row r="88" spans="1:8" x14ac:dyDescent="0.2">
      <c r="F88" s="1433" t="s">
        <v>460</v>
      </c>
      <c r="G88" s="1462" t="s">
        <v>458</v>
      </c>
      <c r="H88" s="1522" t="s">
        <v>668</v>
      </c>
    </row>
    <row r="89" spans="1:8" ht="13.15" customHeight="1" x14ac:dyDescent="0.2">
      <c r="F89" s="1433"/>
      <c r="G89" s="1462"/>
      <c r="H89" s="1522"/>
    </row>
    <row r="90" spans="1:8" ht="13.9" customHeight="1" thickBot="1" x14ac:dyDescent="0.25">
      <c r="A90" s="1474" t="s">
        <v>105</v>
      </c>
      <c r="B90" s="1474"/>
      <c r="C90" s="1474"/>
      <c r="D90" s="1474"/>
      <c r="E90" s="1474"/>
      <c r="F90" s="1469"/>
      <c r="G90" s="1463"/>
      <c r="H90" s="1522"/>
    </row>
    <row r="91" spans="1:8" x14ac:dyDescent="0.2">
      <c r="A91" s="25" t="s">
        <v>0</v>
      </c>
      <c r="B91" s="69">
        <f>M$28</f>
        <v>5</v>
      </c>
      <c r="C91" s="25"/>
      <c r="D91" s="25" t="s">
        <v>1</v>
      </c>
      <c r="E91" s="68">
        <f>B91*365</f>
        <v>1825</v>
      </c>
      <c r="F91" s="427"/>
      <c r="G91" s="407"/>
      <c r="H91" s="29"/>
    </row>
    <row r="92" spans="1:8" x14ac:dyDescent="0.2">
      <c r="F92" s="407"/>
      <c r="G92" s="407"/>
      <c r="H92" s="29"/>
    </row>
    <row r="93" spans="1:8" x14ac:dyDescent="0.2">
      <c r="A93" s="26"/>
      <c r="B93" s="26"/>
      <c r="C93" s="27" t="s">
        <v>2</v>
      </c>
      <c r="D93" s="27" t="s">
        <v>3</v>
      </c>
      <c r="E93" s="27" t="s">
        <v>4</v>
      </c>
      <c r="F93" s="407"/>
      <c r="G93" s="407"/>
      <c r="H93" s="29"/>
    </row>
    <row r="94" spans="1:8" x14ac:dyDescent="0.2">
      <c r="A94" s="1" t="s">
        <v>19</v>
      </c>
      <c r="C94" s="30">
        <f>L13</f>
        <v>56249</v>
      </c>
      <c r="D94" s="35">
        <f>M29</f>
        <v>1</v>
      </c>
      <c r="E94" s="28">
        <f>C94*D94</f>
        <v>56249</v>
      </c>
      <c r="F94" s="407"/>
      <c r="G94" s="407"/>
      <c r="H94" s="29"/>
    </row>
    <row r="95" spans="1:8" x14ac:dyDescent="0.2">
      <c r="A95" s="2" t="s">
        <v>227</v>
      </c>
      <c r="C95" s="30"/>
      <c r="D95" s="35"/>
      <c r="E95" s="28"/>
      <c r="F95" s="407"/>
      <c r="G95" s="407"/>
      <c r="H95" s="29"/>
    </row>
    <row r="96" spans="1:8" x14ac:dyDescent="0.2">
      <c r="A96" s="3" t="s">
        <v>26</v>
      </c>
      <c r="C96" s="282">
        <f>L16</f>
        <v>50000</v>
      </c>
      <c r="D96" s="35">
        <f>M32</f>
        <v>0.13</v>
      </c>
      <c r="E96" s="28">
        <f>C96*D96</f>
        <v>6500</v>
      </c>
      <c r="F96" s="407"/>
      <c r="G96" s="407"/>
      <c r="H96" s="29"/>
    </row>
    <row r="97" spans="1:8" x14ac:dyDescent="0.2">
      <c r="A97" s="2" t="s">
        <v>5</v>
      </c>
      <c r="C97" s="30"/>
      <c r="D97" s="35"/>
      <c r="E97" s="28"/>
      <c r="F97" s="407"/>
      <c r="G97" s="407"/>
      <c r="H97" s="29"/>
    </row>
    <row r="98" spans="1:8" x14ac:dyDescent="0.2">
      <c r="A98" s="3" t="s">
        <v>85</v>
      </c>
      <c r="C98" s="30">
        <f>L18</f>
        <v>24605</v>
      </c>
      <c r="D98" s="35">
        <f>M34</f>
        <v>0.5</v>
      </c>
      <c r="E98" s="28">
        <f>C98*D98</f>
        <v>12302.5</v>
      </c>
      <c r="F98" s="407"/>
      <c r="G98" s="407"/>
      <c r="H98" s="29"/>
    </row>
    <row r="99" spans="1:8" x14ac:dyDescent="0.2">
      <c r="A99" s="3" t="s">
        <v>60</v>
      </c>
      <c r="C99" s="30">
        <f>L20</f>
        <v>48791</v>
      </c>
      <c r="D99" s="35">
        <f>M36</f>
        <v>0.5</v>
      </c>
      <c r="E99" s="28">
        <f>C99*D99</f>
        <v>24395.5</v>
      </c>
      <c r="F99" s="407"/>
      <c r="G99" s="407"/>
      <c r="H99" s="29"/>
    </row>
    <row r="100" spans="1:8" x14ac:dyDescent="0.2">
      <c r="A100" s="3" t="s">
        <v>30</v>
      </c>
      <c r="C100" s="30">
        <f>L21</f>
        <v>30649</v>
      </c>
      <c r="D100" s="35">
        <f>M37</f>
        <v>3</v>
      </c>
      <c r="E100" s="28">
        <f>C100*D100</f>
        <v>91947</v>
      </c>
      <c r="F100" s="407"/>
      <c r="G100" s="407"/>
      <c r="H100" s="29"/>
    </row>
    <row r="101" spans="1:8" x14ac:dyDescent="0.2">
      <c r="A101" s="4" t="s">
        <v>31</v>
      </c>
      <c r="C101" s="30">
        <f>L22</f>
        <v>30649</v>
      </c>
      <c r="D101" s="283">
        <f>M38</f>
        <v>0.47307692307692306</v>
      </c>
      <c r="E101" s="28">
        <f>C101*D101</f>
        <v>14499.334615384614</v>
      </c>
      <c r="F101" s="407"/>
      <c r="G101" s="407"/>
      <c r="H101" s="29"/>
    </row>
    <row r="102" spans="1:8" x14ac:dyDescent="0.2">
      <c r="A102" s="2" t="s">
        <v>6</v>
      </c>
      <c r="C102" s="30"/>
      <c r="D102" s="35"/>
      <c r="E102" s="28"/>
      <c r="F102" s="407"/>
      <c r="G102" s="407"/>
      <c r="H102" s="29"/>
    </row>
    <row r="103" spans="1:8" x14ac:dyDescent="0.2">
      <c r="A103" s="3" t="s">
        <v>32</v>
      </c>
      <c r="C103" s="30">
        <f>L24</f>
        <v>30649</v>
      </c>
      <c r="D103" s="35">
        <f>M40</f>
        <v>0.13</v>
      </c>
      <c r="E103" s="28">
        <f>C103*D103</f>
        <v>3984.3700000000003</v>
      </c>
      <c r="F103" s="407"/>
      <c r="G103" s="407"/>
      <c r="H103" s="29"/>
    </row>
    <row r="104" spans="1:8" x14ac:dyDescent="0.2">
      <c r="A104" s="31" t="s">
        <v>7</v>
      </c>
      <c r="B104" s="31"/>
      <c r="C104" s="31"/>
      <c r="D104" s="32">
        <f>SUM(D94:D103)</f>
        <v>5.733076923076923</v>
      </c>
      <c r="E104" s="33">
        <f>SUM(E94:E103)</f>
        <v>209877.7046153846</v>
      </c>
      <c r="F104" s="407"/>
      <c r="G104" s="407"/>
      <c r="H104" s="29"/>
    </row>
    <row r="105" spans="1:8" x14ac:dyDescent="0.2">
      <c r="F105" s="407"/>
      <c r="G105" s="407"/>
      <c r="H105" s="29"/>
    </row>
    <row r="106" spans="1:8" x14ac:dyDescent="0.2">
      <c r="A106" s="25" t="s">
        <v>21</v>
      </c>
      <c r="D106" s="25" t="s">
        <v>20</v>
      </c>
      <c r="F106" s="407"/>
      <c r="G106" s="407"/>
      <c r="H106" s="29"/>
    </row>
    <row r="107" spans="1:8" x14ac:dyDescent="0.2">
      <c r="A107" s="23" t="s">
        <v>22</v>
      </c>
      <c r="C107" s="97">
        <f>$L$43</f>
        <v>0.23424901786252411</v>
      </c>
      <c r="E107" s="28">
        <f>C107*E104</f>
        <v>49163.646177394789</v>
      </c>
      <c r="F107" s="407"/>
      <c r="G107" s="407"/>
      <c r="H107" s="29"/>
    </row>
    <row r="108" spans="1:8" x14ac:dyDescent="0.2">
      <c r="A108" s="31" t="s">
        <v>51</v>
      </c>
      <c r="B108" s="31"/>
      <c r="C108" s="31"/>
      <c r="D108" s="70">
        <f>E108/E91</f>
        <v>141.94046618782431</v>
      </c>
      <c r="E108" s="33">
        <f>E107+E104</f>
        <v>259041.35079277938</v>
      </c>
      <c r="F108" s="407"/>
      <c r="G108" s="407"/>
      <c r="H108" s="29"/>
    </row>
    <row r="109" spans="1:8" x14ac:dyDescent="0.2">
      <c r="F109" s="407"/>
      <c r="G109" s="407"/>
      <c r="H109" s="29"/>
    </row>
    <row r="110" spans="1:8" x14ac:dyDescent="0.2">
      <c r="A110" s="23" t="s">
        <v>39</v>
      </c>
      <c r="D110" s="71">
        <f>$L$45</f>
        <v>27.74</v>
      </c>
      <c r="E110" s="105">
        <f>D110*E91</f>
        <v>50625.5</v>
      </c>
      <c r="F110" s="407"/>
      <c r="G110" s="407"/>
      <c r="H110" s="29"/>
    </row>
    <row r="111" spans="1:8" x14ac:dyDescent="0.2">
      <c r="A111" s="29" t="s">
        <v>40</v>
      </c>
      <c r="D111" s="71">
        <f>$L$46</f>
        <v>12.872</v>
      </c>
      <c r="E111" s="105">
        <f>D111*E91</f>
        <v>23491.4</v>
      </c>
      <c r="F111" s="407"/>
      <c r="G111" s="407"/>
      <c r="H111" s="29"/>
    </row>
    <row r="112" spans="1:8" x14ac:dyDescent="0.2">
      <c r="D112" s="72">
        <f>SUM(D110:D111)</f>
        <v>40.611999999999995</v>
      </c>
      <c r="F112" s="407"/>
      <c r="G112" s="407"/>
      <c r="H112" s="29"/>
    </row>
    <row r="113" spans="1:8" x14ac:dyDescent="0.2">
      <c r="F113" s="407"/>
      <c r="G113" s="407"/>
      <c r="H113" s="29"/>
    </row>
    <row r="114" spans="1:8" x14ac:dyDescent="0.2">
      <c r="A114" s="31" t="s">
        <v>43</v>
      </c>
      <c r="B114" s="31"/>
      <c r="C114" s="31"/>
      <c r="D114" s="31"/>
      <c r="E114" s="33">
        <f>SUM(E108:E111)</f>
        <v>333158.25079277938</v>
      </c>
      <c r="F114" s="407"/>
      <c r="G114" s="407"/>
      <c r="H114" s="29"/>
    </row>
    <row r="115" spans="1:8" x14ac:dyDescent="0.2">
      <c r="F115" s="407"/>
      <c r="G115" s="407"/>
      <c r="H115" s="29"/>
    </row>
    <row r="116" spans="1:8" x14ac:dyDescent="0.2">
      <c r="A116" s="23" t="s">
        <v>44</v>
      </c>
      <c r="C116" s="97">
        <f>$L$49</f>
        <v>0.11846733793705286</v>
      </c>
      <c r="E116" s="28">
        <f>C116*E114</f>
        <v>39468.371083185601</v>
      </c>
      <c r="F116" s="407"/>
      <c r="G116" s="407"/>
      <c r="H116" s="29"/>
    </row>
    <row r="117" spans="1:8" x14ac:dyDescent="0.2">
      <c r="F117" s="407"/>
      <c r="G117" s="407"/>
      <c r="H117" s="29"/>
    </row>
    <row r="118" spans="1:8" ht="13.5" thickBot="1" x14ac:dyDescent="0.25">
      <c r="A118" s="73" t="s">
        <v>52</v>
      </c>
      <c r="B118" s="74"/>
      <c r="C118" s="74"/>
      <c r="D118" s="74"/>
      <c r="E118" s="75">
        <f>SUM(E114:E116)</f>
        <v>372626.62187596498</v>
      </c>
      <c r="F118" s="407"/>
      <c r="G118" s="510">
        <f>E118</f>
        <v>372626.62187596498</v>
      </c>
      <c r="H118" s="751"/>
    </row>
    <row r="119" spans="1:8" ht="13.5" thickTop="1" x14ac:dyDescent="0.2">
      <c r="F119" s="407"/>
      <c r="G119" s="407"/>
      <c r="H119" s="29"/>
    </row>
    <row r="120" spans="1:8" x14ac:dyDescent="0.2">
      <c r="A120" s="23" t="s">
        <v>53</v>
      </c>
      <c r="C120" s="98">
        <f>$L$51</f>
        <v>5.3904190379097106E-2</v>
      </c>
      <c r="E120" s="77">
        <f>E118*(1+C120)</f>
        <v>392712.7582418868</v>
      </c>
      <c r="F120" s="407"/>
      <c r="G120" s="408">
        <f>G118*(1+C120)</f>
        <v>392712.7582418868</v>
      </c>
      <c r="H120" s="752"/>
    </row>
    <row r="121" spans="1:8" x14ac:dyDescent="0.2">
      <c r="F121" s="407"/>
      <c r="G121" s="407"/>
      <c r="H121" s="29"/>
    </row>
    <row r="122" spans="1:8" x14ac:dyDescent="0.2">
      <c r="E122" s="92" t="s">
        <v>56</v>
      </c>
      <c r="F122" s="407"/>
      <c r="G122" s="409" t="s">
        <v>56</v>
      </c>
      <c r="H122" s="753"/>
    </row>
    <row r="123" spans="1:8" ht="13.5" thickBot="1" x14ac:dyDescent="0.25">
      <c r="A123" s="23" t="s">
        <v>55</v>
      </c>
      <c r="D123" s="76">
        <f>E118/E91</f>
        <v>204.17897089093972</v>
      </c>
      <c r="E123" s="76">
        <f>D123*(1+C120)</f>
        <v>215.18507300925307</v>
      </c>
      <c r="F123" s="407"/>
      <c r="G123" s="408">
        <f>G120/12</f>
        <v>32726.0631868239</v>
      </c>
      <c r="H123" s="752"/>
    </row>
    <row r="124" spans="1:8" ht="13.5" thickBot="1" x14ac:dyDescent="0.25">
      <c r="A124" s="377" t="s">
        <v>455</v>
      </c>
      <c r="B124" s="378"/>
      <c r="C124" s="379">
        <f>'CAF Spring 2015'!BC24</f>
        <v>2.0354406130268236E-2</v>
      </c>
      <c r="D124" s="380"/>
      <c r="E124" s="380"/>
      <c r="F124" s="414">
        <f>E123*(1+C124)</f>
        <v>219.56503737845483</v>
      </c>
      <c r="G124" s="661">
        <f>ROUND(G123*(1+C124),0)</f>
        <v>33392</v>
      </c>
      <c r="H124" s="756">
        <f>ROUNDUP(G124/B91,0)</f>
        <v>6679</v>
      </c>
    </row>
    <row r="125" spans="1:8" ht="13.5" thickBot="1" x14ac:dyDescent="0.25">
      <c r="A125" s="78" t="s">
        <v>54</v>
      </c>
      <c r="B125" s="79">
        <v>0.9</v>
      </c>
      <c r="C125" s="80"/>
      <c r="D125" s="86">
        <f>E118/(E91*B125)</f>
        <v>226.86552321215524</v>
      </c>
      <c r="E125" s="384">
        <f>D125*(1+C120)</f>
        <v>239.09452556583673</v>
      </c>
      <c r="F125" s="660">
        <f>$F$124/B125</f>
        <v>243.9611526427276</v>
      </c>
      <c r="G125" s="591"/>
      <c r="H125" s="755"/>
    </row>
    <row r="126" spans="1:8" x14ac:dyDescent="0.2">
      <c r="A126" s="81"/>
      <c r="B126" s="82">
        <v>0.85</v>
      </c>
      <c r="C126" s="83"/>
      <c r="D126" s="88">
        <f>E118/(E91*B126)</f>
        <v>240.21055398934084</v>
      </c>
      <c r="E126" s="89">
        <f>D126*(1+C120)</f>
        <v>253.15890942265065</v>
      </c>
      <c r="F126" s="381"/>
      <c r="G126" s="508"/>
      <c r="H126" s="755"/>
    </row>
    <row r="127" spans="1:8" x14ac:dyDescent="0.2">
      <c r="A127" s="84"/>
      <c r="B127" s="85">
        <v>0.8</v>
      </c>
      <c r="C127" s="34"/>
      <c r="D127" s="90">
        <f>E118/(E91*B127)</f>
        <v>255.22371361367465</v>
      </c>
      <c r="E127" s="91">
        <f>D127*(1+C120)</f>
        <v>268.98134126156634</v>
      </c>
      <c r="F127" s="382"/>
      <c r="G127" s="509"/>
      <c r="H127" s="755"/>
    </row>
    <row r="130" spans="1:8" x14ac:dyDescent="0.2">
      <c r="F130" s="1433" t="s">
        <v>460</v>
      </c>
      <c r="G130" s="1462" t="s">
        <v>458</v>
      </c>
      <c r="H130" s="1522" t="s">
        <v>668</v>
      </c>
    </row>
    <row r="131" spans="1:8" ht="13.15" customHeight="1" x14ac:dyDescent="0.2">
      <c r="F131" s="1433"/>
      <c r="G131" s="1462"/>
      <c r="H131" s="1522"/>
    </row>
    <row r="132" spans="1:8" ht="15" customHeight="1" thickBot="1" x14ac:dyDescent="0.25">
      <c r="A132" s="1474" t="s">
        <v>106</v>
      </c>
      <c r="B132" s="1474"/>
      <c r="C132" s="1474"/>
      <c r="D132" s="1474"/>
      <c r="E132" s="1474"/>
      <c r="F132" s="1469"/>
      <c r="G132" s="1463"/>
      <c r="H132" s="1522"/>
    </row>
    <row r="133" spans="1:8" x14ac:dyDescent="0.2">
      <c r="A133" s="25" t="s">
        <v>0</v>
      </c>
      <c r="B133" s="69">
        <f>N$28</f>
        <v>4</v>
      </c>
      <c r="C133" s="25"/>
      <c r="D133" s="25" t="s">
        <v>1</v>
      </c>
      <c r="E133" s="68">
        <f>B133*365</f>
        <v>1460</v>
      </c>
      <c r="F133" s="427"/>
      <c r="G133" s="407"/>
      <c r="H133" s="29"/>
    </row>
    <row r="134" spans="1:8" x14ac:dyDescent="0.2">
      <c r="F134" s="407"/>
      <c r="G134" s="407"/>
      <c r="H134" s="29"/>
    </row>
    <row r="135" spans="1:8" x14ac:dyDescent="0.2">
      <c r="A135" s="26"/>
      <c r="B135" s="26"/>
      <c r="C135" s="27" t="s">
        <v>2</v>
      </c>
      <c r="D135" s="27" t="s">
        <v>3</v>
      </c>
      <c r="E135" s="27" t="s">
        <v>4</v>
      </c>
      <c r="F135" s="407"/>
      <c r="G135" s="407"/>
      <c r="H135" s="29"/>
    </row>
    <row r="136" spans="1:8" x14ac:dyDescent="0.2">
      <c r="A136" s="1" t="s">
        <v>19</v>
      </c>
      <c r="C136" s="30">
        <f>L13</f>
        <v>56249</v>
      </c>
      <c r="D136" s="35">
        <f>N29</f>
        <v>0.2</v>
      </c>
      <c r="E136" s="28">
        <f>C136*D136</f>
        <v>11249.800000000001</v>
      </c>
      <c r="F136" s="407"/>
      <c r="G136" s="407"/>
      <c r="H136" s="29"/>
    </row>
    <row r="137" spans="1:8" x14ac:dyDescent="0.2">
      <c r="A137" s="2" t="s">
        <v>5</v>
      </c>
      <c r="C137" s="30"/>
      <c r="D137" s="35"/>
      <c r="E137" s="28"/>
      <c r="F137" s="407"/>
      <c r="G137" s="407"/>
      <c r="H137" s="29"/>
    </row>
    <row r="138" spans="1:8" x14ac:dyDescent="0.2">
      <c r="A138" s="3" t="s">
        <v>60</v>
      </c>
      <c r="C138" s="30">
        <f>L20</f>
        <v>48791</v>
      </c>
      <c r="D138" s="35">
        <f>N36</f>
        <v>1</v>
      </c>
      <c r="E138" s="28">
        <f>C138*D138</f>
        <v>48791</v>
      </c>
      <c r="F138" s="407"/>
      <c r="G138" s="407"/>
      <c r="H138" s="29"/>
    </row>
    <row r="139" spans="1:8" x14ac:dyDescent="0.2">
      <c r="A139" s="31" t="s">
        <v>7</v>
      </c>
      <c r="B139" s="31"/>
      <c r="C139" s="31"/>
      <c r="D139" s="32">
        <f>SUM(D136:D138)</f>
        <v>1.2</v>
      </c>
      <c r="E139" s="33">
        <f>SUM(E136:E138)</f>
        <v>60040.800000000003</v>
      </c>
      <c r="F139" s="407"/>
      <c r="G139" s="407"/>
      <c r="H139" s="29"/>
    </row>
    <row r="140" spans="1:8" x14ac:dyDescent="0.2">
      <c r="F140" s="407"/>
      <c r="G140" s="407"/>
      <c r="H140" s="29"/>
    </row>
    <row r="141" spans="1:8" x14ac:dyDescent="0.2">
      <c r="A141" s="25" t="s">
        <v>21</v>
      </c>
      <c r="D141" s="25" t="s">
        <v>20</v>
      </c>
      <c r="F141" s="407"/>
      <c r="G141" s="407"/>
      <c r="H141" s="29"/>
    </row>
    <row r="142" spans="1:8" x14ac:dyDescent="0.2">
      <c r="A142" s="23" t="s">
        <v>22</v>
      </c>
      <c r="C142" s="97">
        <f>$L$43</f>
        <v>0.23424901786252411</v>
      </c>
      <c r="E142" s="28">
        <f>C142*E139</f>
        <v>14064.498431680238</v>
      </c>
      <c r="F142" s="407"/>
      <c r="G142" s="407"/>
      <c r="H142" s="29"/>
    </row>
    <row r="143" spans="1:8" x14ac:dyDescent="0.2">
      <c r="A143" s="31" t="s">
        <v>51</v>
      </c>
      <c r="B143" s="31"/>
      <c r="C143" s="31"/>
      <c r="D143" s="70">
        <f>E143/E133</f>
        <v>50.757053720328933</v>
      </c>
      <c r="E143" s="33">
        <f>E142+E139</f>
        <v>74105.298431680247</v>
      </c>
      <c r="F143" s="407"/>
      <c r="G143" s="407"/>
      <c r="H143" s="29"/>
    </row>
    <row r="144" spans="1:8" x14ac:dyDescent="0.2">
      <c r="F144" s="407"/>
      <c r="G144" s="407"/>
      <c r="H144" s="29"/>
    </row>
    <row r="145" spans="1:8" x14ac:dyDescent="0.2">
      <c r="A145" s="23" t="s">
        <v>39</v>
      </c>
      <c r="D145" s="71">
        <f>$L$45</f>
        <v>27.74</v>
      </c>
      <c r="E145" s="105">
        <f>D145*E133</f>
        <v>40500.399999999994</v>
      </c>
      <c r="F145" s="407"/>
      <c r="G145" s="407"/>
      <c r="H145" s="29"/>
    </row>
    <row r="146" spans="1:8" x14ac:dyDescent="0.2">
      <c r="A146" s="29" t="s">
        <v>40</v>
      </c>
      <c r="D146" s="71">
        <f>$L$46</f>
        <v>12.872</v>
      </c>
      <c r="E146" s="105">
        <f>D146*E133</f>
        <v>18793.12</v>
      </c>
      <c r="F146" s="407"/>
      <c r="G146" s="407"/>
      <c r="H146" s="29"/>
    </row>
    <row r="147" spans="1:8" x14ac:dyDescent="0.2">
      <c r="D147" s="72">
        <f>SUM(D145:D146)</f>
        <v>40.611999999999995</v>
      </c>
      <c r="F147" s="407"/>
      <c r="G147" s="407"/>
      <c r="H147" s="29"/>
    </row>
    <row r="148" spans="1:8" x14ac:dyDescent="0.2">
      <c r="F148" s="407"/>
      <c r="G148" s="407"/>
      <c r="H148" s="29"/>
    </row>
    <row r="149" spans="1:8" x14ac:dyDescent="0.2">
      <c r="A149" s="31" t="s">
        <v>43</v>
      </c>
      <c r="B149" s="31"/>
      <c r="C149" s="31"/>
      <c r="D149" s="31"/>
      <c r="E149" s="33">
        <f>SUM(E143:E146)</f>
        <v>133398.81843168024</v>
      </c>
      <c r="F149" s="407"/>
      <c r="G149" s="407"/>
      <c r="H149" s="29"/>
    </row>
    <row r="150" spans="1:8" x14ac:dyDescent="0.2">
      <c r="F150" s="407"/>
      <c r="G150" s="407"/>
      <c r="H150" s="29"/>
    </row>
    <row r="151" spans="1:8" x14ac:dyDescent="0.2">
      <c r="A151" s="23" t="s">
        <v>44</v>
      </c>
      <c r="C151" s="97">
        <f>$L$49</f>
        <v>0.11846733793705286</v>
      </c>
      <c r="E151" s="28">
        <f>C151*E149</f>
        <v>15803.402903549419</v>
      </c>
      <c r="F151" s="407"/>
      <c r="G151" s="407"/>
      <c r="H151" s="29"/>
    </row>
    <row r="152" spans="1:8" x14ac:dyDescent="0.2">
      <c r="F152" s="407"/>
      <c r="G152" s="407"/>
      <c r="H152" s="29"/>
    </row>
    <row r="153" spans="1:8" ht="13.5" thickBot="1" x14ac:dyDescent="0.25">
      <c r="A153" s="73" t="s">
        <v>52</v>
      </c>
      <c r="B153" s="74"/>
      <c r="C153" s="74"/>
      <c r="D153" s="74"/>
      <c r="E153" s="75">
        <f>SUM(E149:E151)</f>
        <v>149202.22133522967</v>
      </c>
      <c r="F153" s="407"/>
      <c r="G153" s="510">
        <f>E153</f>
        <v>149202.22133522967</v>
      </c>
      <c r="H153" s="751"/>
    </row>
    <row r="154" spans="1:8" ht="13.5" thickTop="1" x14ac:dyDescent="0.2">
      <c r="F154" s="407"/>
      <c r="G154" s="407"/>
      <c r="H154" s="29"/>
    </row>
    <row r="155" spans="1:8" x14ac:dyDescent="0.2">
      <c r="A155" s="23" t="s">
        <v>53</v>
      </c>
      <c r="C155" s="98">
        <f>$L$51</f>
        <v>5.3904190379097106E-2</v>
      </c>
      <c r="E155" s="77">
        <f>E153*(1+C155)</f>
        <v>157244.84627906806</v>
      </c>
      <c r="F155" s="407"/>
      <c r="G155" s="511">
        <f>G153*(1+C155)</f>
        <v>157244.84627906806</v>
      </c>
      <c r="H155" s="754"/>
    </row>
    <row r="156" spans="1:8" x14ac:dyDescent="0.2">
      <c r="F156" s="407"/>
      <c r="G156" s="407"/>
      <c r="H156" s="29"/>
    </row>
    <row r="157" spans="1:8" x14ac:dyDescent="0.2">
      <c r="E157" s="92" t="s">
        <v>56</v>
      </c>
      <c r="F157" s="407"/>
      <c r="G157" s="409" t="s">
        <v>56</v>
      </c>
      <c r="H157" s="753"/>
    </row>
    <row r="158" spans="1:8" ht="13.5" thickBot="1" x14ac:dyDescent="0.25">
      <c r="A158" s="23" t="s">
        <v>55</v>
      </c>
      <c r="D158" s="76">
        <f>E153/E133</f>
        <v>102.19330228440388</v>
      </c>
      <c r="E158" s="76">
        <f>D158*(1+C155)</f>
        <v>107.70194950621101</v>
      </c>
      <c r="F158" s="407"/>
      <c r="G158" s="408">
        <f>G155/12</f>
        <v>13103.737189922338</v>
      </c>
      <c r="H158" s="752"/>
    </row>
    <row r="159" spans="1:8" ht="13.5" thickBot="1" x14ac:dyDescent="0.25">
      <c r="A159" s="377" t="s">
        <v>455</v>
      </c>
      <c r="B159" s="378"/>
      <c r="C159" s="379">
        <f>'CAF Spring 2015'!BC24</f>
        <v>2.0354406130268236E-2</v>
      </c>
      <c r="D159" s="380"/>
      <c r="E159" s="380"/>
      <c r="F159" s="414">
        <f>E158*(1+C159)</f>
        <v>109.89415872748208</v>
      </c>
      <c r="G159" s="661">
        <f>ROUND(G158*(1+C159),0)</f>
        <v>13370</v>
      </c>
      <c r="H159" s="756">
        <f>ROUNDUP(G159/B133,0)</f>
        <v>3343</v>
      </c>
    </row>
    <row r="160" spans="1:8" ht="13.5" thickBot="1" x14ac:dyDescent="0.25">
      <c r="A160" s="78" t="s">
        <v>54</v>
      </c>
      <c r="B160" s="79">
        <v>0.9</v>
      </c>
      <c r="C160" s="80"/>
      <c r="D160" s="86">
        <f>E153/(E133*B160)</f>
        <v>113.54811364933765</v>
      </c>
      <c r="E160" s="384">
        <f>D160*(1+C155)</f>
        <v>119.6688327846789</v>
      </c>
      <c r="F160" s="660">
        <f>$F$159/B160</f>
        <v>122.10462080831341</v>
      </c>
      <c r="G160" s="591"/>
      <c r="H160" s="755"/>
    </row>
    <row r="161" spans="1:8" x14ac:dyDescent="0.2">
      <c r="A161" s="81"/>
      <c r="B161" s="82">
        <v>0.85</v>
      </c>
      <c r="C161" s="83"/>
      <c r="D161" s="88">
        <f>E153/(E133*B161)</f>
        <v>120.22741445223986</v>
      </c>
      <c r="E161" s="89">
        <f>D161*(1+C155)</f>
        <v>126.70817588966</v>
      </c>
      <c r="F161" s="381"/>
      <c r="G161" s="508"/>
      <c r="H161" s="755"/>
    </row>
    <row r="162" spans="1:8" x14ac:dyDescent="0.2">
      <c r="A162" s="84"/>
      <c r="B162" s="85">
        <v>0.8</v>
      </c>
      <c r="C162" s="34"/>
      <c r="D162" s="90">
        <f>E153/(E133*B162)</f>
        <v>127.74162785550486</v>
      </c>
      <c r="E162" s="91">
        <f>D162*(1+C155)</f>
        <v>134.62743688276376</v>
      </c>
      <c r="F162" s="382"/>
      <c r="G162" s="509"/>
      <c r="H162" s="755"/>
    </row>
  </sheetData>
  <customSheetViews>
    <customSheetView guid="{C4FB04C2-CA74-4980-BD95-4B9444F5E469}" scale="110" showRuler="0">
      <selection activeCell="E15" sqref="E15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 topLeftCell="A16">
      <pageMargins left="0.7" right="0.7" top="0.75" bottom="0.75" header="0.3" footer="0.3"/>
      <pageSetup orientation="portrait" verticalDpi="0" r:id="rId4"/>
    </customSheetView>
  </customSheetViews>
  <mergeCells count="16">
    <mergeCell ref="J1:M1"/>
    <mergeCell ref="K3:L3"/>
    <mergeCell ref="A7:E7"/>
    <mergeCell ref="A48:E48"/>
    <mergeCell ref="F6:F7"/>
    <mergeCell ref="F47:F48"/>
    <mergeCell ref="G47:G48"/>
    <mergeCell ref="H47:H48"/>
    <mergeCell ref="H88:H90"/>
    <mergeCell ref="F130:F132"/>
    <mergeCell ref="H130:H132"/>
    <mergeCell ref="G130:G132"/>
    <mergeCell ref="A90:E90"/>
    <mergeCell ref="A132:E132"/>
    <mergeCell ref="G88:G90"/>
    <mergeCell ref="F88:F90"/>
  </mergeCells>
  <phoneticPr fontId="29" type="noConversion"/>
  <pageMargins left="0.7" right="0.7" top="0.75" bottom="0.75" header="0.3" footer="0.3"/>
  <pageSetup scale="79" fitToHeight="0" orientation="portrait" r:id="rId5"/>
  <headerFooter>
    <oddFooter>&amp;R2016-04-12
&amp;A
Caring Together rate review</oddFooter>
  </headerFooter>
  <rowBreaks count="3" manualBreakCount="3">
    <brk id="46" max="16383" man="1"/>
    <brk id="88" max="16383" man="1"/>
    <brk id="130" max="16383" man="1"/>
  </rowBreaks>
  <legacyDrawing r:id="rId6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9"/>
  <sheetViews>
    <sheetView zoomScale="80" zoomScaleNormal="80" workbookViewId="0">
      <selection activeCell="F93" sqref="F93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bestFit="1" customWidth="1"/>
    <col min="6" max="6" width="13.140625" style="420" customWidth="1"/>
    <col min="7" max="7" width="9.140625" style="23"/>
    <col min="8" max="8" width="31.85546875" style="23" bestFit="1" customWidth="1"/>
    <col min="9" max="9" width="13.140625" style="23" customWidth="1"/>
    <col min="10" max="10" width="13.42578125" style="23" customWidth="1"/>
    <col min="11" max="11" width="10.7109375" style="23" customWidth="1"/>
    <col min="12" max="12" width="11" style="23" customWidth="1"/>
    <col min="13" max="13" width="10.28515625" style="23" customWidth="1"/>
    <col min="14" max="14" width="2.7109375" style="23" customWidth="1"/>
    <col min="15" max="15" width="13.140625" style="23" customWidth="1"/>
    <col min="16" max="16" width="4.7109375" style="23" customWidth="1"/>
    <col min="17" max="17" width="14.85546875" style="23" customWidth="1"/>
    <col min="18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H4" s="7"/>
      <c r="I4" s="8" t="s">
        <v>11</v>
      </c>
      <c r="J4" s="9" t="s">
        <v>12</v>
      </c>
      <c r="K4" s="10"/>
      <c r="L4" s="24"/>
      <c r="M4" s="24"/>
    </row>
    <row r="5" spans="1:13" ht="13.9" thickBot="1" x14ac:dyDescent="0.3">
      <c r="A5" s="1525" t="s">
        <v>786</v>
      </c>
      <c r="B5" s="1526"/>
      <c r="C5" s="1526"/>
      <c r="D5" s="1526"/>
      <c r="E5" s="1526"/>
      <c r="F5" s="1526"/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ht="12.75" customHeight="1" x14ac:dyDescent="0.2">
      <c r="A6" s="36"/>
      <c r="B6" s="37"/>
      <c r="C6" s="37"/>
      <c r="D6" s="37"/>
      <c r="E6" s="37"/>
      <c r="F6" s="1476" t="s">
        <v>789</v>
      </c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473" t="s">
        <v>119</v>
      </c>
      <c r="B7" s="1474"/>
      <c r="C7" s="1474"/>
      <c r="D7" s="1474"/>
      <c r="E7" s="1474"/>
      <c r="F7" s="1477"/>
      <c r="H7" s="11" t="s">
        <v>15</v>
      </c>
      <c r="I7" s="12">
        <v>11</v>
      </c>
      <c r="J7" s="13">
        <f>I7*8</f>
        <v>88</v>
      </c>
      <c r="K7" s="10"/>
      <c r="L7" s="472"/>
      <c r="M7" s="24"/>
    </row>
    <row r="8" spans="1:13" ht="13.15" x14ac:dyDescent="0.25">
      <c r="A8" s="50" t="s">
        <v>205</v>
      </c>
      <c r="B8" s="566">
        <f>I$30</f>
        <v>30</v>
      </c>
      <c r="C8" s="120"/>
      <c r="D8" s="120" t="s">
        <v>206</v>
      </c>
      <c r="E8" s="1027">
        <f>B8*365</f>
        <v>10950</v>
      </c>
      <c r="F8" s="1123"/>
      <c r="H8" s="14" t="s">
        <v>16</v>
      </c>
      <c r="I8" s="15">
        <v>7</v>
      </c>
      <c r="J8" s="16">
        <f>I8*8</f>
        <v>56</v>
      </c>
      <c r="K8" s="17"/>
      <c r="L8" s="472"/>
      <c r="M8" s="24"/>
    </row>
    <row r="9" spans="1:13" ht="13.15" x14ac:dyDescent="0.25">
      <c r="A9" s="43"/>
      <c r="B9" s="29"/>
      <c r="C9" s="29"/>
      <c r="D9" s="29"/>
      <c r="E9" s="29"/>
      <c r="F9" s="1124"/>
      <c r="H9" s="11"/>
      <c r="I9" s="18" t="s">
        <v>17</v>
      </c>
      <c r="J9" s="13">
        <f>SUM(J5:J8)</f>
        <v>328</v>
      </c>
      <c r="K9" s="19"/>
      <c r="L9" s="472"/>
      <c r="M9" s="24"/>
    </row>
    <row r="10" spans="1:13" ht="13.9" thickBot="1" x14ac:dyDescent="0.3">
      <c r="A10" s="1060"/>
      <c r="B10" s="26"/>
      <c r="C10" s="27" t="s">
        <v>2</v>
      </c>
      <c r="D10" s="27" t="s">
        <v>3</v>
      </c>
      <c r="E10" s="27" t="s">
        <v>4</v>
      </c>
      <c r="F10" s="1124"/>
      <c r="H10" s="20"/>
      <c r="I10" s="21" t="s">
        <v>18</v>
      </c>
      <c r="J10" s="22">
        <f>J9/(52*40)</f>
        <v>0.15769230769230769</v>
      </c>
      <c r="K10" s="56">
        <v>7.4999999999999997E-2</v>
      </c>
      <c r="L10" s="281"/>
    </row>
    <row r="11" spans="1:13" ht="13.9" thickBot="1" x14ac:dyDescent="0.3">
      <c r="A11" s="1062" t="s">
        <v>19</v>
      </c>
      <c r="B11" s="29"/>
      <c r="C11" s="40">
        <f>I14</f>
        <v>56248.773985799999</v>
      </c>
      <c r="D11" s="46">
        <f>I31</f>
        <v>2</v>
      </c>
      <c r="E11" s="1028">
        <f>C11*D11</f>
        <v>112497.5479716</v>
      </c>
      <c r="F11" s="1124"/>
      <c r="I11" s="281"/>
      <c r="J11" s="281"/>
      <c r="K11" s="281"/>
      <c r="L11" s="281"/>
    </row>
    <row r="12" spans="1:13" ht="13.15" x14ac:dyDescent="0.25">
      <c r="A12" s="7" t="s">
        <v>227</v>
      </c>
      <c r="B12" s="29"/>
      <c r="C12" s="40"/>
      <c r="D12" s="46"/>
      <c r="E12" s="1028"/>
      <c r="F12" s="1124"/>
      <c r="H12" s="36"/>
      <c r="I12" s="437"/>
      <c r="J12" s="438" t="s">
        <v>75</v>
      </c>
      <c r="K12" s="438"/>
      <c r="L12" s="473"/>
    </row>
    <row r="13" spans="1:13" ht="13.15" x14ac:dyDescent="0.25">
      <c r="A13" s="11" t="s">
        <v>23</v>
      </c>
      <c r="B13" s="29"/>
      <c r="C13" s="280">
        <f>I16</f>
        <v>215212.18614588003</v>
      </c>
      <c r="D13" s="46">
        <f>I33</f>
        <v>0.1</v>
      </c>
      <c r="E13" s="1028">
        <f>C13*D13</f>
        <v>21521.218614588004</v>
      </c>
      <c r="F13" s="1124"/>
      <c r="H13" s="43"/>
      <c r="I13" s="391" t="s">
        <v>111</v>
      </c>
      <c r="J13" s="449"/>
      <c r="K13" s="335" t="s">
        <v>112</v>
      </c>
      <c r="L13" s="455"/>
    </row>
    <row r="14" spans="1:13" ht="28.9" customHeight="1" x14ac:dyDescent="0.25">
      <c r="A14" s="11" t="s">
        <v>25</v>
      </c>
      <c r="B14" s="29"/>
      <c r="C14" s="280">
        <f>I18</f>
        <v>66379.037840999998</v>
      </c>
      <c r="D14" s="46">
        <f>I35</f>
        <v>0.5</v>
      </c>
      <c r="E14" s="1028">
        <f>C14*D14</f>
        <v>33189.518920499999</v>
      </c>
      <c r="F14" s="1124"/>
      <c r="H14" s="7" t="s">
        <v>19</v>
      </c>
      <c r="I14" s="280">
        <f>52305*(5.39%+1)*(2.04%+1)</f>
        <v>56248.773985799999</v>
      </c>
      <c r="J14" s="281"/>
      <c r="K14" s="280">
        <f>'Group Home'!Q13*(5.39%+1)*(2.04%+1)</f>
        <v>56249.210868003516</v>
      </c>
      <c r="L14" s="441"/>
    </row>
    <row r="15" spans="1:13" ht="13.15" x14ac:dyDescent="0.25">
      <c r="A15" s="11" t="s">
        <v>26</v>
      </c>
      <c r="B15" s="29"/>
      <c r="C15" s="280">
        <f>I19</f>
        <v>53769.977999999996</v>
      </c>
      <c r="D15" s="46">
        <f>I36</f>
        <v>1</v>
      </c>
      <c r="E15" s="1028">
        <f>C15*D15</f>
        <v>53769.977999999996</v>
      </c>
      <c r="F15" s="1124"/>
      <c r="H15" s="7" t="s">
        <v>227</v>
      </c>
      <c r="I15" s="280"/>
      <c r="J15" s="281"/>
      <c r="K15" s="280"/>
      <c r="L15" s="441"/>
    </row>
    <row r="16" spans="1:13" ht="13.15" x14ac:dyDescent="0.25">
      <c r="A16" s="7" t="s">
        <v>5</v>
      </c>
      <c r="B16" s="29"/>
      <c r="C16" s="280"/>
      <c r="D16" s="46"/>
      <c r="E16" s="1028"/>
      <c r="F16" s="1124"/>
      <c r="H16" s="11" t="s">
        <v>23</v>
      </c>
      <c r="I16" s="280">
        <f>200123*(5.39%+1)*(2.04%+1)</f>
        <v>215212.18614588003</v>
      </c>
      <c r="J16" s="281"/>
      <c r="K16" s="280">
        <f>IRTP!X15*(5.39%+1)*(2.04%+1)</f>
        <v>215211.77749404719</v>
      </c>
      <c r="L16" s="442" t="s">
        <v>84</v>
      </c>
    </row>
    <row r="17" spans="1:13" ht="13.15" x14ac:dyDescent="0.25">
      <c r="A17" s="11" t="s">
        <v>85</v>
      </c>
      <c r="B17" s="29"/>
      <c r="C17" s="280">
        <f>I21</f>
        <v>24605.141932800001</v>
      </c>
      <c r="D17" s="46">
        <f>I38</f>
        <v>1</v>
      </c>
      <c r="E17" s="1028">
        <f>C17*D17</f>
        <v>24605.141932800001</v>
      </c>
      <c r="F17" s="1124"/>
      <c r="H17" s="11" t="s">
        <v>24</v>
      </c>
      <c r="I17" s="280"/>
      <c r="J17" s="281"/>
      <c r="K17" s="280">
        <v>69547</v>
      </c>
      <c r="L17" s="442" t="s">
        <v>69</v>
      </c>
    </row>
    <row r="18" spans="1:13" ht="13.15" x14ac:dyDescent="0.25">
      <c r="A18" s="11" t="s">
        <v>59</v>
      </c>
      <c r="B18" s="29"/>
      <c r="C18" s="280">
        <f>I22</f>
        <v>47586.430530000005</v>
      </c>
      <c r="D18" s="46">
        <f>I39</f>
        <v>4</v>
      </c>
      <c r="E18" s="1028">
        <f>C18*D18</f>
        <v>190345.72212000002</v>
      </c>
      <c r="F18" s="1124"/>
      <c r="H18" s="11" t="s">
        <v>25</v>
      </c>
      <c r="I18" s="280">
        <f>61725*(5.39%+1)*(2.04%+1)</f>
        <v>66379.037840999998</v>
      </c>
      <c r="J18" s="281"/>
      <c r="K18" s="280">
        <f>IRTP!X18*(5.39%+1)*(2.04%+1)</f>
        <v>66379.037840999998</v>
      </c>
      <c r="L18" s="442" t="s">
        <v>82</v>
      </c>
    </row>
    <row r="19" spans="1:13" ht="13.15" x14ac:dyDescent="0.25">
      <c r="A19" s="11" t="s">
        <v>30</v>
      </c>
      <c r="B19" s="29"/>
      <c r="C19" s="40">
        <f>I23</f>
        <v>37638.984599999996</v>
      </c>
      <c r="D19" s="46">
        <f>I40</f>
        <v>6.5</v>
      </c>
      <c r="E19" s="1028">
        <f>C19*D19</f>
        <v>244653.39989999996</v>
      </c>
      <c r="F19" s="1124"/>
      <c r="H19" s="11" t="s">
        <v>26</v>
      </c>
      <c r="I19" s="280">
        <f>50000*(5.39%+1)*(2.04%+1)</f>
        <v>53769.977999999996</v>
      </c>
      <c r="J19" s="281"/>
      <c r="K19" s="280">
        <f>'Group Home'!Q18*(5.39%+1)*(2.04%+1)</f>
        <v>53769.977999999996</v>
      </c>
      <c r="L19" s="442"/>
    </row>
    <row r="20" spans="1:13" ht="13.15" x14ac:dyDescent="0.25">
      <c r="A20" s="42" t="s">
        <v>31</v>
      </c>
      <c r="B20" s="29"/>
      <c r="C20" s="40">
        <f>I24</f>
        <v>37638.984599999996</v>
      </c>
      <c r="D20" s="46">
        <f>I41</f>
        <v>0.48749999999999999</v>
      </c>
      <c r="E20" s="1028">
        <f>C20*D20</f>
        <v>18349.004992499998</v>
      </c>
      <c r="F20" s="1124"/>
      <c r="H20" s="7" t="s">
        <v>5</v>
      </c>
      <c r="I20" s="280"/>
      <c r="J20" s="281"/>
      <c r="K20" s="280"/>
      <c r="L20" s="442"/>
    </row>
    <row r="21" spans="1:13" ht="13.15" x14ac:dyDescent="0.25">
      <c r="A21" s="7" t="s">
        <v>6</v>
      </c>
      <c r="B21" s="29"/>
      <c r="C21" s="40"/>
      <c r="D21" s="46"/>
      <c r="E21" s="1028"/>
      <c r="F21" s="1124"/>
      <c r="H21" s="11" t="s">
        <v>85</v>
      </c>
      <c r="I21" s="40">
        <f>(11*2080)*(5.39%+1)*(2.04%+1)</f>
        <v>24605.141932800001</v>
      </c>
      <c r="K21" s="40"/>
      <c r="L21" s="118"/>
    </row>
    <row r="22" spans="1:13" ht="13.15" x14ac:dyDescent="0.25">
      <c r="A22" s="11" t="s">
        <v>91</v>
      </c>
      <c r="B22" s="29"/>
      <c r="C22" s="40">
        <f>I26</f>
        <v>37599.194816280004</v>
      </c>
      <c r="D22" s="46">
        <f>I43</f>
        <v>0.5</v>
      </c>
      <c r="E22" s="1028">
        <f>C22*D22</f>
        <v>18799.597408140002</v>
      </c>
      <c r="F22" s="1124"/>
      <c r="H22" s="11" t="s">
        <v>59</v>
      </c>
      <c r="I22" s="280">
        <f>44250*(5.39%+1)*(2.04%+1)</f>
        <v>47586.430530000005</v>
      </c>
      <c r="J22" s="281"/>
      <c r="K22" s="280">
        <f>I22</f>
        <v>47586.430530000005</v>
      </c>
      <c r="L22" s="118"/>
    </row>
    <row r="23" spans="1:13" ht="13.15" x14ac:dyDescent="0.25">
      <c r="A23" s="1065" t="s">
        <v>7</v>
      </c>
      <c r="B23" s="31"/>
      <c r="C23" s="31"/>
      <c r="D23" s="32">
        <f>SUM(D11:D22)</f>
        <v>16.087499999999999</v>
      </c>
      <c r="E23" s="33">
        <f>SUM(E11:E22)</f>
        <v>717731.12986012793</v>
      </c>
      <c r="F23" s="1124"/>
      <c r="H23" s="11" t="s">
        <v>30</v>
      </c>
      <c r="I23" s="40">
        <f>35000*(5.39%+1)*(2.04%+1)</f>
        <v>37638.984599999996</v>
      </c>
      <c r="K23" s="40">
        <f>'Group Home'!Q23*(5.39%+1)*(2.04%+1)</f>
        <v>30648.887460000002</v>
      </c>
      <c r="L23" s="118" t="s">
        <v>86</v>
      </c>
    </row>
    <row r="24" spans="1:13" ht="13.15" x14ac:dyDescent="0.25">
      <c r="A24" s="43"/>
      <c r="B24" s="29"/>
      <c r="C24" s="29"/>
      <c r="D24" s="29"/>
      <c r="E24" s="29"/>
      <c r="F24" s="1124"/>
      <c r="H24" s="42" t="s">
        <v>31</v>
      </c>
      <c r="I24" s="40">
        <f>I23</f>
        <v>37638.984599999996</v>
      </c>
      <c r="K24" s="40">
        <f>'Group Home'!Q24*(5.39%+1)*(2.04%+1)</f>
        <v>30648.887460000002</v>
      </c>
      <c r="L24" s="118"/>
    </row>
    <row r="25" spans="1:13" ht="13.15" x14ac:dyDescent="0.25">
      <c r="A25" s="50" t="s">
        <v>21</v>
      </c>
      <c r="B25" s="29"/>
      <c r="C25" s="29"/>
      <c r="D25" s="120" t="s">
        <v>20</v>
      </c>
      <c r="E25" s="29"/>
      <c r="F25" s="1124"/>
      <c r="H25" s="7" t="s">
        <v>6</v>
      </c>
      <c r="I25" s="40"/>
      <c r="K25" s="40"/>
      <c r="L25" s="118"/>
    </row>
    <row r="26" spans="1:13" ht="13.15" x14ac:dyDescent="0.25">
      <c r="A26" s="43" t="s">
        <v>22</v>
      </c>
      <c r="B26" s="29"/>
      <c r="C26" s="573">
        <f>$J$46</f>
        <v>0.23424901786252411</v>
      </c>
      <c r="D26" s="29"/>
      <c r="E26" s="1028">
        <f>C26*E23</f>
        <v>168127.81225909473</v>
      </c>
      <c r="F26" s="1124"/>
      <c r="H26" s="11" t="s">
        <v>32</v>
      </c>
      <c r="I26" s="40">
        <f>34963*(5.39%+1)*(2.04%+1)</f>
        <v>37599.194816280004</v>
      </c>
      <c r="K26" s="40">
        <f>'Group Home'!Q26*(5.39%+1)*(2.04%+1)</f>
        <v>30648.887460000002</v>
      </c>
      <c r="L26" s="118" t="s">
        <v>70</v>
      </c>
    </row>
    <row r="27" spans="1:13" ht="13.15" x14ac:dyDescent="0.25">
      <c r="A27" s="1065" t="s">
        <v>51</v>
      </c>
      <c r="B27" s="31"/>
      <c r="C27" s="31"/>
      <c r="D27" s="70">
        <f>E27/E8</f>
        <v>80.900360010887908</v>
      </c>
      <c r="E27" s="33">
        <f>E26+E23</f>
        <v>885858.9421192226</v>
      </c>
      <c r="F27" s="1125"/>
      <c r="H27" s="11"/>
      <c r="I27" s="29"/>
      <c r="J27" s="40"/>
      <c r="K27" s="40"/>
      <c r="L27" s="41"/>
    </row>
    <row r="28" spans="1:13" ht="13.15" x14ac:dyDescent="0.25">
      <c r="A28" s="43"/>
      <c r="B28" s="29"/>
      <c r="C28" s="29"/>
      <c r="D28" s="29"/>
      <c r="E28" s="29"/>
      <c r="F28" s="1124"/>
      <c r="H28" s="43"/>
      <c r="I28" s="29"/>
      <c r="J28" s="44" t="s">
        <v>37</v>
      </c>
      <c r="K28" s="44"/>
      <c r="L28" s="41"/>
      <c r="M28" s="174"/>
    </row>
    <row r="29" spans="1:13" ht="13.15" x14ac:dyDescent="0.25">
      <c r="A29" s="43" t="s">
        <v>107</v>
      </c>
      <c r="B29" s="29"/>
      <c r="C29" s="40">
        <f>J48</f>
        <v>1000</v>
      </c>
      <c r="D29" s="29"/>
      <c r="E29" s="1028">
        <f>C29*B8</f>
        <v>30000</v>
      </c>
      <c r="F29" s="1125"/>
      <c r="H29" s="43" t="s">
        <v>35</v>
      </c>
      <c r="I29" s="65" t="s">
        <v>108</v>
      </c>
      <c r="J29" s="65"/>
      <c r="K29" s="65" t="s">
        <v>109</v>
      </c>
      <c r="L29" s="66" t="s">
        <v>110</v>
      </c>
    </row>
    <row r="30" spans="1:13" ht="13.15" x14ac:dyDescent="0.25">
      <c r="A30" s="43"/>
      <c r="B30" s="29"/>
      <c r="C30" s="29"/>
      <c r="D30" s="29"/>
      <c r="E30" s="29"/>
      <c r="F30" s="1124"/>
      <c r="H30" s="43" t="s">
        <v>36</v>
      </c>
      <c r="I30" s="57">
        <f>'[13]Rate Options'!$I$31</f>
        <v>30</v>
      </c>
      <c r="J30" s="57"/>
      <c r="K30" s="57">
        <v>12</v>
      </c>
      <c r="L30" s="67">
        <v>12</v>
      </c>
    </row>
    <row r="31" spans="1:13" ht="13.15" x14ac:dyDescent="0.25">
      <c r="A31" s="43" t="s">
        <v>39</v>
      </c>
      <c r="B31" s="29"/>
      <c r="C31" s="29"/>
      <c r="D31" s="61">
        <f>$I$50</f>
        <v>4.194</v>
      </c>
      <c r="E31" s="752">
        <f>D31*E8</f>
        <v>45924.3</v>
      </c>
      <c r="F31" s="1125"/>
      <c r="H31" s="7" t="s">
        <v>19</v>
      </c>
      <c r="I31" s="123">
        <f>'[13]Rate Options'!I32</f>
        <v>2</v>
      </c>
      <c r="J31" s="112"/>
      <c r="K31" s="123">
        <f>'[13]Rate Options'!K32</f>
        <v>1.75</v>
      </c>
      <c r="L31" s="113">
        <f>'[13]Rate Options'!L32</f>
        <v>1.75</v>
      </c>
    </row>
    <row r="32" spans="1:13" ht="13.15" x14ac:dyDescent="0.25">
      <c r="A32" s="43" t="s">
        <v>40</v>
      </c>
      <c r="B32" s="29"/>
      <c r="C32" s="29"/>
      <c r="D32" s="61">
        <f>$I$51</f>
        <v>5.0113619496000004</v>
      </c>
      <c r="E32" s="752">
        <f>D32*E8</f>
        <v>54874.413348120004</v>
      </c>
      <c r="F32" s="1125"/>
      <c r="H32" s="7" t="s">
        <v>227</v>
      </c>
      <c r="I32" s="123"/>
      <c r="J32" s="112"/>
      <c r="K32" s="112"/>
      <c r="L32" s="113"/>
    </row>
    <row r="33" spans="1:13" ht="13.15" x14ac:dyDescent="0.25">
      <c r="A33" s="43" t="s">
        <v>41</v>
      </c>
      <c r="B33" s="29"/>
      <c r="C33" s="29"/>
      <c r="D33" s="61">
        <f>$I$52</f>
        <v>0.62373174479999993</v>
      </c>
      <c r="E33" s="752">
        <f>D33*E8</f>
        <v>6829.8626055599989</v>
      </c>
      <c r="F33" s="1125"/>
      <c r="H33" s="11" t="s">
        <v>23</v>
      </c>
      <c r="I33" s="123">
        <f>'[13]Rate Options'!$I34</f>
        <v>0.1</v>
      </c>
      <c r="J33" s="112"/>
      <c r="K33" s="123">
        <f>'[13]Rate Options'!K34</f>
        <v>0.1</v>
      </c>
      <c r="L33" s="113"/>
    </row>
    <row r="34" spans="1:13" ht="13.15" x14ac:dyDescent="0.25">
      <c r="A34" s="43"/>
      <c r="B34" s="29"/>
      <c r="C34" s="29"/>
      <c r="D34" s="72">
        <f>SUM(D31:D33)</f>
        <v>9.8290936944000009</v>
      </c>
      <c r="E34" s="29"/>
      <c r="F34" s="1124"/>
      <c r="H34" s="11" t="s">
        <v>24</v>
      </c>
      <c r="I34" s="123"/>
      <c r="J34" s="112"/>
      <c r="K34" s="123">
        <f>'[13]Rate Options'!K35</f>
        <v>0.25</v>
      </c>
      <c r="L34" s="113">
        <f>'[13]Rate Options'!L35</f>
        <v>0.25</v>
      </c>
    </row>
    <row r="35" spans="1:13" ht="13.15" x14ac:dyDescent="0.25">
      <c r="A35" s="43"/>
      <c r="B35" s="29"/>
      <c r="C35" s="29"/>
      <c r="D35" s="29"/>
      <c r="E35" s="29"/>
      <c r="F35" s="1124"/>
      <c r="H35" s="11" t="s">
        <v>25</v>
      </c>
      <c r="I35" s="123">
        <f>'[13]Rate Options'!$I36</f>
        <v>0.5</v>
      </c>
      <c r="J35" s="112"/>
      <c r="K35" s="123">
        <f>'[13]Rate Options'!K36</f>
        <v>0.5</v>
      </c>
      <c r="L35" s="113"/>
    </row>
    <row r="36" spans="1:13" ht="13.15" x14ac:dyDescent="0.25">
      <c r="A36" s="1065" t="s">
        <v>43</v>
      </c>
      <c r="B36" s="31"/>
      <c r="C36" s="31"/>
      <c r="D36" s="31"/>
      <c r="E36" s="33">
        <f>SUM(E27:E33)</f>
        <v>1023487.5180729027</v>
      </c>
      <c r="F36" s="1125"/>
      <c r="H36" s="11" t="s">
        <v>26</v>
      </c>
      <c r="I36" s="123">
        <f>'[13]Rate Options'!$I37</f>
        <v>1</v>
      </c>
      <c r="J36" s="112"/>
      <c r="K36" s="123">
        <f>'[13]Rate Options'!K37</f>
        <v>1</v>
      </c>
      <c r="L36" s="113">
        <f>'[13]Rate Options'!L37</f>
        <v>0.5</v>
      </c>
    </row>
    <row r="37" spans="1:13" ht="13.15" x14ac:dyDescent="0.25">
      <c r="A37" s="43"/>
      <c r="B37" s="29"/>
      <c r="C37" s="29"/>
      <c r="D37" s="29"/>
      <c r="E37" s="29"/>
      <c r="F37" s="1124"/>
      <c r="H37" s="7" t="s">
        <v>5</v>
      </c>
      <c r="I37" s="123"/>
      <c r="J37" s="112"/>
      <c r="K37" s="112"/>
      <c r="L37" s="113"/>
    </row>
    <row r="38" spans="1:13" ht="13.15" x14ac:dyDescent="0.25">
      <c r="A38" s="43" t="s">
        <v>44</v>
      </c>
      <c r="B38" s="29"/>
      <c r="C38" s="573">
        <f>$J$56</f>
        <v>0.11846733793705286</v>
      </c>
      <c r="D38" s="29"/>
      <c r="E38" s="1028">
        <f>C38*E36</f>
        <v>121249.84167789806</v>
      </c>
      <c r="F38" s="1125"/>
      <c r="H38" s="11" t="s">
        <v>85</v>
      </c>
      <c r="I38" s="123">
        <f>'[13]Rate Options'!$I39</f>
        <v>1</v>
      </c>
      <c r="J38" s="112"/>
      <c r="K38" s="112"/>
      <c r="L38" s="113"/>
    </row>
    <row r="39" spans="1:13" ht="13.15" x14ac:dyDescent="0.25">
      <c r="A39" s="43"/>
      <c r="B39" s="29"/>
      <c r="C39" s="29"/>
      <c r="D39" s="29"/>
      <c r="E39" s="29"/>
      <c r="F39" s="1124"/>
      <c r="H39" s="11" t="s">
        <v>59</v>
      </c>
      <c r="I39" s="123">
        <f>'[13]Rate Options'!$I40</f>
        <v>4</v>
      </c>
      <c r="J39" s="112"/>
      <c r="K39" s="168">
        <f>'[13]Rate Options'!K40</f>
        <v>0.5</v>
      </c>
      <c r="L39" s="113">
        <f>'[13]Rate Options'!L40</f>
        <v>1</v>
      </c>
    </row>
    <row r="40" spans="1:13" ht="13.9" thickBot="1" x14ac:dyDescent="0.3">
      <c r="A40" s="1067" t="s">
        <v>52</v>
      </c>
      <c r="B40" s="74"/>
      <c r="C40" s="74"/>
      <c r="D40" s="74"/>
      <c r="E40" s="75">
        <f>SUM(E36:E38)</f>
        <v>1144737.3597508008</v>
      </c>
      <c r="F40" s="1125"/>
      <c r="H40" s="11" t="s">
        <v>30</v>
      </c>
      <c r="I40" s="123">
        <f>'[13]Rate Options'!$I41</f>
        <v>6.5</v>
      </c>
      <c r="J40" s="112"/>
      <c r="K40" s="168">
        <f>'[13]Rate Options'!K41</f>
        <v>13.2</v>
      </c>
      <c r="L40" s="169">
        <f>'[13]Rate Options'!L41</f>
        <v>11.2</v>
      </c>
      <c r="M40" s="167" t="s">
        <v>222</v>
      </c>
    </row>
    <row r="41" spans="1:13" ht="13.9" thickTop="1" x14ac:dyDescent="0.25">
      <c r="A41" s="43"/>
      <c r="B41" s="29"/>
      <c r="C41" s="29"/>
      <c r="D41" s="29"/>
      <c r="E41" s="29"/>
      <c r="F41" s="1124"/>
      <c r="H41" s="42" t="s">
        <v>31</v>
      </c>
      <c r="I41" s="110">
        <f>I40*K10</f>
        <v>0.48749999999999999</v>
      </c>
      <c r="J41" s="122"/>
      <c r="K41" s="187">
        <f>K40*J10</f>
        <v>2.0815384615384613</v>
      </c>
      <c r="L41" s="188">
        <f>L40*J10</f>
        <v>1.766153846153846</v>
      </c>
      <c r="M41" s="174"/>
    </row>
    <row r="42" spans="1:13" ht="13.15" x14ac:dyDescent="0.25">
      <c r="A42" s="43"/>
      <c r="B42" s="29"/>
      <c r="C42" s="575"/>
      <c r="D42" s="29"/>
      <c r="E42" s="1029">
        <f>E40*(1+C42)</f>
        <v>1144737.3597508008</v>
      </c>
      <c r="F42" s="1124"/>
      <c r="H42" s="7" t="s">
        <v>6</v>
      </c>
      <c r="I42" s="123"/>
      <c r="J42" s="112"/>
      <c r="K42" s="112"/>
      <c r="L42" s="113"/>
    </row>
    <row r="43" spans="1:13" ht="13.15" x14ac:dyDescent="0.25">
      <c r="A43" s="43"/>
      <c r="B43" s="29"/>
      <c r="C43" s="29"/>
      <c r="D43" s="29"/>
      <c r="E43" s="29"/>
      <c r="F43" s="1124"/>
      <c r="H43" s="11" t="s">
        <v>32</v>
      </c>
      <c r="I43" s="123">
        <f>'[13]Rate Options'!I44</f>
        <v>0.5</v>
      </c>
      <c r="J43" s="112"/>
      <c r="K43" s="123">
        <f>'[13]Rate Options'!K44</f>
        <v>0.25</v>
      </c>
      <c r="L43" s="113">
        <f>'[13]Rate Options'!L44</f>
        <v>0.25</v>
      </c>
    </row>
    <row r="44" spans="1:13" ht="13.15" x14ac:dyDescent="0.25">
      <c r="A44" s="43"/>
      <c r="B44" s="29"/>
      <c r="C44" s="29"/>
      <c r="D44" s="29"/>
      <c r="E44" s="753" t="s">
        <v>789</v>
      </c>
      <c r="F44" s="1124"/>
      <c r="H44" s="43"/>
      <c r="I44" s="29"/>
      <c r="J44" s="29"/>
      <c r="K44" s="29"/>
      <c r="L44" s="41"/>
    </row>
    <row r="45" spans="1:13" ht="13.15" x14ac:dyDescent="0.25">
      <c r="A45" s="43" t="s">
        <v>55</v>
      </c>
      <c r="B45" s="29"/>
      <c r="C45" s="29"/>
      <c r="D45" s="428">
        <f>E40/E8</f>
        <v>104.54222463477633</v>
      </c>
      <c r="E45" s="428">
        <f>D45*(1+C42)</f>
        <v>104.54222463477633</v>
      </c>
      <c r="F45" s="1124"/>
      <c r="H45" s="43"/>
      <c r="I45" s="29"/>
      <c r="J45" s="44" t="s">
        <v>266</v>
      </c>
      <c r="K45" s="44"/>
      <c r="L45" s="41"/>
    </row>
    <row r="46" spans="1:13" ht="13.9" thickBot="1" x14ac:dyDescent="0.3">
      <c r="A46" s="1080" t="s">
        <v>762</v>
      </c>
      <c r="B46" s="162"/>
      <c r="C46" s="1026"/>
      <c r="D46" s="398"/>
      <c r="E46" s="398"/>
      <c r="F46" s="1126">
        <f>E45*(1+C46)</f>
        <v>104.54222463477633</v>
      </c>
      <c r="H46" s="43" t="s">
        <v>22</v>
      </c>
      <c r="I46" s="29"/>
      <c r="J46" s="95">
        <f>'Group Home'!Q47</f>
        <v>0.23424901786252411</v>
      </c>
      <c r="K46" s="114"/>
      <c r="L46" s="41"/>
    </row>
    <row r="47" spans="1:13" ht="13.9" thickBot="1" x14ac:dyDescent="0.3">
      <c r="A47" s="1082" t="s">
        <v>54</v>
      </c>
      <c r="B47" s="1083">
        <v>0.9</v>
      </c>
      <c r="C47" s="1084"/>
      <c r="D47" s="1085">
        <f>E40/(E8*B47)</f>
        <v>116.1580273719737</v>
      </c>
      <c r="E47" s="1085">
        <f>D47*(1+C42)</f>
        <v>116.1580273719737</v>
      </c>
      <c r="F47" s="1378">
        <f>$F$46/B47</f>
        <v>116.1580273719737</v>
      </c>
      <c r="H47" s="43"/>
      <c r="I47" s="29"/>
      <c r="J47" s="48"/>
      <c r="K47" s="48"/>
      <c r="L47" s="41"/>
    </row>
    <row r="48" spans="1:13" ht="13.9" thickBot="1" x14ac:dyDescent="0.3">
      <c r="A48" s="1373" t="s">
        <v>761</v>
      </c>
      <c r="B48" s="1374"/>
      <c r="C48" s="1375">
        <f>J58</f>
        <v>2.3900000000000001E-2</v>
      </c>
      <c r="D48" s="1085"/>
      <c r="E48" s="1085"/>
      <c r="F48" s="1127">
        <f>F47*(C48+1)+0.01</f>
        <v>118.94420422616388</v>
      </c>
      <c r="H48" s="43" t="s">
        <v>107</v>
      </c>
      <c r="I48" s="29"/>
      <c r="J48" s="119">
        <v>1000</v>
      </c>
      <c r="K48" s="61"/>
      <c r="L48" s="41"/>
    </row>
    <row r="49" spans="1:12" ht="13.15" x14ac:dyDescent="0.25">
      <c r="A49" s="162"/>
      <c r="B49" s="415"/>
      <c r="C49" s="162"/>
      <c r="D49" s="389"/>
      <c r="E49" s="389"/>
      <c r="F49" s="1121"/>
      <c r="H49" s="43"/>
      <c r="I49" s="29"/>
      <c r="J49" s="29"/>
      <c r="K49" s="29"/>
      <c r="L49" s="41"/>
    </row>
    <row r="50" spans="1:12" ht="13.15" x14ac:dyDescent="0.25">
      <c r="A50" s="162"/>
      <c r="B50" s="162"/>
      <c r="C50" s="162"/>
      <c r="D50" s="162"/>
      <c r="E50" s="162"/>
      <c r="F50" s="1122"/>
      <c r="H50" s="43" t="s">
        <v>39</v>
      </c>
      <c r="I50" s="59">
        <v>4.194</v>
      </c>
      <c r="K50" s="59">
        <v>22.47</v>
      </c>
      <c r="L50" s="41"/>
    </row>
    <row r="51" spans="1:12" ht="13.9" thickBot="1" x14ac:dyDescent="0.3">
      <c r="H51" s="43" t="s">
        <v>40</v>
      </c>
      <c r="I51" s="59">
        <f>4.66*(5.39%+1)*(2.04%+1)</f>
        <v>5.0113619496000004</v>
      </c>
      <c r="K51" s="59">
        <v>17.649999999999999</v>
      </c>
      <c r="L51" s="41"/>
    </row>
    <row r="52" spans="1:12" x14ac:dyDescent="0.2">
      <c r="A52" s="36"/>
      <c r="B52" s="37"/>
      <c r="C52" s="37"/>
      <c r="D52" s="37"/>
      <c r="E52" s="37"/>
      <c r="F52" s="1476" t="s">
        <v>826</v>
      </c>
      <c r="H52" s="43" t="s">
        <v>41</v>
      </c>
      <c r="I52" s="59">
        <f>0.58*(5.39%+1)*(2.04%+1)</f>
        <v>0.62373174479999993</v>
      </c>
      <c r="K52" s="59"/>
      <c r="L52" s="41"/>
    </row>
    <row r="53" spans="1:12" ht="13.5" thickBot="1" x14ac:dyDescent="0.25">
      <c r="A53" s="1480" t="s">
        <v>794</v>
      </c>
      <c r="B53" s="1474"/>
      <c r="C53" s="1474"/>
      <c r="D53" s="1474"/>
      <c r="E53" s="1474"/>
      <c r="F53" s="1477"/>
      <c r="H53" s="43" t="s">
        <v>42</v>
      </c>
      <c r="I53" s="29"/>
      <c r="K53" s="59">
        <f>'Group Home'!Q52</f>
        <v>-1.9951315068493152</v>
      </c>
      <c r="L53" s="246"/>
    </row>
    <row r="54" spans="1:12" ht="13.15" x14ac:dyDescent="0.25">
      <c r="A54" s="50" t="s">
        <v>0</v>
      </c>
      <c r="B54" s="566">
        <f>K$30</f>
        <v>12</v>
      </c>
      <c r="C54" s="120"/>
      <c r="D54" s="120" t="s">
        <v>1</v>
      </c>
      <c r="E54" s="1027">
        <f>B54*365</f>
        <v>4380</v>
      </c>
      <c r="F54" s="1123"/>
      <c r="H54" s="101" t="s">
        <v>43</v>
      </c>
      <c r="I54" s="219">
        <f>SUM(I50:I53)</f>
        <v>9.8290936944000009</v>
      </c>
      <c r="J54" s="103"/>
      <c r="K54" s="219">
        <f>SUM(K50:K53)</f>
        <v>38.124868493150686</v>
      </c>
      <c r="L54" s="104"/>
    </row>
    <row r="55" spans="1:12" ht="13.15" x14ac:dyDescent="0.25">
      <c r="A55" s="43"/>
      <c r="B55" s="29"/>
      <c r="C55" s="29"/>
      <c r="D55" s="29"/>
      <c r="E55" s="29"/>
      <c r="F55" s="1124"/>
      <c r="H55" s="43"/>
      <c r="I55" s="29"/>
      <c r="J55" s="61"/>
      <c r="K55" s="61"/>
      <c r="L55" s="41"/>
    </row>
    <row r="56" spans="1:12" ht="13.15" x14ac:dyDescent="0.25">
      <c r="A56" s="1060"/>
      <c r="B56" s="26"/>
      <c r="C56" s="27" t="s">
        <v>2</v>
      </c>
      <c r="D56" s="27" t="s">
        <v>3</v>
      </c>
      <c r="E56" s="27" t="s">
        <v>4</v>
      </c>
      <c r="F56" s="1124"/>
      <c r="H56" s="43" t="s">
        <v>44</v>
      </c>
      <c r="I56" s="29"/>
      <c r="J56" s="95">
        <f>'Group Home'!Q55</f>
        <v>0.11846733793705286</v>
      </c>
      <c r="K56" s="114" t="s">
        <v>93</v>
      </c>
      <c r="L56" s="41"/>
    </row>
    <row r="57" spans="1:12" ht="13.15" x14ac:dyDescent="0.25">
      <c r="A57" s="1062" t="s">
        <v>19</v>
      </c>
      <c r="B57" s="29"/>
      <c r="C57" s="40">
        <f>I14</f>
        <v>56248.773985799999</v>
      </c>
      <c r="D57" s="46">
        <f>K31</f>
        <v>1.75</v>
      </c>
      <c r="E57" s="1028">
        <f>C57*D57</f>
        <v>98435.354475150001</v>
      </c>
      <c r="F57" s="1124"/>
      <c r="H57" s="43"/>
      <c r="I57" s="29"/>
      <c r="J57" s="29"/>
      <c r="K57" s="29"/>
      <c r="L57" s="41"/>
    </row>
    <row r="58" spans="1:12" ht="13.9" thickBot="1" x14ac:dyDescent="0.3">
      <c r="A58" s="7" t="s">
        <v>227</v>
      </c>
      <c r="B58" s="29"/>
      <c r="C58" s="40"/>
      <c r="D58" s="46"/>
      <c r="E58" s="1028"/>
      <c r="F58" s="1124"/>
      <c r="H58" s="51" t="s">
        <v>45</v>
      </c>
      <c r="I58" s="52"/>
      <c r="J58" s="96">
        <v>2.3900000000000001E-2</v>
      </c>
      <c r="K58" s="96"/>
      <c r="L58" s="53"/>
    </row>
    <row r="59" spans="1:12" ht="13.15" x14ac:dyDescent="0.25">
      <c r="A59" s="11" t="s">
        <v>23</v>
      </c>
      <c r="B59" s="29"/>
      <c r="C59" s="280">
        <f>I16</f>
        <v>215212.18614588003</v>
      </c>
      <c r="D59" s="195">
        <f>K33</f>
        <v>0.1</v>
      </c>
      <c r="E59" s="1028">
        <f>C59*D59</f>
        <v>21521.218614588004</v>
      </c>
      <c r="F59" s="1124"/>
      <c r="H59" s="63" t="s">
        <v>50</v>
      </c>
      <c r="I59" s="64" t="s">
        <v>46</v>
      </c>
    </row>
    <row r="60" spans="1:12" ht="13.15" x14ac:dyDescent="0.25">
      <c r="A60" s="11" t="s">
        <v>24</v>
      </c>
      <c r="B60" s="29"/>
      <c r="C60" s="280">
        <f>K17</f>
        <v>69547</v>
      </c>
      <c r="D60" s="195">
        <v>0.25</v>
      </c>
      <c r="E60" s="1028">
        <f>C60*D60</f>
        <v>17386.75</v>
      </c>
      <c r="F60" s="1124"/>
      <c r="H60" s="24" t="s">
        <v>47</v>
      </c>
    </row>
    <row r="61" spans="1:12" ht="13.15" x14ac:dyDescent="0.25">
      <c r="A61" s="11" t="s">
        <v>25</v>
      </c>
      <c r="B61" s="29"/>
      <c r="C61" s="280">
        <f>I18</f>
        <v>66379.037840999998</v>
      </c>
      <c r="D61" s="195">
        <f>K35</f>
        <v>0.5</v>
      </c>
      <c r="E61" s="1028">
        <f>C61*D61</f>
        <v>33189.518920499999</v>
      </c>
      <c r="F61" s="1124"/>
      <c r="H61" s="23" t="s">
        <v>63</v>
      </c>
    </row>
    <row r="62" spans="1:12" ht="13.15" x14ac:dyDescent="0.25">
      <c r="A62" s="11" t="s">
        <v>26</v>
      </c>
      <c r="B62" s="29"/>
      <c r="C62" s="280">
        <f>I19</f>
        <v>53769.977999999996</v>
      </c>
      <c r="D62" s="195">
        <f>K36</f>
        <v>1</v>
      </c>
      <c r="E62" s="1028">
        <f>C62*D62</f>
        <v>53769.977999999996</v>
      </c>
      <c r="F62" s="1124"/>
      <c r="H62" s="54" t="s">
        <v>117</v>
      </c>
    </row>
    <row r="63" spans="1:12" ht="13.15" x14ac:dyDescent="0.25">
      <c r="A63" s="7" t="s">
        <v>5</v>
      </c>
      <c r="B63" s="29"/>
      <c r="C63" s="280"/>
      <c r="D63" s="195"/>
      <c r="E63" s="1028"/>
      <c r="F63" s="1124"/>
    </row>
    <row r="64" spans="1:12" ht="13.15" x14ac:dyDescent="0.25">
      <c r="A64" s="11" t="s">
        <v>59</v>
      </c>
      <c r="B64" s="29"/>
      <c r="C64" s="280">
        <f>I22</f>
        <v>47586.430530000005</v>
      </c>
      <c r="D64" s="195">
        <f>K39</f>
        <v>0.5</v>
      </c>
      <c r="E64" s="1028">
        <f>C64*D64</f>
        <v>23793.215265000003</v>
      </c>
      <c r="F64" s="1124"/>
      <c r="H64" s="55" t="s">
        <v>49</v>
      </c>
    </row>
    <row r="65" spans="1:17" ht="13.15" x14ac:dyDescent="0.25">
      <c r="A65" s="11" t="s">
        <v>30</v>
      </c>
      <c r="B65" s="29"/>
      <c r="C65" s="280">
        <f>K23</f>
        <v>30648.887460000002</v>
      </c>
      <c r="D65" s="195">
        <v>16.399999999999999</v>
      </c>
      <c r="E65" s="1028">
        <f>C65*D65</f>
        <v>502641.75434399996</v>
      </c>
      <c r="F65" s="1124"/>
      <c r="H65" s="177" t="s">
        <v>267</v>
      </c>
    </row>
    <row r="66" spans="1:17" ht="13.15" x14ac:dyDescent="0.25">
      <c r="A66" s="42" t="s">
        <v>31</v>
      </c>
      <c r="B66" s="29"/>
      <c r="C66" s="280">
        <f>K24</f>
        <v>30648.887460000002</v>
      </c>
      <c r="D66" s="195">
        <f>K41</f>
        <v>2.0815384615384613</v>
      </c>
      <c r="E66" s="1028">
        <f>C66*D66</f>
        <v>63796.838051353843</v>
      </c>
      <c r="F66" s="1124"/>
      <c r="H66" s="23" t="s">
        <v>113</v>
      </c>
    </row>
    <row r="67" spans="1:17" x14ac:dyDescent="0.2">
      <c r="A67" s="7" t="s">
        <v>6</v>
      </c>
      <c r="B67" s="29"/>
      <c r="C67" s="280"/>
      <c r="D67" s="195"/>
      <c r="E67" s="1028"/>
      <c r="F67" s="1124"/>
      <c r="H67" s="181" t="s">
        <v>194</v>
      </c>
    </row>
    <row r="68" spans="1:17" x14ac:dyDescent="0.2">
      <c r="A68" s="11" t="s">
        <v>32</v>
      </c>
      <c r="B68" s="29"/>
      <c r="C68" s="40">
        <f>K26</f>
        <v>30648.887460000002</v>
      </c>
      <c r="D68" s="46">
        <f>K43</f>
        <v>0.25</v>
      </c>
      <c r="E68" s="1028">
        <f>C68*D68</f>
        <v>7662.2218650000004</v>
      </c>
      <c r="F68" s="1124"/>
      <c r="H68" s="100" t="s">
        <v>114</v>
      </c>
    </row>
    <row r="69" spans="1:17" x14ac:dyDescent="0.2">
      <c r="A69" s="1065" t="s">
        <v>7</v>
      </c>
      <c r="B69" s="31"/>
      <c r="C69" s="31"/>
      <c r="D69" s="32">
        <f>SUM(D57:D68)</f>
        <v>22.831538461538461</v>
      </c>
      <c r="E69" s="33">
        <f>SUM(E57:E68)</f>
        <v>822196.84953559178</v>
      </c>
      <c r="F69" s="1124"/>
      <c r="H69" s="121" t="s">
        <v>115</v>
      </c>
    </row>
    <row r="70" spans="1:17" x14ac:dyDescent="0.2">
      <c r="A70" s="43"/>
      <c r="B70" s="29"/>
      <c r="C70" s="29"/>
      <c r="D70" s="29"/>
      <c r="E70" s="29"/>
      <c r="F70" s="1124"/>
      <c r="H70" s="94" t="s">
        <v>116</v>
      </c>
    </row>
    <row r="71" spans="1:17" x14ac:dyDescent="0.2">
      <c r="A71" s="50" t="s">
        <v>21</v>
      </c>
      <c r="B71" s="29"/>
      <c r="C71" s="29"/>
      <c r="D71" s="120" t="s">
        <v>20</v>
      </c>
      <c r="E71" s="29"/>
      <c r="F71" s="1124"/>
      <c r="H71" s="94" t="s">
        <v>118</v>
      </c>
    </row>
    <row r="72" spans="1:17" x14ac:dyDescent="0.2">
      <c r="A72" s="43" t="s">
        <v>22</v>
      </c>
      <c r="B72" s="29"/>
      <c r="C72" s="573">
        <f>$J$46</f>
        <v>0.23424901786252411</v>
      </c>
      <c r="D72" s="29"/>
      <c r="E72" s="1028">
        <f>C72*E69</f>
        <v>192598.8044933739</v>
      </c>
      <c r="F72" s="1125"/>
    </row>
    <row r="73" spans="1:17" x14ac:dyDescent="0.2">
      <c r="A73" s="1065" t="s">
        <v>51</v>
      </c>
      <c r="B73" s="31"/>
      <c r="C73" s="31"/>
      <c r="D73" s="70">
        <f>E73/E54</f>
        <v>231.68850548606522</v>
      </c>
      <c r="E73" s="33">
        <f>E72+E69</f>
        <v>1014795.6540289656</v>
      </c>
      <c r="F73" s="1124"/>
      <c r="H73" s="109"/>
    </row>
    <row r="74" spans="1:17" x14ac:dyDescent="0.2">
      <c r="A74" s="43"/>
      <c r="B74" s="29"/>
      <c r="C74" s="29"/>
      <c r="D74" s="29"/>
      <c r="E74" s="29"/>
      <c r="F74" s="1125"/>
    </row>
    <row r="75" spans="1:17" x14ac:dyDescent="0.2">
      <c r="A75" s="43" t="s">
        <v>39</v>
      </c>
      <c r="B75" s="29"/>
      <c r="C75" s="29"/>
      <c r="D75" s="61">
        <v>22.81</v>
      </c>
      <c r="E75" s="752">
        <f>D75*E54</f>
        <v>99907.799999999988</v>
      </c>
      <c r="F75" s="1125"/>
      <c r="H75" s="109"/>
    </row>
    <row r="76" spans="1:17" ht="13.5" thickBot="1" x14ac:dyDescent="0.25">
      <c r="A76" s="43" t="s">
        <v>40</v>
      </c>
      <c r="B76" s="29"/>
      <c r="C76" s="29"/>
      <c r="D76" s="61">
        <v>17.649999999999999</v>
      </c>
      <c r="E76" s="752">
        <f>D76*E54</f>
        <v>77307</v>
      </c>
      <c r="F76" s="1125"/>
      <c r="H76" s="131"/>
      <c r="I76" s="29"/>
      <c r="J76" s="29"/>
      <c r="K76" s="29"/>
      <c r="L76" s="29"/>
      <c r="M76" s="29"/>
      <c r="N76" s="29"/>
      <c r="O76" s="29"/>
      <c r="P76" s="29"/>
      <c r="Q76" s="130"/>
    </row>
    <row r="77" spans="1:17" x14ac:dyDescent="0.2">
      <c r="A77" s="43" t="s">
        <v>42</v>
      </c>
      <c r="B77" s="29"/>
      <c r="C77" s="29"/>
      <c r="D77" s="61">
        <f>$K$53</f>
        <v>-1.9951315068493152</v>
      </c>
      <c r="E77" s="752">
        <f>D77*E54</f>
        <v>-8738.6760000000013</v>
      </c>
      <c r="F77" s="1124"/>
      <c r="H77" s="248" t="s">
        <v>133</v>
      </c>
      <c r="I77" s="249"/>
      <c r="J77" s="249"/>
      <c r="K77" s="249"/>
      <c r="L77" s="249"/>
      <c r="M77" s="249"/>
      <c r="N77" s="249"/>
      <c r="O77" s="249"/>
      <c r="P77" s="249"/>
      <c r="Q77" s="250"/>
    </row>
    <row r="78" spans="1:17" x14ac:dyDescent="0.2">
      <c r="A78" s="43"/>
      <c r="B78" s="29"/>
      <c r="C78" s="29"/>
      <c r="D78" s="72">
        <f>SUM(D75:D77)</f>
        <v>38.464868493150675</v>
      </c>
      <c r="E78" s="29"/>
      <c r="F78" s="1124"/>
      <c r="H78" s="251"/>
      <c r="I78" s="29"/>
      <c r="J78" s="29"/>
      <c r="K78" s="29"/>
      <c r="L78" s="29"/>
      <c r="M78" s="29"/>
      <c r="N78" s="29"/>
      <c r="O78" s="29"/>
      <c r="P78" s="29"/>
      <c r="Q78" s="252"/>
    </row>
    <row r="79" spans="1:17" x14ac:dyDescent="0.2">
      <c r="A79" s="43"/>
      <c r="B79" s="29"/>
      <c r="C79" s="29"/>
      <c r="D79" s="29"/>
      <c r="E79" s="29"/>
      <c r="F79" s="1125"/>
      <c r="H79" s="253" t="s">
        <v>122</v>
      </c>
      <c r="I79" s="124" t="s">
        <v>123</v>
      </c>
      <c r="J79" s="57" t="s">
        <v>129</v>
      </c>
      <c r="K79" s="57" t="s">
        <v>130</v>
      </c>
      <c r="L79" s="57" t="s">
        <v>131</v>
      </c>
      <c r="M79" s="57" t="s">
        <v>132</v>
      </c>
      <c r="N79" s="57"/>
      <c r="O79" s="57" t="s">
        <v>124</v>
      </c>
      <c r="P79" s="57"/>
      <c r="Q79" s="254" t="s">
        <v>128</v>
      </c>
    </row>
    <row r="80" spans="1:17" x14ac:dyDescent="0.2">
      <c r="A80" s="1065" t="s">
        <v>43</v>
      </c>
      <c r="B80" s="31"/>
      <c r="C80" s="31"/>
      <c r="D80" s="31"/>
      <c r="E80" s="33">
        <f>SUM(E73:E77)</f>
        <v>1183271.7780289657</v>
      </c>
      <c r="F80" s="1124"/>
      <c r="H80" s="255" t="s">
        <v>247</v>
      </c>
      <c r="I80" s="125">
        <v>1</v>
      </c>
      <c r="J80" s="127">
        <v>12</v>
      </c>
      <c r="K80" s="127"/>
      <c r="L80" s="127"/>
      <c r="M80" s="127"/>
      <c r="N80" s="127"/>
      <c r="O80" s="127">
        <v>30</v>
      </c>
      <c r="P80" s="127"/>
      <c r="Q80" s="256">
        <f>O80</f>
        <v>30</v>
      </c>
    </row>
    <row r="81" spans="1:17" x14ac:dyDescent="0.2">
      <c r="A81" s="43"/>
      <c r="B81" s="29"/>
      <c r="C81" s="29"/>
      <c r="D81" s="29"/>
      <c r="E81" s="29"/>
      <c r="F81" s="1125"/>
      <c r="H81" s="255" t="s">
        <v>125</v>
      </c>
      <c r="I81" s="129">
        <v>100</v>
      </c>
      <c r="J81" s="132">
        <f>E91</f>
        <v>335.7408055880519</v>
      </c>
      <c r="K81" s="132">
        <f>E135</f>
        <v>0</v>
      </c>
      <c r="L81" s="132">
        <f>'Group Home'!E130</f>
        <v>186.61375764818357</v>
      </c>
      <c r="M81" s="132">
        <f>'Group Home'!E167</f>
        <v>101.56129404855095</v>
      </c>
      <c r="N81" s="128"/>
      <c r="O81" s="133">
        <f>E47</f>
        <v>116.1580273719737</v>
      </c>
      <c r="P81" s="128"/>
      <c r="Q81" s="257"/>
    </row>
    <row r="82" spans="1:17" x14ac:dyDescent="0.2">
      <c r="A82" s="43" t="s">
        <v>44</v>
      </c>
      <c r="B82" s="29"/>
      <c r="C82" s="573">
        <f>$J$56</f>
        <v>0.11846733793705286</v>
      </c>
      <c r="D82" s="29"/>
      <c r="E82" s="1028">
        <f>C82*E80</f>
        <v>140179.05759913489</v>
      </c>
      <c r="F82" s="1124"/>
      <c r="H82" s="255" t="s">
        <v>126</v>
      </c>
      <c r="I82" s="126">
        <f>I81*I80</f>
        <v>100</v>
      </c>
      <c r="J82" s="128">
        <f>J80*J81</f>
        <v>4028.8896670566228</v>
      </c>
      <c r="K82" s="128">
        <f>K80*K81</f>
        <v>0</v>
      </c>
      <c r="L82" s="128">
        <f>L80*L81</f>
        <v>0</v>
      </c>
      <c r="M82" s="128">
        <f>M80*M81</f>
        <v>0</v>
      </c>
      <c r="N82" s="128"/>
      <c r="O82" s="128">
        <f>O81*O80</f>
        <v>3484.740821159211</v>
      </c>
      <c r="P82" s="128"/>
      <c r="Q82" s="257">
        <f>SUM(I82:O82)</f>
        <v>7613.6304882158338</v>
      </c>
    </row>
    <row r="83" spans="1:17" x14ac:dyDescent="0.2">
      <c r="A83" s="43"/>
      <c r="B83" s="29"/>
      <c r="C83" s="29"/>
      <c r="D83" s="29"/>
      <c r="E83" s="29"/>
      <c r="F83" s="1125"/>
      <c r="H83" s="251"/>
      <c r="I83" s="127"/>
      <c r="J83" s="127"/>
      <c r="K83" s="127"/>
      <c r="L83" s="127"/>
      <c r="M83" s="127"/>
      <c r="N83" s="127"/>
      <c r="O83" s="29"/>
      <c r="P83" s="29"/>
      <c r="Q83" s="252"/>
    </row>
    <row r="84" spans="1:17" ht="13.5" thickBot="1" x14ac:dyDescent="0.25">
      <c r="A84" s="1067" t="s">
        <v>52</v>
      </c>
      <c r="B84" s="74"/>
      <c r="C84" s="74"/>
      <c r="D84" s="74"/>
      <c r="E84" s="75">
        <f>SUM(E80:E82)</f>
        <v>1323450.8356281007</v>
      </c>
      <c r="F84" s="1124"/>
      <c r="H84" s="251"/>
      <c r="I84" s="127"/>
      <c r="J84" s="127"/>
      <c r="K84" s="127"/>
      <c r="L84" s="29"/>
      <c r="M84" s="127"/>
      <c r="N84" s="29"/>
      <c r="O84" s="134" t="s">
        <v>127</v>
      </c>
      <c r="P84" s="29"/>
      <c r="Q84" s="258">
        <f>Q82/Q80</f>
        <v>253.78768294052779</v>
      </c>
    </row>
    <row r="85" spans="1:17" ht="13.5" thickTop="1" x14ac:dyDescent="0.2">
      <c r="A85" s="43"/>
      <c r="B85" s="29"/>
      <c r="C85" s="29"/>
      <c r="D85" s="29"/>
      <c r="E85" s="29"/>
      <c r="F85" s="1124"/>
      <c r="H85" s="251"/>
      <c r="I85" s="127"/>
      <c r="J85" s="127"/>
      <c r="K85" s="127"/>
      <c r="L85" s="29"/>
      <c r="M85" s="127"/>
      <c r="N85" s="29"/>
      <c r="O85" s="134" t="s">
        <v>121</v>
      </c>
      <c r="P85" s="29"/>
      <c r="Q85" s="257">
        <f>Q82*365</f>
        <v>2778975.1281987792</v>
      </c>
    </row>
    <row r="86" spans="1:17" x14ac:dyDescent="0.2">
      <c r="A86" s="43" t="s">
        <v>53</v>
      </c>
      <c r="B86" s="29"/>
      <c r="C86" s="575"/>
      <c r="D86" s="29"/>
      <c r="E86" s="1029">
        <f>E84*(1+C86)</f>
        <v>1323450.8356281007</v>
      </c>
      <c r="F86" s="1124"/>
      <c r="H86" s="251"/>
      <c r="I86" s="127"/>
      <c r="J86" s="127"/>
      <c r="K86" s="127"/>
      <c r="L86" s="29"/>
      <c r="M86" s="127"/>
      <c r="N86" s="29"/>
      <c r="O86" s="134" t="s">
        <v>248</v>
      </c>
      <c r="P86" s="29"/>
      <c r="Q86" s="257">
        <f>Q84*365</f>
        <v>92632.504273292638</v>
      </c>
    </row>
    <row r="87" spans="1:17" x14ac:dyDescent="0.2">
      <c r="A87" s="43"/>
      <c r="B87" s="29"/>
      <c r="C87" s="29"/>
      <c r="D87" s="29"/>
      <c r="E87" s="29"/>
      <c r="F87" s="1124"/>
      <c r="H87" s="251"/>
      <c r="I87" s="29"/>
      <c r="J87" s="29"/>
      <c r="K87" s="29"/>
      <c r="L87" s="29"/>
      <c r="M87" s="29"/>
      <c r="N87" s="29"/>
      <c r="O87" s="29"/>
      <c r="P87" s="29"/>
      <c r="Q87" s="252"/>
    </row>
    <row r="88" spans="1:17" x14ac:dyDescent="0.2">
      <c r="A88" s="43"/>
      <c r="B88" s="29"/>
      <c r="C88" s="29"/>
      <c r="D88" s="29"/>
      <c r="E88" s="753" t="s">
        <v>789</v>
      </c>
      <c r="F88" s="1124"/>
      <c r="H88" s="251"/>
      <c r="I88" s="29"/>
      <c r="J88" s="29"/>
      <c r="K88" s="29"/>
      <c r="L88" s="29"/>
      <c r="M88" s="29"/>
      <c r="N88" s="29"/>
      <c r="O88" s="29"/>
      <c r="P88" s="29"/>
      <c r="Q88" s="252"/>
    </row>
    <row r="89" spans="1:17" x14ac:dyDescent="0.2">
      <c r="A89" s="43" t="s">
        <v>55</v>
      </c>
      <c r="B89" s="29"/>
      <c r="C89" s="29"/>
      <c r="D89" s="428"/>
      <c r="E89" s="428">
        <f>E84/E54</f>
        <v>302.15772502924671</v>
      </c>
      <c r="F89" s="1124"/>
      <c r="H89" s="251"/>
      <c r="I89" s="29"/>
      <c r="J89" s="29"/>
      <c r="K89" s="29"/>
      <c r="L89" s="29"/>
      <c r="M89" s="29"/>
      <c r="N89" s="29"/>
      <c r="O89" s="29"/>
      <c r="P89" s="29"/>
      <c r="Q89" s="252"/>
    </row>
    <row r="90" spans="1:17" ht="13.5" thickBot="1" x14ac:dyDescent="0.25">
      <c r="A90" s="1080" t="s">
        <v>762</v>
      </c>
      <c r="B90" s="162"/>
      <c r="C90" s="1026"/>
      <c r="D90" s="398"/>
      <c r="E90" s="398"/>
      <c r="F90" s="1201">
        <f>E89*(1+C90)</f>
        <v>302.15772502924671</v>
      </c>
      <c r="H90" s="251"/>
      <c r="I90" s="29"/>
      <c r="J90" s="29"/>
      <c r="K90" s="29"/>
      <c r="L90" s="29"/>
      <c r="M90" s="29"/>
      <c r="N90" s="29"/>
      <c r="O90" s="44" t="s">
        <v>134</v>
      </c>
      <c r="P90" s="29"/>
      <c r="Q90" s="259" t="s">
        <v>135</v>
      </c>
    </row>
    <row r="91" spans="1:17" ht="13.5" thickBot="1" x14ac:dyDescent="0.25">
      <c r="A91" s="1199" t="s">
        <v>54</v>
      </c>
      <c r="B91" s="1185">
        <v>0.9</v>
      </c>
      <c r="C91" s="1086"/>
      <c r="D91" s="1087"/>
      <c r="E91" s="1087">
        <f>E84/(E54*B91)+0.01</f>
        <v>335.7408055880519</v>
      </c>
      <c r="F91" s="1379">
        <f>$F$90/B91+0.01</f>
        <v>335.7408055880519</v>
      </c>
      <c r="H91" s="251"/>
      <c r="I91" s="29" t="s">
        <v>249</v>
      </c>
      <c r="J91" s="29"/>
      <c r="K91" s="29"/>
      <c r="L91" s="29"/>
      <c r="M91" s="29"/>
      <c r="N91" s="29"/>
      <c r="O91" s="135">
        <v>208.59</v>
      </c>
      <c r="P91" s="29"/>
      <c r="Q91" s="262">
        <v>231.39</v>
      </c>
    </row>
    <row r="92" spans="1:17" ht="13.5" thickBot="1" x14ac:dyDescent="0.25">
      <c r="A92" s="1373" t="s">
        <v>761</v>
      </c>
      <c r="B92" s="1374"/>
      <c r="C92" s="1375">
        <f>J58</f>
        <v>2.3900000000000001E-2</v>
      </c>
      <c r="D92" s="1085"/>
      <c r="E92" s="1085"/>
      <c r="F92" s="1127">
        <f>F91*(C92+1)-0.01</f>
        <v>343.75501084160635</v>
      </c>
      <c r="H92" s="251"/>
      <c r="I92" s="29" t="s">
        <v>250</v>
      </c>
      <c r="J92" s="29"/>
      <c r="K92" s="29"/>
      <c r="L92" s="29"/>
      <c r="M92" s="29"/>
      <c r="N92" s="29"/>
      <c r="O92" s="135">
        <v>193.18</v>
      </c>
      <c r="P92" s="29"/>
      <c r="Q92" s="262">
        <v>214.28</v>
      </c>
    </row>
    <row r="93" spans="1:17" x14ac:dyDescent="0.2">
      <c r="A93" s="162"/>
      <c r="B93" s="415"/>
      <c r="C93" s="162"/>
      <c r="D93" s="389"/>
      <c r="E93" s="389"/>
      <c r="F93" s="1121"/>
      <c r="H93" s="251"/>
      <c r="I93" s="29" t="s">
        <v>251</v>
      </c>
      <c r="J93" s="29"/>
      <c r="K93" s="29"/>
      <c r="L93" s="29"/>
      <c r="M93" s="29"/>
      <c r="N93" s="29"/>
      <c r="O93" s="135">
        <v>170.23</v>
      </c>
      <c r="P93" s="29"/>
      <c r="Q93" s="262">
        <v>189.48</v>
      </c>
    </row>
    <row r="94" spans="1:17" ht="13.5" thickBot="1" x14ac:dyDescent="0.25">
      <c r="A94" s="162"/>
      <c r="B94" s="162"/>
      <c r="C94" s="162"/>
      <c r="D94" s="1197"/>
      <c r="E94" s="394"/>
      <c r="F94" s="1121"/>
      <c r="G94" s="61"/>
      <c r="H94" s="260"/>
      <c r="I94" s="260" t="s">
        <v>252</v>
      </c>
      <c r="J94" s="260"/>
      <c r="K94" s="260"/>
      <c r="L94" s="260"/>
      <c r="M94" s="260"/>
      <c r="N94" s="260"/>
      <c r="O94" s="261">
        <v>139.82</v>
      </c>
      <c r="P94" s="260"/>
      <c r="Q94" s="263">
        <v>155.69</v>
      </c>
    </row>
    <row r="95" spans="1:17" x14ac:dyDescent="0.2">
      <c r="A95" s="162"/>
      <c r="B95" s="162"/>
      <c r="C95" s="162"/>
      <c r="D95" s="1197"/>
      <c r="E95" s="394"/>
      <c r="F95" s="1192"/>
      <c r="G95" s="61"/>
      <c r="H95" s="29"/>
      <c r="I95" s="29"/>
      <c r="J95" s="29"/>
      <c r="K95" s="29"/>
      <c r="L95" s="29"/>
      <c r="M95" s="29"/>
      <c r="N95" s="29"/>
      <c r="O95" s="135"/>
      <c r="P95" s="29"/>
      <c r="Q95" s="1194"/>
    </row>
    <row r="96" spans="1:17" x14ac:dyDescent="0.2">
      <c r="A96" s="29"/>
      <c r="B96" s="29"/>
      <c r="C96" s="29"/>
      <c r="D96" s="1196"/>
      <c r="E96" s="61"/>
      <c r="F96" s="1193"/>
      <c r="G96" s="61"/>
      <c r="H96" s="29"/>
      <c r="I96" s="29"/>
      <c r="J96" s="29"/>
      <c r="K96" s="29"/>
      <c r="L96" s="29"/>
      <c r="M96" s="29"/>
      <c r="N96" s="29"/>
      <c r="O96" s="135"/>
      <c r="P96" s="29"/>
      <c r="Q96" s="1194"/>
    </row>
    <row r="97" spans="1:17" ht="13.5" thickBot="1" x14ac:dyDescent="0.25">
      <c r="G97" s="29"/>
      <c r="H97" s="29"/>
      <c r="I97" s="29" t="s">
        <v>253</v>
      </c>
      <c r="J97" s="29"/>
      <c r="K97" s="29"/>
      <c r="L97" s="29"/>
      <c r="M97" s="29"/>
      <c r="N97" s="29"/>
      <c r="O97" s="135">
        <v>223.88</v>
      </c>
      <c r="P97" s="29"/>
      <c r="Q97" s="136">
        <v>248.53</v>
      </c>
    </row>
    <row r="98" spans="1:17" ht="13.15" customHeight="1" x14ac:dyDescent="0.2">
      <c r="A98" s="36"/>
      <c r="B98" s="37"/>
      <c r="C98" s="37"/>
      <c r="D98" s="37"/>
      <c r="E98" s="37"/>
      <c r="F98" s="1476" t="s">
        <v>826</v>
      </c>
      <c r="G98" s="29"/>
    </row>
    <row r="99" spans="1:17" ht="13.5" thickBot="1" x14ac:dyDescent="0.25">
      <c r="A99" s="1480" t="s">
        <v>793</v>
      </c>
      <c r="B99" s="1474"/>
      <c r="C99" s="1474"/>
      <c r="D99" s="1474"/>
      <c r="E99" s="1474"/>
      <c r="F99" s="1477"/>
    </row>
    <row r="100" spans="1:17" x14ac:dyDescent="0.2">
      <c r="A100" s="50" t="s">
        <v>0</v>
      </c>
      <c r="B100" s="566">
        <f>L$30</f>
        <v>12</v>
      </c>
      <c r="C100" s="120"/>
      <c r="D100" s="120" t="s">
        <v>1</v>
      </c>
      <c r="E100" s="1027">
        <f>B100*365</f>
        <v>4380</v>
      </c>
      <c r="F100" s="1123"/>
    </row>
    <row r="101" spans="1:17" x14ac:dyDescent="0.2">
      <c r="A101" s="43"/>
      <c r="B101" s="29"/>
      <c r="C101" s="29"/>
      <c r="D101" s="29"/>
      <c r="E101" s="29"/>
      <c r="F101" s="1124"/>
    </row>
    <row r="102" spans="1:17" x14ac:dyDescent="0.2">
      <c r="A102" s="1060"/>
      <c r="B102" s="26"/>
      <c r="C102" s="27" t="s">
        <v>2</v>
      </c>
      <c r="D102" s="27" t="s">
        <v>3</v>
      </c>
      <c r="E102" s="27" t="s">
        <v>4</v>
      </c>
      <c r="F102" s="1124"/>
    </row>
    <row r="103" spans="1:17" x14ac:dyDescent="0.2">
      <c r="A103" s="1062" t="s">
        <v>19</v>
      </c>
      <c r="B103" s="29"/>
      <c r="C103" s="40">
        <f>K14</f>
        <v>56249.210868003516</v>
      </c>
      <c r="D103" s="46">
        <f>L31</f>
        <v>1.75</v>
      </c>
      <c r="E103" s="1028">
        <f>C103*D103</f>
        <v>98436.119019006146</v>
      </c>
      <c r="F103" s="1124"/>
    </row>
    <row r="104" spans="1:17" x14ac:dyDescent="0.2">
      <c r="A104" s="7" t="s">
        <v>227</v>
      </c>
      <c r="B104" s="29"/>
      <c r="C104" s="40"/>
      <c r="D104" s="46"/>
      <c r="E104" s="1028"/>
      <c r="F104" s="1124"/>
    </row>
    <row r="105" spans="1:17" x14ac:dyDescent="0.2">
      <c r="A105" s="11" t="s">
        <v>24</v>
      </c>
      <c r="B105" s="29"/>
      <c r="C105" s="40">
        <f>K17</f>
        <v>69547</v>
      </c>
      <c r="D105" s="46">
        <v>0.4</v>
      </c>
      <c r="E105" s="1028">
        <f>C105*D105</f>
        <v>27818.800000000003</v>
      </c>
      <c r="F105" s="1124"/>
    </row>
    <row r="106" spans="1:17" x14ac:dyDescent="0.2">
      <c r="A106" s="11" t="s">
        <v>26</v>
      </c>
      <c r="B106" s="29"/>
      <c r="C106" s="280">
        <f>K19</f>
        <v>53769.977999999996</v>
      </c>
      <c r="D106" s="46">
        <f>L36</f>
        <v>0.5</v>
      </c>
      <c r="E106" s="1028">
        <f>C106*D106</f>
        <v>26884.988999999998</v>
      </c>
      <c r="F106" s="1124"/>
    </row>
    <row r="107" spans="1:17" x14ac:dyDescent="0.2">
      <c r="A107" s="7" t="s">
        <v>5</v>
      </c>
      <c r="B107" s="29"/>
      <c r="C107" s="40"/>
      <c r="D107" s="46"/>
      <c r="E107" s="1028"/>
      <c r="F107" s="1124"/>
    </row>
    <row r="108" spans="1:17" x14ac:dyDescent="0.2">
      <c r="A108" s="11" t="s">
        <v>59</v>
      </c>
      <c r="B108" s="29"/>
      <c r="C108" s="280">
        <f>I22</f>
        <v>47586.430530000005</v>
      </c>
      <c r="D108" s="46">
        <f>L39</f>
        <v>1</v>
      </c>
      <c r="E108" s="1028">
        <f>C108*D108</f>
        <v>47586.430530000005</v>
      </c>
      <c r="F108" s="1124"/>
    </row>
    <row r="109" spans="1:17" x14ac:dyDescent="0.2">
      <c r="A109" s="11" t="s">
        <v>30</v>
      </c>
      <c r="B109" s="29"/>
      <c r="C109" s="40">
        <f>K23</f>
        <v>30648.887460000002</v>
      </c>
      <c r="D109" s="46">
        <v>13</v>
      </c>
      <c r="E109" s="1028">
        <f>C109*D109</f>
        <v>398435.53698000003</v>
      </c>
      <c r="F109" s="1124"/>
    </row>
    <row r="110" spans="1:17" x14ac:dyDescent="0.2">
      <c r="A110" s="42" t="s">
        <v>31</v>
      </c>
      <c r="B110" s="29"/>
      <c r="C110" s="40">
        <f>K24</f>
        <v>30648.887460000002</v>
      </c>
      <c r="D110" s="46">
        <v>2.0499999999999998</v>
      </c>
      <c r="E110" s="1028">
        <f>C110*D110</f>
        <v>62830.219292999995</v>
      </c>
      <c r="F110" s="1124"/>
    </row>
    <row r="111" spans="1:17" x14ac:dyDescent="0.2">
      <c r="A111" s="7" t="s">
        <v>6</v>
      </c>
      <c r="B111" s="29"/>
      <c r="C111" s="40"/>
      <c r="D111" s="46"/>
      <c r="E111" s="1028"/>
      <c r="F111" s="1124"/>
    </row>
    <row r="112" spans="1:17" x14ac:dyDescent="0.2">
      <c r="A112" s="11" t="s">
        <v>32</v>
      </c>
      <c r="B112" s="29"/>
      <c r="C112" s="40">
        <f>K26</f>
        <v>30648.887460000002</v>
      </c>
      <c r="D112" s="46">
        <f>L43</f>
        <v>0.25</v>
      </c>
      <c r="E112" s="1028">
        <f>C112*D112</f>
        <v>7662.2218650000004</v>
      </c>
      <c r="F112" s="1124"/>
    </row>
    <row r="113" spans="1:6" x14ac:dyDescent="0.2">
      <c r="A113" s="1065" t="s">
        <v>7</v>
      </c>
      <c r="B113" s="31"/>
      <c r="C113" s="31"/>
      <c r="D113" s="32">
        <f>SUM(D103:D112)</f>
        <v>18.95</v>
      </c>
      <c r="E113" s="33">
        <f>SUM(E103:E112)</f>
        <v>669654.31668700604</v>
      </c>
      <c r="F113" s="1124"/>
    </row>
    <row r="114" spans="1:6" x14ac:dyDescent="0.2">
      <c r="A114" s="43"/>
      <c r="B114" s="29"/>
      <c r="C114" s="29"/>
      <c r="D114" s="29"/>
      <c r="E114" s="29"/>
      <c r="F114" s="1124"/>
    </row>
    <row r="115" spans="1:6" x14ac:dyDescent="0.2">
      <c r="A115" s="50" t="s">
        <v>21</v>
      </c>
      <c r="B115" s="29"/>
      <c r="C115" s="29"/>
      <c r="D115" s="120" t="s">
        <v>20</v>
      </c>
      <c r="E115" s="29"/>
      <c r="F115" s="1125"/>
    </row>
    <row r="116" spans="1:6" x14ac:dyDescent="0.2">
      <c r="A116" s="43" t="s">
        <v>22</v>
      </c>
      <c r="B116" s="29"/>
      <c r="C116" s="573">
        <f>$J$46</f>
        <v>0.23424901786252411</v>
      </c>
      <c r="D116" s="29"/>
      <c r="E116" s="1028">
        <f>C116*E113</f>
        <v>156865.86599133085</v>
      </c>
      <c r="F116" s="1124"/>
    </row>
    <row r="117" spans="1:6" x14ac:dyDescent="0.2">
      <c r="A117" s="1065" t="s">
        <v>51</v>
      </c>
      <c r="B117" s="31"/>
      <c r="C117" s="31"/>
      <c r="D117" s="70">
        <f>E117/E100</f>
        <v>188.70323805441481</v>
      </c>
      <c r="E117" s="33">
        <f>E116+E113</f>
        <v>826520.18267833686</v>
      </c>
      <c r="F117" s="1125"/>
    </row>
    <row r="118" spans="1:6" x14ac:dyDescent="0.2">
      <c r="A118" s="43"/>
      <c r="B118" s="29"/>
      <c r="C118" s="29"/>
      <c r="D118" s="29"/>
      <c r="E118" s="29"/>
      <c r="F118" s="1125"/>
    </row>
    <row r="119" spans="1:6" x14ac:dyDescent="0.2">
      <c r="A119" s="43" t="s">
        <v>39</v>
      </c>
      <c r="B119" s="29"/>
      <c r="C119" s="29"/>
      <c r="D119" s="61">
        <v>22.811</v>
      </c>
      <c r="E119" s="752">
        <f>D119*E100</f>
        <v>99912.18</v>
      </c>
      <c r="F119" s="1125"/>
    </row>
    <row r="120" spans="1:6" x14ac:dyDescent="0.2">
      <c r="A120" s="43" t="s">
        <v>40</v>
      </c>
      <c r="B120" s="29"/>
      <c r="C120" s="29"/>
      <c r="D120" s="61">
        <f>$K$51</f>
        <v>17.649999999999999</v>
      </c>
      <c r="E120" s="752">
        <f>D120*E100</f>
        <v>77307</v>
      </c>
      <c r="F120" s="1124"/>
    </row>
    <row r="121" spans="1:6" x14ac:dyDescent="0.2">
      <c r="A121" s="43" t="s">
        <v>42</v>
      </c>
      <c r="B121" s="29"/>
      <c r="C121" s="29"/>
      <c r="D121" s="61">
        <f>$K$53</f>
        <v>-1.9951315068493152</v>
      </c>
      <c r="E121" s="752">
        <f>D121*E100</f>
        <v>-8738.6760000000013</v>
      </c>
      <c r="F121" s="1124"/>
    </row>
    <row r="122" spans="1:6" x14ac:dyDescent="0.2">
      <c r="A122" s="43"/>
      <c r="B122" s="29"/>
      <c r="C122" s="29"/>
      <c r="D122" s="72">
        <f>SUM(D119:D121)</f>
        <v>38.46586849315068</v>
      </c>
      <c r="E122" s="29"/>
      <c r="F122" s="1125"/>
    </row>
    <row r="123" spans="1:6" x14ac:dyDescent="0.2">
      <c r="A123" s="43"/>
      <c r="B123" s="29"/>
      <c r="C123" s="29"/>
      <c r="D123" s="29"/>
      <c r="E123" s="29"/>
      <c r="F123" s="1124"/>
    </row>
    <row r="124" spans="1:6" x14ac:dyDescent="0.2">
      <c r="A124" s="1065" t="s">
        <v>43</v>
      </c>
      <c r="B124" s="31"/>
      <c r="C124" s="31"/>
      <c r="D124" s="31"/>
      <c r="E124" s="33">
        <f>SUM(E117:E121)</f>
        <v>995000.68667833693</v>
      </c>
      <c r="F124" s="1125"/>
    </row>
    <row r="125" spans="1:6" x14ac:dyDescent="0.2">
      <c r="A125" s="43"/>
      <c r="B125" s="29"/>
      <c r="C125" s="29"/>
      <c r="D125" s="29"/>
      <c r="E125" s="29"/>
      <c r="F125" s="1124"/>
    </row>
    <row r="126" spans="1:6" x14ac:dyDescent="0.2">
      <c r="A126" s="43" t="s">
        <v>44</v>
      </c>
      <c r="B126" s="29"/>
      <c r="C126" s="573">
        <f>$J$56</f>
        <v>0.11846733793705286</v>
      </c>
      <c r="D126" s="29"/>
      <c r="E126" s="1028">
        <f>C126*E124</f>
        <v>117875.08259632219</v>
      </c>
      <c r="F126" s="1125"/>
    </row>
    <row r="127" spans="1:6" x14ac:dyDescent="0.2">
      <c r="A127" s="43"/>
      <c r="B127" s="29"/>
      <c r="C127" s="29"/>
      <c r="D127" s="29"/>
      <c r="E127" s="29"/>
      <c r="F127" s="1124"/>
    </row>
    <row r="128" spans="1:6" ht="13.5" thickBot="1" x14ac:dyDescent="0.25">
      <c r="A128" s="1067" t="s">
        <v>52</v>
      </c>
      <c r="B128" s="74"/>
      <c r="C128" s="74"/>
      <c r="D128" s="74"/>
      <c r="E128" s="75">
        <f>SUM(E124:E126)</f>
        <v>1112875.7692746592</v>
      </c>
      <c r="F128" s="1124"/>
    </row>
    <row r="129" spans="1:7" ht="13.5" thickTop="1" x14ac:dyDescent="0.2">
      <c r="A129" s="43"/>
      <c r="B129" s="29"/>
      <c r="C129" s="29"/>
      <c r="D129" s="29"/>
      <c r="E129" s="29"/>
      <c r="F129" s="1124"/>
    </row>
    <row r="130" spans="1:7" x14ac:dyDescent="0.2">
      <c r="A130" s="43"/>
      <c r="B130" s="29"/>
      <c r="C130" s="575"/>
      <c r="D130" s="29"/>
      <c r="E130" s="1029">
        <f>E128*(1+C130)</f>
        <v>1112875.7692746592</v>
      </c>
      <c r="F130" s="1124"/>
    </row>
    <row r="131" spans="1:7" x14ac:dyDescent="0.2">
      <c r="A131" s="43"/>
      <c r="B131" s="29"/>
      <c r="C131" s="29"/>
      <c r="D131" s="29"/>
      <c r="E131" s="29"/>
      <c r="F131" s="1124"/>
    </row>
    <row r="132" spans="1:7" x14ac:dyDescent="0.2">
      <c r="A132" s="43"/>
      <c r="B132" s="29"/>
      <c r="C132" s="29"/>
      <c r="D132" s="29"/>
      <c r="E132" s="753" t="s">
        <v>789</v>
      </c>
      <c r="F132" s="1124"/>
    </row>
    <row r="133" spans="1:7" x14ac:dyDescent="0.2">
      <c r="A133" s="43" t="s">
        <v>55</v>
      </c>
      <c r="B133" s="29"/>
      <c r="C133" s="29"/>
      <c r="D133" s="428">
        <f>E128/E100</f>
        <v>254.08122586179434</v>
      </c>
      <c r="E133" s="428">
        <f>E130/E100</f>
        <v>254.08122586179434</v>
      </c>
      <c r="F133" s="1124"/>
    </row>
    <row r="134" spans="1:7" ht="13.5" thickBot="1" x14ac:dyDescent="0.25">
      <c r="A134" s="1080" t="s">
        <v>762</v>
      </c>
      <c r="B134" s="162"/>
      <c r="C134" s="1026"/>
      <c r="D134" s="398"/>
      <c r="E134" s="398"/>
      <c r="F134" s="1202">
        <f>E133*(1+C134)</f>
        <v>254.08122586179434</v>
      </c>
    </row>
    <row r="135" spans="1:7" ht="13.5" thickBot="1" x14ac:dyDescent="0.25">
      <c r="A135" s="1203" t="s">
        <v>54</v>
      </c>
      <c r="B135" s="1204">
        <v>0.9</v>
      </c>
      <c r="C135" s="1084"/>
      <c r="D135" s="1085"/>
      <c r="E135" s="1205"/>
      <c r="F135" s="1380">
        <f>E133/B135</f>
        <v>282.31247317977147</v>
      </c>
    </row>
    <row r="136" spans="1:7" s="162" customFormat="1" ht="13.5" thickBot="1" x14ac:dyDescent="0.25">
      <c r="A136" s="1373" t="s">
        <v>761</v>
      </c>
      <c r="B136" s="1374"/>
      <c r="C136" s="1375">
        <f>J58</f>
        <v>2.3900000000000001E-2</v>
      </c>
      <c r="D136" s="1085"/>
      <c r="E136" s="1085"/>
      <c r="F136" s="1127">
        <f>F135*(C136+1)</f>
        <v>289.05974128876801</v>
      </c>
    </row>
    <row r="137" spans="1:7" s="162" customFormat="1" x14ac:dyDescent="0.2">
      <c r="B137" s="415"/>
      <c r="D137" s="389"/>
      <c r="E137" s="389"/>
      <c r="F137" s="1121"/>
    </row>
    <row r="138" spans="1:7" s="162" customFormat="1" x14ac:dyDescent="0.2">
      <c r="D138" s="1197"/>
      <c r="E138" s="394"/>
      <c r="F138" s="1121"/>
      <c r="G138" s="394"/>
    </row>
    <row r="139" spans="1:7" s="162" customFormat="1" x14ac:dyDescent="0.2">
      <c r="F139" s="1192"/>
    </row>
  </sheetData>
  <mergeCells count="9">
    <mergeCell ref="F98:F99"/>
    <mergeCell ref="A99:E99"/>
    <mergeCell ref="H1:K1"/>
    <mergeCell ref="I3:J3"/>
    <mergeCell ref="F6:F7"/>
    <mergeCell ref="A7:E7"/>
    <mergeCell ref="F52:F53"/>
    <mergeCell ref="A53:E53"/>
    <mergeCell ref="A5:F5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rowBreaks count="2" manualBreakCount="2">
    <brk id="51" max="5" man="1"/>
    <brk id="9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4"/>
  <sheetViews>
    <sheetView topLeftCell="AM1" zoomScale="85" zoomScaleNormal="85" workbookViewId="0">
      <selection activeCell="AU45" sqref="AU45"/>
    </sheetView>
  </sheetViews>
  <sheetFormatPr defaultColWidth="9.140625" defaultRowHeight="12.75" x14ac:dyDescent="0.2"/>
  <cols>
    <col min="1" max="1" width="38.42578125" style="485" customWidth="1"/>
    <col min="2" max="2" width="12.85546875" style="486" customWidth="1"/>
    <col min="3" max="68" width="10.7109375" style="485" customWidth="1"/>
    <col min="69" max="69" width="10.7109375" style="713" customWidth="1"/>
    <col min="70" max="72" width="10.7109375" style="485" customWidth="1"/>
    <col min="73" max="73" width="40.85546875" style="485" customWidth="1"/>
    <col min="74" max="74" width="10.7109375" style="485" customWidth="1"/>
    <col min="75" max="256" width="9.140625" style="485"/>
    <col min="257" max="257" width="38.42578125" style="485" customWidth="1"/>
    <col min="258" max="258" width="12.85546875" style="485" customWidth="1"/>
    <col min="259" max="330" width="10.7109375" style="485" customWidth="1"/>
    <col min="331" max="512" width="9.140625" style="485"/>
    <col min="513" max="513" width="38.42578125" style="485" customWidth="1"/>
    <col min="514" max="514" width="12.85546875" style="485" customWidth="1"/>
    <col min="515" max="586" width="10.7109375" style="485" customWidth="1"/>
    <col min="587" max="768" width="9.140625" style="485"/>
    <col min="769" max="769" width="38.42578125" style="485" customWidth="1"/>
    <col min="770" max="770" width="12.85546875" style="485" customWidth="1"/>
    <col min="771" max="842" width="10.7109375" style="485" customWidth="1"/>
    <col min="843" max="1024" width="9.140625" style="485"/>
    <col min="1025" max="1025" width="38.42578125" style="485" customWidth="1"/>
    <col min="1026" max="1026" width="12.85546875" style="485" customWidth="1"/>
    <col min="1027" max="1098" width="10.7109375" style="485" customWidth="1"/>
    <col min="1099" max="1280" width="9.140625" style="485"/>
    <col min="1281" max="1281" width="38.42578125" style="485" customWidth="1"/>
    <col min="1282" max="1282" width="12.85546875" style="485" customWidth="1"/>
    <col min="1283" max="1354" width="10.7109375" style="485" customWidth="1"/>
    <col min="1355" max="1536" width="9.140625" style="485"/>
    <col min="1537" max="1537" width="38.42578125" style="485" customWidth="1"/>
    <col min="1538" max="1538" width="12.85546875" style="485" customWidth="1"/>
    <col min="1539" max="1610" width="10.7109375" style="485" customWidth="1"/>
    <col min="1611" max="1792" width="9.140625" style="485"/>
    <col min="1793" max="1793" width="38.42578125" style="485" customWidth="1"/>
    <col min="1794" max="1794" width="12.85546875" style="485" customWidth="1"/>
    <col min="1795" max="1866" width="10.7109375" style="485" customWidth="1"/>
    <col min="1867" max="2048" width="9.140625" style="485"/>
    <col min="2049" max="2049" width="38.42578125" style="485" customWidth="1"/>
    <col min="2050" max="2050" width="12.85546875" style="485" customWidth="1"/>
    <col min="2051" max="2122" width="10.7109375" style="485" customWidth="1"/>
    <col min="2123" max="2304" width="9.140625" style="485"/>
    <col min="2305" max="2305" width="38.42578125" style="485" customWidth="1"/>
    <col min="2306" max="2306" width="12.85546875" style="485" customWidth="1"/>
    <col min="2307" max="2378" width="10.7109375" style="485" customWidth="1"/>
    <col min="2379" max="2560" width="9.140625" style="485"/>
    <col min="2561" max="2561" width="38.42578125" style="485" customWidth="1"/>
    <col min="2562" max="2562" width="12.85546875" style="485" customWidth="1"/>
    <col min="2563" max="2634" width="10.7109375" style="485" customWidth="1"/>
    <col min="2635" max="2816" width="9.140625" style="485"/>
    <col min="2817" max="2817" width="38.42578125" style="485" customWidth="1"/>
    <col min="2818" max="2818" width="12.85546875" style="485" customWidth="1"/>
    <col min="2819" max="2890" width="10.7109375" style="485" customWidth="1"/>
    <col min="2891" max="3072" width="9.140625" style="485"/>
    <col min="3073" max="3073" width="38.42578125" style="485" customWidth="1"/>
    <col min="3074" max="3074" width="12.85546875" style="485" customWidth="1"/>
    <col min="3075" max="3146" width="10.7109375" style="485" customWidth="1"/>
    <col min="3147" max="3328" width="9.140625" style="485"/>
    <col min="3329" max="3329" width="38.42578125" style="485" customWidth="1"/>
    <col min="3330" max="3330" width="12.85546875" style="485" customWidth="1"/>
    <col min="3331" max="3402" width="10.7109375" style="485" customWidth="1"/>
    <col min="3403" max="3584" width="9.140625" style="485"/>
    <col min="3585" max="3585" width="38.42578125" style="485" customWidth="1"/>
    <col min="3586" max="3586" width="12.85546875" style="485" customWidth="1"/>
    <col min="3587" max="3658" width="10.7109375" style="485" customWidth="1"/>
    <col min="3659" max="3840" width="9.140625" style="485"/>
    <col min="3841" max="3841" width="38.42578125" style="485" customWidth="1"/>
    <col min="3842" max="3842" width="12.85546875" style="485" customWidth="1"/>
    <col min="3843" max="3914" width="10.7109375" style="485" customWidth="1"/>
    <col min="3915" max="4096" width="9.140625" style="485"/>
    <col min="4097" max="4097" width="38.42578125" style="485" customWidth="1"/>
    <col min="4098" max="4098" width="12.85546875" style="485" customWidth="1"/>
    <col min="4099" max="4170" width="10.7109375" style="485" customWidth="1"/>
    <col min="4171" max="4352" width="9.140625" style="485"/>
    <col min="4353" max="4353" width="38.42578125" style="485" customWidth="1"/>
    <col min="4354" max="4354" width="12.85546875" style="485" customWidth="1"/>
    <col min="4355" max="4426" width="10.7109375" style="485" customWidth="1"/>
    <col min="4427" max="4608" width="9.140625" style="485"/>
    <col min="4609" max="4609" width="38.42578125" style="485" customWidth="1"/>
    <col min="4610" max="4610" width="12.85546875" style="485" customWidth="1"/>
    <col min="4611" max="4682" width="10.7109375" style="485" customWidth="1"/>
    <col min="4683" max="4864" width="9.140625" style="485"/>
    <col min="4865" max="4865" width="38.42578125" style="485" customWidth="1"/>
    <col min="4866" max="4866" width="12.85546875" style="485" customWidth="1"/>
    <col min="4867" max="4938" width="10.7109375" style="485" customWidth="1"/>
    <col min="4939" max="5120" width="9.140625" style="485"/>
    <col min="5121" max="5121" width="38.42578125" style="485" customWidth="1"/>
    <col min="5122" max="5122" width="12.85546875" style="485" customWidth="1"/>
    <col min="5123" max="5194" width="10.7109375" style="485" customWidth="1"/>
    <col min="5195" max="5376" width="9.140625" style="485"/>
    <col min="5377" max="5377" width="38.42578125" style="485" customWidth="1"/>
    <col min="5378" max="5378" width="12.85546875" style="485" customWidth="1"/>
    <col min="5379" max="5450" width="10.7109375" style="485" customWidth="1"/>
    <col min="5451" max="5632" width="9.140625" style="485"/>
    <col min="5633" max="5633" width="38.42578125" style="485" customWidth="1"/>
    <col min="5634" max="5634" width="12.85546875" style="485" customWidth="1"/>
    <col min="5635" max="5706" width="10.7109375" style="485" customWidth="1"/>
    <col min="5707" max="5888" width="9.140625" style="485"/>
    <col min="5889" max="5889" width="38.42578125" style="485" customWidth="1"/>
    <col min="5890" max="5890" width="12.85546875" style="485" customWidth="1"/>
    <col min="5891" max="5962" width="10.7109375" style="485" customWidth="1"/>
    <col min="5963" max="6144" width="9.140625" style="485"/>
    <col min="6145" max="6145" width="38.42578125" style="485" customWidth="1"/>
    <col min="6146" max="6146" width="12.85546875" style="485" customWidth="1"/>
    <col min="6147" max="6218" width="10.7109375" style="485" customWidth="1"/>
    <col min="6219" max="6400" width="9.140625" style="485"/>
    <col min="6401" max="6401" width="38.42578125" style="485" customWidth="1"/>
    <col min="6402" max="6402" width="12.85546875" style="485" customWidth="1"/>
    <col min="6403" max="6474" width="10.7109375" style="485" customWidth="1"/>
    <col min="6475" max="6656" width="9.140625" style="485"/>
    <col min="6657" max="6657" width="38.42578125" style="485" customWidth="1"/>
    <col min="6658" max="6658" width="12.85546875" style="485" customWidth="1"/>
    <col min="6659" max="6730" width="10.7109375" style="485" customWidth="1"/>
    <col min="6731" max="6912" width="9.140625" style="485"/>
    <col min="6913" max="6913" width="38.42578125" style="485" customWidth="1"/>
    <col min="6914" max="6914" width="12.85546875" style="485" customWidth="1"/>
    <col min="6915" max="6986" width="10.7109375" style="485" customWidth="1"/>
    <col min="6987" max="7168" width="9.140625" style="485"/>
    <col min="7169" max="7169" width="38.42578125" style="485" customWidth="1"/>
    <col min="7170" max="7170" width="12.85546875" style="485" customWidth="1"/>
    <col min="7171" max="7242" width="10.7109375" style="485" customWidth="1"/>
    <col min="7243" max="7424" width="9.140625" style="485"/>
    <col min="7425" max="7425" width="38.42578125" style="485" customWidth="1"/>
    <col min="7426" max="7426" width="12.85546875" style="485" customWidth="1"/>
    <col min="7427" max="7498" width="10.7109375" style="485" customWidth="1"/>
    <col min="7499" max="7680" width="9.140625" style="485"/>
    <col min="7681" max="7681" width="38.42578125" style="485" customWidth="1"/>
    <col min="7682" max="7682" width="12.85546875" style="485" customWidth="1"/>
    <col min="7683" max="7754" width="10.7109375" style="485" customWidth="1"/>
    <col min="7755" max="7936" width="9.140625" style="485"/>
    <col min="7937" max="7937" width="38.42578125" style="485" customWidth="1"/>
    <col min="7938" max="7938" width="12.85546875" style="485" customWidth="1"/>
    <col min="7939" max="8010" width="10.7109375" style="485" customWidth="1"/>
    <col min="8011" max="8192" width="9.140625" style="485"/>
    <col min="8193" max="8193" width="38.42578125" style="485" customWidth="1"/>
    <col min="8194" max="8194" width="12.85546875" style="485" customWidth="1"/>
    <col min="8195" max="8266" width="10.7109375" style="485" customWidth="1"/>
    <col min="8267" max="8448" width="9.140625" style="485"/>
    <col min="8449" max="8449" width="38.42578125" style="485" customWidth="1"/>
    <col min="8450" max="8450" width="12.85546875" style="485" customWidth="1"/>
    <col min="8451" max="8522" width="10.7109375" style="485" customWidth="1"/>
    <col min="8523" max="8704" width="9.140625" style="485"/>
    <col min="8705" max="8705" width="38.42578125" style="485" customWidth="1"/>
    <col min="8706" max="8706" width="12.85546875" style="485" customWidth="1"/>
    <col min="8707" max="8778" width="10.7109375" style="485" customWidth="1"/>
    <col min="8779" max="8960" width="9.140625" style="485"/>
    <col min="8961" max="8961" width="38.42578125" style="485" customWidth="1"/>
    <col min="8962" max="8962" width="12.85546875" style="485" customWidth="1"/>
    <col min="8963" max="9034" width="10.7109375" style="485" customWidth="1"/>
    <col min="9035" max="9216" width="9.140625" style="485"/>
    <col min="9217" max="9217" width="38.42578125" style="485" customWidth="1"/>
    <col min="9218" max="9218" width="12.85546875" style="485" customWidth="1"/>
    <col min="9219" max="9290" width="10.7109375" style="485" customWidth="1"/>
    <col min="9291" max="9472" width="9.140625" style="485"/>
    <col min="9473" max="9473" width="38.42578125" style="485" customWidth="1"/>
    <col min="9474" max="9474" width="12.85546875" style="485" customWidth="1"/>
    <col min="9475" max="9546" width="10.7109375" style="485" customWidth="1"/>
    <col min="9547" max="9728" width="9.140625" style="485"/>
    <col min="9729" max="9729" width="38.42578125" style="485" customWidth="1"/>
    <col min="9730" max="9730" width="12.85546875" style="485" customWidth="1"/>
    <col min="9731" max="9802" width="10.7109375" style="485" customWidth="1"/>
    <col min="9803" max="9984" width="9.140625" style="485"/>
    <col min="9985" max="9985" width="38.42578125" style="485" customWidth="1"/>
    <col min="9986" max="9986" width="12.85546875" style="485" customWidth="1"/>
    <col min="9987" max="10058" width="10.7109375" style="485" customWidth="1"/>
    <col min="10059" max="10240" width="9.140625" style="485"/>
    <col min="10241" max="10241" width="38.42578125" style="485" customWidth="1"/>
    <col min="10242" max="10242" width="12.85546875" style="485" customWidth="1"/>
    <col min="10243" max="10314" width="10.7109375" style="485" customWidth="1"/>
    <col min="10315" max="10496" width="9.140625" style="485"/>
    <col min="10497" max="10497" width="38.42578125" style="485" customWidth="1"/>
    <col min="10498" max="10498" width="12.85546875" style="485" customWidth="1"/>
    <col min="10499" max="10570" width="10.7109375" style="485" customWidth="1"/>
    <col min="10571" max="10752" width="9.140625" style="485"/>
    <col min="10753" max="10753" width="38.42578125" style="485" customWidth="1"/>
    <col min="10754" max="10754" width="12.85546875" style="485" customWidth="1"/>
    <col min="10755" max="10826" width="10.7109375" style="485" customWidth="1"/>
    <col min="10827" max="11008" width="9.140625" style="485"/>
    <col min="11009" max="11009" width="38.42578125" style="485" customWidth="1"/>
    <col min="11010" max="11010" width="12.85546875" style="485" customWidth="1"/>
    <col min="11011" max="11082" width="10.7109375" style="485" customWidth="1"/>
    <col min="11083" max="11264" width="9.140625" style="485"/>
    <col min="11265" max="11265" width="38.42578125" style="485" customWidth="1"/>
    <col min="11266" max="11266" width="12.85546875" style="485" customWidth="1"/>
    <col min="11267" max="11338" width="10.7109375" style="485" customWidth="1"/>
    <col min="11339" max="11520" width="9.140625" style="485"/>
    <col min="11521" max="11521" width="38.42578125" style="485" customWidth="1"/>
    <col min="11522" max="11522" width="12.85546875" style="485" customWidth="1"/>
    <col min="11523" max="11594" width="10.7109375" style="485" customWidth="1"/>
    <col min="11595" max="11776" width="9.140625" style="485"/>
    <col min="11777" max="11777" width="38.42578125" style="485" customWidth="1"/>
    <col min="11778" max="11778" width="12.85546875" style="485" customWidth="1"/>
    <col min="11779" max="11850" width="10.7109375" style="485" customWidth="1"/>
    <col min="11851" max="12032" width="9.140625" style="485"/>
    <col min="12033" max="12033" width="38.42578125" style="485" customWidth="1"/>
    <col min="12034" max="12034" width="12.85546875" style="485" customWidth="1"/>
    <col min="12035" max="12106" width="10.7109375" style="485" customWidth="1"/>
    <col min="12107" max="12288" width="9.140625" style="485"/>
    <col min="12289" max="12289" width="38.42578125" style="485" customWidth="1"/>
    <col min="12290" max="12290" width="12.85546875" style="485" customWidth="1"/>
    <col min="12291" max="12362" width="10.7109375" style="485" customWidth="1"/>
    <col min="12363" max="12544" width="9.140625" style="485"/>
    <col min="12545" max="12545" width="38.42578125" style="485" customWidth="1"/>
    <col min="12546" max="12546" width="12.85546875" style="485" customWidth="1"/>
    <col min="12547" max="12618" width="10.7109375" style="485" customWidth="1"/>
    <col min="12619" max="12800" width="9.140625" style="485"/>
    <col min="12801" max="12801" width="38.42578125" style="485" customWidth="1"/>
    <col min="12802" max="12802" width="12.85546875" style="485" customWidth="1"/>
    <col min="12803" max="12874" width="10.7109375" style="485" customWidth="1"/>
    <col min="12875" max="13056" width="9.140625" style="485"/>
    <col min="13057" max="13057" width="38.42578125" style="485" customWidth="1"/>
    <col min="13058" max="13058" width="12.85546875" style="485" customWidth="1"/>
    <col min="13059" max="13130" width="10.7109375" style="485" customWidth="1"/>
    <col min="13131" max="13312" width="9.140625" style="485"/>
    <col min="13313" max="13313" width="38.42578125" style="485" customWidth="1"/>
    <col min="13314" max="13314" width="12.85546875" style="485" customWidth="1"/>
    <col min="13315" max="13386" width="10.7109375" style="485" customWidth="1"/>
    <col min="13387" max="13568" width="9.140625" style="485"/>
    <col min="13569" max="13569" width="38.42578125" style="485" customWidth="1"/>
    <col min="13570" max="13570" width="12.85546875" style="485" customWidth="1"/>
    <col min="13571" max="13642" width="10.7109375" style="485" customWidth="1"/>
    <col min="13643" max="13824" width="9.140625" style="485"/>
    <col min="13825" max="13825" width="38.42578125" style="485" customWidth="1"/>
    <col min="13826" max="13826" width="12.85546875" style="485" customWidth="1"/>
    <col min="13827" max="13898" width="10.7109375" style="485" customWidth="1"/>
    <col min="13899" max="14080" width="9.140625" style="485"/>
    <col min="14081" max="14081" width="38.42578125" style="485" customWidth="1"/>
    <col min="14082" max="14082" width="12.85546875" style="485" customWidth="1"/>
    <col min="14083" max="14154" width="10.7109375" style="485" customWidth="1"/>
    <col min="14155" max="14336" width="9.140625" style="485"/>
    <col min="14337" max="14337" width="38.42578125" style="485" customWidth="1"/>
    <col min="14338" max="14338" width="12.85546875" style="485" customWidth="1"/>
    <col min="14339" max="14410" width="10.7109375" style="485" customWidth="1"/>
    <col min="14411" max="14592" width="9.140625" style="485"/>
    <col min="14593" max="14593" width="38.42578125" style="485" customWidth="1"/>
    <col min="14594" max="14594" width="12.85546875" style="485" customWidth="1"/>
    <col min="14595" max="14666" width="10.7109375" style="485" customWidth="1"/>
    <col min="14667" max="14848" width="9.140625" style="485"/>
    <col min="14849" max="14849" width="38.42578125" style="485" customWidth="1"/>
    <col min="14850" max="14850" width="12.85546875" style="485" customWidth="1"/>
    <col min="14851" max="14922" width="10.7109375" style="485" customWidth="1"/>
    <col min="14923" max="15104" width="9.140625" style="485"/>
    <col min="15105" max="15105" width="38.42578125" style="485" customWidth="1"/>
    <col min="15106" max="15106" width="12.85546875" style="485" customWidth="1"/>
    <col min="15107" max="15178" width="10.7109375" style="485" customWidth="1"/>
    <col min="15179" max="15360" width="9.140625" style="485"/>
    <col min="15361" max="15361" width="38.42578125" style="485" customWidth="1"/>
    <col min="15362" max="15362" width="12.85546875" style="485" customWidth="1"/>
    <col min="15363" max="15434" width="10.7109375" style="485" customWidth="1"/>
    <col min="15435" max="15616" width="9.140625" style="485"/>
    <col min="15617" max="15617" width="38.42578125" style="485" customWidth="1"/>
    <col min="15618" max="15618" width="12.85546875" style="485" customWidth="1"/>
    <col min="15619" max="15690" width="10.7109375" style="485" customWidth="1"/>
    <col min="15691" max="15872" width="9.140625" style="485"/>
    <col min="15873" max="15873" width="38.42578125" style="485" customWidth="1"/>
    <col min="15874" max="15874" width="12.85546875" style="485" customWidth="1"/>
    <col min="15875" max="15946" width="10.7109375" style="485" customWidth="1"/>
    <col min="15947" max="16128" width="9.140625" style="485"/>
    <col min="16129" max="16129" width="38.42578125" style="485" customWidth="1"/>
    <col min="16130" max="16130" width="12.85546875" style="485" customWidth="1"/>
    <col min="16131" max="16202" width="10.7109375" style="485" customWidth="1"/>
    <col min="16203" max="16384" width="9.140625" style="485"/>
  </cols>
  <sheetData>
    <row r="1" spans="1:75" ht="17.45" x14ac:dyDescent="0.3">
      <c r="A1" s="1416" t="s">
        <v>449</v>
      </c>
      <c r="B1" s="1417"/>
    </row>
    <row r="2" spans="1:75" ht="15.6" x14ac:dyDescent="0.3">
      <c r="A2" s="523" t="s">
        <v>472</v>
      </c>
      <c r="B2" s="524"/>
    </row>
    <row r="3" spans="1:75" ht="14.45" thickBot="1" x14ac:dyDescent="0.3">
      <c r="A3" s="525" t="s">
        <v>448</v>
      </c>
      <c r="B3" s="526"/>
    </row>
    <row r="5" spans="1:75" ht="13.15" x14ac:dyDescent="0.25">
      <c r="AK5" s="527"/>
    </row>
    <row r="6" spans="1:75" ht="13.15" x14ac:dyDescent="0.25">
      <c r="AG6" s="528" t="s">
        <v>447</v>
      </c>
      <c r="AH6" s="528" t="s">
        <v>447</v>
      </c>
      <c r="AI6" s="528" t="s">
        <v>447</v>
      </c>
      <c r="AJ6" s="528" t="s">
        <v>447</v>
      </c>
      <c r="AK6" s="529" t="s">
        <v>446</v>
      </c>
      <c r="AL6" s="529" t="s">
        <v>446</v>
      </c>
      <c r="AM6" s="529" t="s">
        <v>446</v>
      </c>
      <c r="AN6" s="529" t="s">
        <v>446</v>
      </c>
      <c r="AO6" s="530" t="s">
        <v>445</v>
      </c>
      <c r="AP6" s="530" t="s">
        <v>445</v>
      </c>
      <c r="AQ6" s="530" t="s">
        <v>445</v>
      </c>
      <c r="AR6" s="530" t="s">
        <v>445</v>
      </c>
      <c r="AS6" s="531" t="s">
        <v>444</v>
      </c>
      <c r="AT6" s="532" t="s">
        <v>444</v>
      </c>
      <c r="AU6" s="532" t="s">
        <v>444</v>
      </c>
      <c r="AV6" s="533" t="s">
        <v>444</v>
      </c>
      <c r="AW6" s="534" t="s">
        <v>443</v>
      </c>
      <c r="AX6" s="534" t="s">
        <v>443</v>
      </c>
      <c r="AY6" s="534" t="s">
        <v>443</v>
      </c>
      <c r="AZ6" s="534" t="s">
        <v>443</v>
      </c>
      <c r="BA6" s="535" t="s">
        <v>442</v>
      </c>
      <c r="BB6" s="535" t="s">
        <v>442</v>
      </c>
      <c r="BC6" s="535" t="s">
        <v>442</v>
      </c>
      <c r="BD6" s="535" t="s">
        <v>442</v>
      </c>
      <c r="BE6" s="536" t="s">
        <v>441</v>
      </c>
      <c r="BF6" s="536" t="s">
        <v>441</v>
      </c>
      <c r="BG6" s="536" t="s">
        <v>441</v>
      </c>
      <c r="BH6" s="536" t="s">
        <v>441</v>
      </c>
      <c r="BI6" s="537" t="s">
        <v>473</v>
      </c>
      <c r="BJ6" s="537" t="s">
        <v>473</v>
      </c>
      <c r="BK6" s="537" t="s">
        <v>473</v>
      </c>
      <c r="BL6" s="537" t="s">
        <v>473</v>
      </c>
    </row>
    <row r="7" spans="1:75" s="486" customFormat="1" ht="13.15" x14ac:dyDescent="0.25">
      <c r="B7" s="486" t="s">
        <v>440</v>
      </c>
      <c r="C7" s="538" t="s">
        <v>439</v>
      </c>
      <c r="D7" s="538" t="s">
        <v>438</v>
      </c>
      <c r="E7" s="538" t="s">
        <v>437</v>
      </c>
      <c r="F7" s="538" t="s">
        <v>436</v>
      </c>
      <c r="G7" s="538" t="s">
        <v>435</v>
      </c>
      <c r="H7" s="538" t="s">
        <v>434</v>
      </c>
      <c r="I7" s="538" t="s">
        <v>433</v>
      </c>
      <c r="J7" s="538" t="s">
        <v>432</v>
      </c>
      <c r="K7" s="538" t="s">
        <v>431</v>
      </c>
      <c r="L7" s="538" t="s">
        <v>430</v>
      </c>
      <c r="M7" s="538" t="s">
        <v>429</v>
      </c>
      <c r="N7" s="538" t="s">
        <v>428</v>
      </c>
      <c r="O7" s="538" t="s">
        <v>427</v>
      </c>
      <c r="P7" s="538" t="s">
        <v>426</v>
      </c>
      <c r="Q7" s="538" t="s">
        <v>425</v>
      </c>
      <c r="R7" s="538" t="s">
        <v>424</v>
      </c>
      <c r="S7" s="538" t="s">
        <v>423</v>
      </c>
      <c r="T7" s="538" t="s">
        <v>422</v>
      </c>
      <c r="U7" s="538" t="s">
        <v>421</v>
      </c>
      <c r="V7" s="538" t="s">
        <v>420</v>
      </c>
      <c r="W7" s="538" t="s">
        <v>419</v>
      </c>
      <c r="X7" s="538" t="s">
        <v>418</v>
      </c>
      <c r="Y7" s="538" t="s">
        <v>417</v>
      </c>
      <c r="Z7" s="538" t="s">
        <v>416</v>
      </c>
      <c r="AA7" s="538" t="s">
        <v>415</v>
      </c>
      <c r="AB7" s="538" t="s">
        <v>414</v>
      </c>
      <c r="AC7" s="538" t="s">
        <v>413</v>
      </c>
      <c r="AD7" s="538" t="s">
        <v>412</v>
      </c>
      <c r="AE7" s="538" t="s">
        <v>411</v>
      </c>
      <c r="AF7" s="538" t="s">
        <v>410</v>
      </c>
      <c r="AG7" s="538" t="s">
        <v>409</v>
      </c>
      <c r="AH7" s="538" t="s">
        <v>408</v>
      </c>
      <c r="AI7" s="538" t="s">
        <v>407</v>
      </c>
      <c r="AJ7" s="538" t="s">
        <v>406</v>
      </c>
      <c r="AK7" s="538" t="s">
        <v>405</v>
      </c>
      <c r="AL7" s="538" t="s">
        <v>404</v>
      </c>
      <c r="AM7" s="538" t="s">
        <v>403</v>
      </c>
      <c r="AN7" s="538" t="s">
        <v>402</v>
      </c>
      <c r="AO7" s="538" t="s">
        <v>401</v>
      </c>
      <c r="AP7" s="538" t="s">
        <v>400</v>
      </c>
      <c r="AQ7" s="538" t="s">
        <v>399</v>
      </c>
      <c r="AR7" s="538" t="s">
        <v>398</v>
      </c>
      <c r="AS7" s="538" t="s">
        <v>397</v>
      </c>
      <c r="AT7" s="538" t="s">
        <v>396</v>
      </c>
      <c r="AU7" s="486" t="s">
        <v>395</v>
      </c>
      <c r="AV7" s="486" t="s">
        <v>394</v>
      </c>
      <c r="AW7" s="486" t="s">
        <v>393</v>
      </c>
      <c r="AX7" s="486" t="s">
        <v>392</v>
      </c>
      <c r="AY7" s="486" t="s">
        <v>391</v>
      </c>
      <c r="AZ7" s="486" t="s">
        <v>390</v>
      </c>
      <c r="BA7" s="486" t="s">
        <v>389</v>
      </c>
      <c r="BB7" s="486" t="s">
        <v>388</v>
      </c>
      <c r="BC7" s="486" t="s">
        <v>387</v>
      </c>
      <c r="BD7" s="486" t="s">
        <v>386</v>
      </c>
      <c r="BE7" s="486" t="s">
        <v>385</v>
      </c>
      <c r="BF7" s="486" t="s">
        <v>384</v>
      </c>
      <c r="BG7" s="486" t="s">
        <v>383</v>
      </c>
      <c r="BH7" s="486" t="s">
        <v>382</v>
      </c>
      <c r="BI7" s="486" t="s">
        <v>381</v>
      </c>
      <c r="BJ7" s="486" t="s">
        <v>380</v>
      </c>
      <c r="BK7" s="486" t="s">
        <v>379</v>
      </c>
      <c r="BL7" s="486" t="s">
        <v>378</v>
      </c>
      <c r="BM7" s="486" t="s">
        <v>377</v>
      </c>
      <c r="BN7" s="486" t="s">
        <v>376</v>
      </c>
      <c r="BO7" s="486" t="s">
        <v>375</v>
      </c>
      <c r="BP7" s="486" t="s">
        <v>374</v>
      </c>
      <c r="BQ7" s="714" t="s">
        <v>373</v>
      </c>
      <c r="BR7" s="486" t="s">
        <v>372</v>
      </c>
      <c r="BS7" s="486" t="s">
        <v>371</v>
      </c>
      <c r="BT7" s="486" t="s">
        <v>370</v>
      </c>
      <c r="BU7" s="486" t="s">
        <v>369</v>
      </c>
      <c r="BV7" s="486" t="s">
        <v>368</v>
      </c>
      <c r="BW7" s="486" t="s">
        <v>367</v>
      </c>
    </row>
    <row r="8" spans="1:75" ht="13.15" x14ac:dyDescent="0.25">
      <c r="A8" s="486" t="s">
        <v>366</v>
      </c>
      <c r="B8" s="486" t="s">
        <v>365</v>
      </c>
      <c r="C8" s="539">
        <v>2.036</v>
      </c>
      <c r="D8" s="539">
        <v>2.0609999999999999</v>
      </c>
      <c r="E8" s="539">
        <v>2.0659999999999998</v>
      </c>
      <c r="F8" s="539">
        <v>2.089</v>
      </c>
      <c r="G8" s="539">
        <v>2.105</v>
      </c>
      <c r="H8" s="539">
        <v>2.1160000000000001</v>
      </c>
      <c r="I8" s="539">
        <v>2.15</v>
      </c>
      <c r="J8" s="539">
        <v>2.1709999999999998</v>
      </c>
      <c r="K8" s="539">
        <v>2.1880000000000002</v>
      </c>
      <c r="L8" s="539">
        <v>2.2149999999999999</v>
      </c>
      <c r="M8" s="539">
        <v>2.2349999999999999</v>
      </c>
      <c r="N8" s="539">
        <v>2.2229999999999999</v>
      </c>
      <c r="O8" s="539">
        <v>2.2349999999999999</v>
      </c>
      <c r="P8" s="539">
        <v>2.2599999999999998</v>
      </c>
      <c r="Q8" s="539">
        <v>2.2759999999999998</v>
      </c>
      <c r="R8" s="539">
        <v>2.3029999999999999</v>
      </c>
      <c r="S8" s="539">
        <v>2.3210000000000002</v>
      </c>
      <c r="T8" s="539">
        <v>2.363</v>
      </c>
      <c r="U8" s="539">
        <v>2.403</v>
      </c>
      <c r="V8" s="539">
        <v>2.3519999999999999</v>
      </c>
      <c r="W8" s="539">
        <v>2.3460000000000001</v>
      </c>
      <c r="X8" s="539">
        <v>2.351</v>
      </c>
      <c r="Y8" s="539">
        <v>2.371</v>
      </c>
      <c r="Z8" s="539">
        <v>2.3839999999999999</v>
      </c>
      <c r="AA8" s="539">
        <v>2.3839999999999999</v>
      </c>
      <c r="AB8" s="539">
        <v>2.3849999999999998</v>
      </c>
      <c r="AC8" s="539">
        <v>2.399</v>
      </c>
      <c r="AD8" s="539">
        <v>2.4220000000000002</v>
      </c>
      <c r="AE8" s="539">
        <v>2.4359999999999999</v>
      </c>
      <c r="AF8" s="539">
        <v>2.4790000000000001</v>
      </c>
      <c r="AG8" s="539">
        <v>2.4889999999999999</v>
      </c>
      <c r="AH8" s="539">
        <v>2.4969999999999999</v>
      </c>
      <c r="AI8" s="539">
        <v>2.5169999999999999</v>
      </c>
      <c r="AJ8" s="539">
        <v>2.52</v>
      </c>
      <c r="AK8" s="539">
        <v>2.528</v>
      </c>
      <c r="AL8" s="539">
        <v>2.5470000000000002</v>
      </c>
      <c r="AM8" s="539">
        <v>2.56</v>
      </c>
      <c r="AN8" s="539">
        <v>2.556</v>
      </c>
      <c r="AO8" s="539">
        <v>2.573</v>
      </c>
      <c r="AP8" s="539">
        <v>2.589</v>
      </c>
      <c r="AQ8" s="539">
        <v>2.6030000000000002</v>
      </c>
      <c r="AR8" s="539">
        <v>2.61</v>
      </c>
      <c r="AS8" s="539">
        <v>2.613</v>
      </c>
      <c r="AT8" s="539">
        <v>2.6070000000000002</v>
      </c>
      <c r="AU8" s="485">
        <v>2.5859999999999999</v>
      </c>
      <c r="AV8" s="485">
        <v>2.5819999999999999</v>
      </c>
      <c r="AW8" s="485">
        <v>2.5939999999999999</v>
      </c>
      <c r="AX8" s="485">
        <v>2.6120000000000001</v>
      </c>
      <c r="AY8" s="485">
        <v>2.6219999999999999</v>
      </c>
      <c r="AZ8" s="485">
        <v>2.641</v>
      </c>
      <c r="BA8" s="485">
        <v>2.66</v>
      </c>
      <c r="BB8" s="485">
        <v>2.6779999999999999</v>
      </c>
      <c r="BC8" s="485">
        <v>2.6890000000000001</v>
      </c>
      <c r="BD8" s="485">
        <v>2.7069999999999999</v>
      </c>
      <c r="BE8" s="485">
        <v>2.7250000000000001</v>
      </c>
      <c r="BF8" s="485">
        <v>2.7440000000000002</v>
      </c>
      <c r="BG8" s="485">
        <v>2.762</v>
      </c>
      <c r="BH8" s="485">
        <v>2.78</v>
      </c>
      <c r="BI8" s="485">
        <v>2.798</v>
      </c>
      <c r="BJ8" s="485">
        <v>2.8159999999999998</v>
      </c>
      <c r="BK8" s="485">
        <v>2.8359999999999999</v>
      </c>
      <c r="BL8" s="485">
        <v>2.8530000000000002</v>
      </c>
      <c r="BM8" s="485">
        <v>2.8690000000000002</v>
      </c>
      <c r="BN8" s="485">
        <v>2.8839999999999999</v>
      </c>
      <c r="BO8" s="485">
        <v>2.8919999999999999</v>
      </c>
      <c r="BP8" s="485">
        <v>2.9060000000000001</v>
      </c>
      <c r="BQ8" s="713">
        <v>2.9220000000000002</v>
      </c>
      <c r="BR8" s="485">
        <v>2.9369999999999998</v>
      </c>
      <c r="BS8" s="485">
        <v>2.9540000000000002</v>
      </c>
      <c r="BT8" s="485">
        <v>2.9710000000000001</v>
      </c>
      <c r="BU8" s="485">
        <v>2.9910000000000001</v>
      </c>
      <c r="BV8" s="485">
        <v>3.0089999999999999</v>
      </c>
    </row>
    <row r="9" spans="1:75" ht="13.15" x14ac:dyDescent="0.25">
      <c r="A9" s="486" t="s">
        <v>364</v>
      </c>
      <c r="B9" s="486" t="s">
        <v>363</v>
      </c>
      <c r="C9" s="539">
        <v>2.036</v>
      </c>
      <c r="D9" s="539">
        <v>2.0609999999999999</v>
      </c>
      <c r="E9" s="539">
        <v>2.0659999999999998</v>
      </c>
      <c r="F9" s="539">
        <v>2.089</v>
      </c>
      <c r="G9" s="539">
        <v>2.105</v>
      </c>
      <c r="H9" s="539">
        <v>2.1160000000000001</v>
      </c>
      <c r="I9" s="539">
        <v>2.15</v>
      </c>
      <c r="J9" s="539">
        <v>2.1709999999999998</v>
      </c>
      <c r="K9" s="539">
        <v>2.1880000000000002</v>
      </c>
      <c r="L9" s="539">
        <v>2.2149999999999999</v>
      </c>
      <c r="M9" s="539">
        <v>2.2349999999999999</v>
      </c>
      <c r="N9" s="539">
        <v>2.2229999999999999</v>
      </c>
      <c r="O9" s="539">
        <v>2.2349999999999999</v>
      </c>
      <c r="P9" s="539">
        <v>2.2599999999999998</v>
      </c>
      <c r="Q9" s="539">
        <v>2.2759999999999998</v>
      </c>
      <c r="R9" s="539">
        <v>2.3029999999999999</v>
      </c>
      <c r="S9" s="539">
        <v>2.3210000000000002</v>
      </c>
      <c r="T9" s="539">
        <v>2.363</v>
      </c>
      <c r="U9" s="539">
        <v>2.403</v>
      </c>
      <c r="V9" s="539">
        <v>2.3519999999999999</v>
      </c>
      <c r="W9" s="539">
        <v>2.3460000000000001</v>
      </c>
      <c r="X9" s="539">
        <v>2.351</v>
      </c>
      <c r="Y9" s="539">
        <v>2.371</v>
      </c>
      <c r="Z9" s="539">
        <v>2.3839999999999999</v>
      </c>
      <c r="AA9" s="539">
        <v>2.3839999999999999</v>
      </c>
      <c r="AB9" s="539">
        <v>2.3849999999999998</v>
      </c>
      <c r="AC9" s="539">
        <v>2.399</v>
      </c>
      <c r="AD9" s="539">
        <v>2.4220000000000002</v>
      </c>
      <c r="AE9" s="539">
        <v>2.4359999999999999</v>
      </c>
      <c r="AF9" s="539">
        <v>2.4790000000000001</v>
      </c>
      <c r="AG9" s="539">
        <v>2.4889999999999999</v>
      </c>
      <c r="AH9" s="539">
        <v>2.4969999999999999</v>
      </c>
      <c r="AI9" s="539">
        <v>2.5169999999999999</v>
      </c>
      <c r="AJ9" s="539">
        <v>2.52</v>
      </c>
      <c r="AK9" s="539">
        <v>2.528</v>
      </c>
      <c r="AL9" s="539">
        <v>2.5470000000000002</v>
      </c>
      <c r="AM9" s="539">
        <v>2.56</v>
      </c>
      <c r="AN9" s="539">
        <v>2.556</v>
      </c>
      <c r="AO9" s="539">
        <v>2.573</v>
      </c>
      <c r="AP9" s="539">
        <v>2.589</v>
      </c>
      <c r="AQ9" s="539">
        <v>2.6030000000000002</v>
      </c>
      <c r="AR9" s="539">
        <v>2.61</v>
      </c>
      <c r="AS9" s="539">
        <v>2.613</v>
      </c>
      <c r="AT9" s="539">
        <v>2.6070000000000002</v>
      </c>
      <c r="AU9" s="485">
        <v>2.5859999999999999</v>
      </c>
      <c r="AV9" s="485">
        <v>2.581</v>
      </c>
      <c r="AW9" s="485">
        <v>2.59</v>
      </c>
      <c r="AX9" s="485">
        <v>2.6070000000000002</v>
      </c>
      <c r="AY9" s="485">
        <v>2.6139999999999999</v>
      </c>
      <c r="AZ9" s="485">
        <v>2.6320000000000001</v>
      </c>
      <c r="BA9" s="485">
        <v>2.6459999999999999</v>
      </c>
      <c r="BB9" s="485">
        <v>2.6589999999999998</v>
      </c>
      <c r="BC9" s="485">
        <v>2.669</v>
      </c>
      <c r="BD9" s="485">
        <v>2.68</v>
      </c>
      <c r="BE9" s="485">
        <v>2.6949999999999998</v>
      </c>
      <c r="BF9" s="485">
        <v>2.71</v>
      </c>
      <c r="BG9" s="485">
        <v>2.7290000000000001</v>
      </c>
      <c r="BH9" s="485">
        <v>2.742</v>
      </c>
      <c r="BI9" s="485">
        <v>2.7570000000000001</v>
      </c>
      <c r="BJ9" s="485">
        <v>2.774</v>
      </c>
      <c r="BK9" s="485">
        <v>2.7930000000000001</v>
      </c>
      <c r="BL9" s="485">
        <v>2.8090000000000002</v>
      </c>
      <c r="BM9" s="485">
        <v>2.8239999999999998</v>
      </c>
      <c r="BN9" s="485">
        <v>2.8380000000000001</v>
      </c>
      <c r="BO9" s="485">
        <v>2.847</v>
      </c>
      <c r="BP9" s="485">
        <v>2.86</v>
      </c>
      <c r="BQ9" s="713">
        <v>2.8730000000000002</v>
      </c>
      <c r="BR9" s="485">
        <v>2.8879999999999999</v>
      </c>
      <c r="BS9" s="485">
        <v>2.9039999999999999</v>
      </c>
      <c r="BT9" s="485">
        <v>2.9209999999999998</v>
      </c>
      <c r="BU9" s="485">
        <v>2.9390000000000001</v>
      </c>
      <c r="BV9" s="485">
        <v>2.9569999999999999</v>
      </c>
    </row>
    <row r="10" spans="1:75" ht="13.15" x14ac:dyDescent="0.25">
      <c r="A10" s="486" t="s">
        <v>362</v>
      </c>
      <c r="B10" s="486" t="s">
        <v>361</v>
      </c>
      <c r="C10" s="539">
        <v>2.036</v>
      </c>
      <c r="D10" s="539">
        <v>2.0609999999999999</v>
      </c>
      <c r="E10" s="539">
        <v>2.0659999999999998</v>
      </c>
      <c r="F10" s="539">
        <v>2.089</v>
      </c>
      <c r="G10" s="539">
        <v>2.105</v>
      </c>
      <c r="H10" s="539">
        <v>2.1160000000000001</v>
      </c>
      <c r="I10" s="539">
        <v>2.15</v>
      </c>
      <c r="J10" s="539">
        <v>2.1709999999999998</v>
      </c>
      <c r="K10" s="539">
        <v>2.1880000000000002</v>
      </c>
      <c r="L10" s="539">
        <v>2.2149999999999999</v>
      </c>
      <c r="M10" s="539">
        <v>2.2349999999999999</v>
      </c>
      <c r="N10" s="539">
        <v>2.2229999999999999</v>
      </c>
      <c r="O10" s="539">
        <v>2.2349999999999999</v>
      </c>
      <c r="P10" s="539">
        <v>2.2599999999999998</v>
      </c>
      <c r="Q10" s="539">
        <v>2.2759999999999998</v>
      </c>
      <c r="R10" s="539">
        <v>2.3029999999999999</v>
      </c>
      <c r="S10" s="539">
        <v>2.3210000000000002</v>
      </c>
      <c r="T10" s="539">
        <v>2.363</v>
      </c>
      <c r="U10" s="539">
        <v>2.403</v>
      </c>
      <c r="V10" s="539">
        <v>2.3519999999999999</v>
      </c>
      <c r="W10" s="539">
        <v>2.3460000000000001</v>
      </c>
      <c r="X10" s="539">
        <v>2.351</v>
      </c>
      <c r="Y10" s="539">
        <v>2.371</v>
      </c>
      <c r="Z10" s="539">
        <v>2.3839999999999999</v>
      </c>
      <c r="AA10" s="539">
        <v>2.3839999999999999</v>
      </c>
      <c r="AB10" s="539">
        <v>2.3849999999999998</v>
      </c>
      <c r="AC10" s="539">
        <v>2.399</v>
      </c>
      <c r="AD10" s="539">
        <v>2.4220000000000002</v>
      </c>
      <c r="AE10" s="539">
        <v>2.4359999999999999</v>
      </c>
      <c r="AF10" s="539">
        <v>2.4790000000000001</v>
      </c>
      <c r="AG10" s="539">
        <v>2.4889999999999999</v>
      </c>
      <c r="AH10" s="539">
        <v>2.4969999999999999</v>
      </c>
      <c r="AI10" s="539">
        <v>2.5169999999999999</v>
      </c>
      <c r="AJ10" s="539">
        <v>2.52</v>
      </c>
      <c r="AK10" s="539">
        <v>2.528</v>
      </c>
      <c r="AL10" s="539">
        <v>2.5470000000000002</v>
      </c>
      <c r="AM10" s="539">
        <v>2.56</v>
      </c>
      <c r="AN10" s="539">
        <v>2.556</v>
      </c>
      <c r="AO10" s="539">
        <v>2.573</v>
      </c>
      <c r="AP10" s="539">
        <v>2.589</v>
      </c>
      <c r="AQ10" s="539">
        <v>2.6030000000000002</v>
      </c>
      <c r="AR10" s="539">
        <v>2.61</v>
      </c>
      <c r="AS10" s="539">
        <v>2.613</v>
      </c>
      <c r="AT10" s="539">
        <v>2.6070000000000002</v>
      </c>
      <c r="AU10" s="485">
        <v>2.5859999999999999</v>
      </c>
      <c r="AV10" s="485">
        <v>2.5830000000000002</v>
      </c>
      <c r="AW10" s="485">
        <v>2.5960000000000001</v>
      </c>
      <c r="AX10" s="485">
        <v>2.6179999999999999</v>
      </c>
      <c r="AY10" s="485">
        <v>2.6309999999999998</v>
      </c>
      <c r="AZ10" s="485">
        <v>2.6520000000000001</v>
      </c>
      <c r="BA10" s="485">
        <v>2.6749999999999998</v>
      </c>
      <c r="BB10" s="485">
        <v>2.698</v>
      </c>
      <c r="BC10" s="485">
        <v>2.714</v>
      </c>
      <c r="BD10" s="485">
        <v>2.7360000000000002</v>
      </c>
      <c r="BE10" s="485">
        <v>2.76</v>
      </c>
      <c r="BF10" s="485">
        <v>2.7839999999999998</v>
      </c>
      <c r="BG10" s="485">
        <v>2.8090000000000002</v>
      </c>
      <c r="BH10" s="485">
        <v>2.8319999999999999</v>
      </c>
      <c r="BI10" s="485">
        <v>2.8570000000000002</v>
      </c>
      <c r="BJ10" s="485">
        <v>2.8809999999999998</v>
      </c>
      <c r="BK10" s="485">
        <v>2.9089999999999998</v>
      </c>
      <c r="BL10" s="485">
        <v>2.9329999999999998</v>
      </c>
      <c r="BM10" s="485">
        <v>2.9569999999999999</v>
      </c>
      <c r="BN10" s="485">
        <v>2.9790000000000001</v>
      </c>
      <c r="BO10" s="485">
        <v>2.996</v>
      </c>
      <c r="BP10" s="485">
        <v>3.0179999999999998</v>
      </c>
      <c r="BQ10" s="713">
        <v>3.0430000000000001</v>
      </c>
      <c r="BR10" s="485">
        <v>3.0670000000000002</v>
      </c>
      <c r="BS10" s="485">
        <v>3.093</v>
      </c>
      <c r="BT10" s="485">
        <v>3.1190000000000002</v>
      </c>
      <c r="BU10" s="485">
        <v>3.149</v>
      </c>
      <c r="BV10" s="485">
        <v>3.177</v>
      </c>
    </row>
    <row r="14" spans="1:75" ht="13.15" x14ac:dyDescent="0.25">
      <c r="AR14" s="486" t="s">
        <v>450</v>
      </c>
      <c r="AU14" s="487"/>
      <c r="AV14" s="652">
        <v>41868</v>
      </c>
      <c r="AW14" s="488"/>
      <c r="AX14" s="488"/>
      <c r="AY14" s="488"/>
      <c r="AZ14" s="488"/>
    </row>
    <row r="15" spans="1:75" ht="13.15" x14ac:dyDescent="0.25">
      <c r="AR15" s="489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1"/>
    </row>
    <row r="16" spans="1:75" ht="13.15" x14ac:dyDescent="0.25">
      <c r="AR16" s="492"/>
      <c r="AS16" s="493" t="s">
        <v>451</v>
      </c>
      <c r="AT16" s="494" t="s">
        <v>454</v>
      </c>
      <c r="AU16" s="494"/>
      <c r="AV16" s="494"/>
      <c r="AW16" s="494"/>
      <c r="AX16" s="494"/>
      <c r="AY16" s="494"/>
      <c r="AZ16" s="494"/>
      <c r="BA16" s="494"/>
      <c r="BB16" s="494"/>
      <c r="BC16" s="495"/>
      <c r="BD16" s="539"/>
    </row>
    <row r="17" spans="44:56" ht="13.15" x14ac:dyDescent="0.25">
      <c r="AR17" s="492"/>
      <c r="AS17" s="494"/>
      <c r="AT17" s="496" t="s">
        <v>398</v>
      </c>
      <c r="AU17" s="494"/>
      <c r="AV17" s="494"/>
      <c r="AW17" s="494"/>
      <c r="AX17" s="494"/>
      <c r="AY17" s="494"/>
      <c r="AZ17" s="494"/>
      <c r="BA17" s="494"/>
      <c r="BB17" s="494"/>
      <c r="BC17" s="497" t="s">
        <v>452</v>
      </c>
    </row>
    <row r="18" spans="44:56" ht="13.15" x14ac:dyDescent="0.25">
      <c r="AR18" s="492"/>
      <c r="AS18" s="494"/>
      <c r="AT18" s="505">
        <f>AR9</f>
        <v>2.61</v>
      </c>
      <c r="AU18" s="494"/>
      <c r="AV18" s="494"/>
      <c r="AW18" s="494"/>
      <c r="AX18" s="494"/>
      <c r="AY18" s="494"/>
      <c r="AZ18" s="494"/>
      <c r="BA18" s="494"/>
      <c r="BB18" s="494"/>
      <c r="BC18" s="499">
        <f>AT18</f>
        <v>2.61</v>
      </c>
      <c r="BD18" s="539"/>
    </row>
    <row r="19" spans="44:56" ht="13.15" x14ac:dyDescent="0.25">
      <c r="AR19" s="492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8"/>
    </row>
    <row r="20" spans="44:56" ht="13.15" x14ac:dyDescent="0.25">
      <c r="AR20" s="492"/>
      <c r="AS20" s="493" t="s">
        <v>453</v>
      </c>
      <c r="AT20" s="494" t="s">
        <v>474</v>
      </c>
      <c r="AU20" s="494"/>
      <c r="AV20" s="494"/>
      <c r="AW20" s="494"/>
      <c r="AX20" s="494"/>
      <c r="AY20" s="494"/>
      <c r="AZ20" s="494"/>
      <c r="BA20" s="494"/>
      <c r="BB20" s="494"/>
      <c r="BC20" s="498"/>
    </row>
    <row r="21" spans="44:56" ht="13.15" x14ac:dyDescent="0.25">
      <c r="AR21" s="492"/>
      <c r="AS21" s="494"/>
      <c r="AT21" s="496" t="s">
        <v>391</v>
      </c>
      <c r="AU21" s="496" t="s">
        <v>390</v>
      </c>
      <c r="AV21" s="496" t="s">
        <v>389</v>
      </c>
      <c r="AW21" s="496" t="s">
        <v>388</v>
      </c>
      <c r="AX21" s="496" t="s">
        <v>387</v>
      </c>
      <c r="AY21" s="496" t="s">
        <v>386</v>
      </c>
      <c r="AZ21" s="496" t="s">
        <v>385</v>
      </c>
      <c r="BA21" s="496" t="s">
        <v>384</v>
      </c>
      <c r="BB21" s="494"/>
      <c r="BC21" s="498"/>
    </row>
    <row r="22" spans="44:56" ht="13.15" x14ac:dyDescent="0.25">
      <c r="AR22" s="492"/>
      <c r="AS22" s="494"/>
      <c r="AT22" s="494">
        <f>AY9</f>
        <v>2.6139999999999999</v>
      </c>
      <c r="AU22" s="494">
        <f t="shared" ref="AU22:BA22" si="0">AZ9</f>
        <v>2.6320000000000001</v>
      </c>
      <c r="AV22" s="494">
        <f t="shared" si="0"/>
        <v>2.6459999999999999</v>
      </c>
      <c r="AW22" s="494">
        <f t="shared" si="0"/>
        <v>2.6589999999999998</v>
      </c>
      <c r="AX22" s="494">
        <f t="shared" si="0"/>
        <v>2.669</v>
      </c>
      <c r="AY22" s="494">
        <f t="shared" si="0"/>
        <v>2.68</v>
      </c>
      <c r="AZ22" s="494">
        <f t="shared" si="0"/>
        <v>2.6949999999999998</v>
      </c>
      <c r="BA22" s="494">
        <f t="shared" si="0"/>
        <v>2.71</v>
      </c>
      <c r="BB22" s="494"/>
      <c r="BC22" s="499">
        <f>AVERAGE(AT22:BA22)</f>
        <v>2.663125</v>
      </c>
    </row>
    <row r="23" spans="44:56" ht="13.15" x14ac:dyDescent="0.25">
      <c r="AR23" s="492"/>
      <c r="AS23" s="494"/>
      <c r="AT23" s="494"/>
      <c r="AU23" s="494"/>
      <c r="AV23" s="494"/>
      <c r="AW23" s="494"/>
      <c r="AX23" s="494"/>
      <c r="AY23" s="494"/>
      <c r="AZ23" s="494"/>
      <c r="BA23" s="494"/>
      <c r="BB23" s="494"/>
      <c r="BC23" s="498"/>
    </row>
    <row r="24" spans="44:56" ht="13.15" x14ac:dyDescent="0.25">
      <c r="AR24" s="492"/>
      <c r="AS24" s="494"/>
      <c r="AT24" s="494"/>
      <c r="AU24" s="494"/>
      <c r="AV24" s="494"/>
      <c r="AW24" s="494"/>
      <c r="AX24" s="494"/>
      <c r="AY24" s="494"/>
      <c r="AZ24" s="494"/>
      <c r="BA24" s="494"/>
      <c r="BB24" s="500" t="s">
        <v>53</v>
      </c>
      <c r="BC24" s="501">
        <f>(BC22-BC18)/BC18</f>
        <v>2.0354406130268236E-2</v>
      </c>
      <c r="BD24" s="651"/>
    </row>
    <row r="25" spans="44:56" ht="13.15" x14ac:dyDescent="0.25">
      <c r="AR25" s="502"/>
      <c r="AS25" s="503"/>
      <c r="AT25" s="503"/>
      <c r="AU25" s="503"/>
      <c r="AV25" s="503"/>
      <c r="AW25" s="503"/>
      <c r="AX25" s="503"/>
      <c r="AY25" s="503"/>
      <c r="AZ25" s="503"/>
      <c r="BA25" s="503"/>
      <c r="BB25" s="503"/>
      <c r="BC25" s="504"/>
    </row>
    <row r="33" spans="45:75" ht="14.45" customHeight="1" x14ac:dyDescent="0.2">
      <c r="BC33" s="1418" t="s">
        <v>573</v>
      </c>
      <c r="BD33" s="1418" t="s">
        <v>574</v>
      </c>
      <c r="BE33" s="1418" t="s">
        <v>575</v>
      </c>
      <c r="BF33" s="1418" t="s">
        <v>442</v>
      </c>
    </row>
    <row r="34" spans="45:75" x14ac:dyDescent="0.2">
      <c r="AW34" s="694">
        <v>7107416.2599999998</v>
      </c>
      <c r="BC34" s="1418"/>
      <c r="BD34" s="1418"/>
      <c r="BE34" s="1418"/>
      <c r="BF34" s="1418"/>
    </row>
    <row r="35" spans="45:75" ht="14.45" x14ac:dyDescent="0.3">
      <c r="AW35" s="694">
        <v>24909549.73</v>
      </c>
      <c r="BB35" s="485" t="s">
        <v>576</v>
      </c>
      <c r="BC35" s="692">
        <v>23870944</v>
      </c>
      <c r="BD35" s="691">
        <v>221211</v>
      </c>
      <c r="BE35" s="691">
        <f>BD35*2</f>
        <v>442422</v>
      </c>
      <c r="BF35" s="691">
        <v>1409887</v>
      </c>
      <c r="BQ35" s="697" t="s">
        <v>607</v>
      </c>
      <c r="BU35" s="715" t="s">
        <v>666</v>
      </c>
      <c r="BV35"/>
      <c r="BW35"/>
    </row>
    <row r="36" spans="45:75" ht="14.45" x14ac:dyDescent="0.3">
      <c r="AW36" s="694">
        <v>2984177.51</v>
      </c>
      <c r="BB36" s="485" t="s">
        <v>577</v>
      </c>
      <c r="BC36" s="692">
        <f>BE36/BC24</f>
        <v>165467760.56470558</v>
      </c>
      <c r="BD36" s="691">
        <v>1683999</v>
      </c>
      <c r="BE36" s="691">
        <f>BD36*2</f>
        <v>3367998</v>
      </c>
      <c r="BF36" s="691">
        <v>7340808</v>
      </c>
      <c r="BQ36" s="698" t="s">
        <v>608</v>
      </c>
      <c r="BU36" s="716" t="s">
        <v>642</v>
      </c>
      <c r="BV36"/>
      <c r="BW36"/>
    </row>
    <row r="37" spans="45:75" ht="14.45" x14ac:dyDescent="0.3">
      <c r="AW37" s="694">
        <v>1750730.39</v>
      </c>
      <c r="BB37" s="485" t="s">
        <v>578</v>
      </c>
      <c r="BC37" s="692">
        <f>SUM(AW34:AW37)</f>
        <v>36751873.890000001</v>
      </c>
      <c r="BD37" s="691">
        <f>BC37*BC24*0.5</f>
        <v>374031.28360273055</v>
      </c>
      <c r="BE37" s="691">
        <f>BC37*BC24</f>
        <v>748062.56720546109</v>
      </c>
      <c r="BF37" s="691">
        <f>BE37</f>
        <v>748062.56720546109</v>
      </c>
      <c r="BQ37" s="698" t="s">
        <v>609</v>
      </c>
      <c r="BU37" s="716" t="s">
        <v>640</v>
      </c>
      <c r="BV37"/>
      <c r="BW37"/>
    </row>
    <row r="38" spans="45:75" ht="14.45" x14ac:dyDescent="0.3">
      <c r="AW38" s="693">
        <f>SUM(AW34:AW37)</f>
        <v>36751873.890000001</v>
      </c>
      <c r="BQ38" s="698" t="s">
        <v>610</v>
      </c>
      <c r="BU38" s="716" t="s">
        <v>637</v>
      </c>
      <c r="BV38"/>
      <c r="BW38"/>
    </row>
    <row r="39" spans="45:75" ht="14.45" x14ac:dyDescent="0.3">
      <c r="BC39" s="696">
        <f>SUM(BC35:BC37)</f>
        <v>226090578.4547056</v>
      </c>
      <c r="BD39" s="695">
        <f t="shared" ref="BD39:BF39" si="1">SUM(BD35:BD37)</f>
        <v>2279241.2836027304</v>
      </c>
      <c r="BE39" s="695">
        <f t="shared" si="1"/>
        <v>4558482.5672054607</v>
      </c>
      <c r="BF39" s="695">
        <f t="shared" si="1"/>
        <v>9498757.5672054607</v>
      </c>
      <c r="BQ39" s="698" t="s">
        <v>611</v>
      </c>
      <c r="BU39" s="716" t="s">
        <v>630</v>
      </c>
      <c r="BV39"/>
      <c r="BW39"/>
    </row>
    <row r="40" spans="45:75" ht="14.45" x14ac:dyDescent="0.3">
      <c r="BD40" s="651">
        <f>BD39/BC39</f>
        <v>1.0081098023548769E-2</v>
      </c>
      <c r="BE40" s="651">
        <f>BE39/BC39</f>
        <v>2.0162196047097538E-2</v>
      </c>
      <c r="BF40" s="651">
        <f>BF39/BC39</f>
        <v>4.2013062340447847E-2</v>
      </c>
      <c r="BQ40" s="698" t="s">
        <v>612</v>
      </c>
      <c r="BU40" s="716" t="s">
        <v>612</v>
      </c>
      <c r="BV40"/>
      <c r="BW40"/>
    </row>
    <row r="41" spans="45:75" ht="14.45" x14ac:dyDescent="0.3">
      <c r="BQ41" s="698" t="s">
        <v>613</v>
      </c>
      <c r="BU41" s="716" t="s">
        <v>663</v>
      </c>
      <c r="BV41"/>
      <c r="BW41"/>
    </row>
    <row r="42" spans="45:75" ht="14.45" x14ac:dyDescent="0.3">
      <c r="BQ42" s="698" t="s">
        <v>614</v>
      </c>
      <c r="BU42" s="716" t="s">
        <v>615</v>
      </c>
      <c r="BV42"/>
      <c r="BW42"/>
    </row>
    <row r="43" spans="45:75" ht="14.45" x14ac:dyDescent="0.3">
      <c r="AS43" s="708"/>
      <c r="AT43" s="708"/>
      <c r="AU43" s="708"/>
      <c r="AV43" s="709"/>
      <c r="AW43" s="710"/>
      <c r="AX43" s="703" t="s">
        <v>579</v>
      </c>
      <c r="AY43" s="697" t="s">
        <v>580</v>
      </c>
      <c r="AZ43" s="697" t="s">
        <v>606</v>
      </c>
      <c r="BA43" s="697" t="s">
        <v>581</v>
      </c>
      <c r="BB43" s="697" t="s">
        <v>582</v>
      </c>
      <c r="BQ43" s="698" t="s">
        <v>615</v>
      </c>
      <c r="BU43" s="716" t="s">
        <v>660</v>
      </c>
      <c r="BV43"/>
      <c r="BW43"/>
    </row>
    <row r="44" spans="45:75" ht="14.45" x14ac:dyDescent="0.3">
      <c r="AS44" s="706"/>
      <c r="AT44" s="706"/>
      <c r="AU44" s="706"/>
      <c r="AV44" s="707"/>
      <c r="AW44" s="710"/>
      <c r="AX44" s="704" t="s">
        <v>590</v>
      </c>
      <c r="AY44" s="701" t="s">
        <v>604</v>
      </c>
      <c r="AZ44" s="701" t="s">
        <v>577</v>
      </c>
      <c r="BA44" s="701" t="s">
        <v>585</v>
      </c>
      <c r="BB44" s="702">
        <v>104182.7</v>
      </c>
      <c r="BQ44" s="698" t="s">
        <v>615</v>
      </c>
      <c r="BU44" s="716" t="s">
        <v>648</v>
      </c>
      <c r="BV44"/>
      <c r="BW44"/>
    </row>
    <row r="45" spans="45:75" ht="14.45" x14ac:dyDescent="0.3">
      <c r="AS45" s="706"/>
      <c r="AT45" s="706"/>
      <c r="AU45" s="706"/>
      <c r="AV45" s="707"/>
      <c r="AW45" s="710"/>
      <c r="AX45" s="704" t="s">
        <v>590</v>
      </c>
      <c r="AY45" s="701" t="s">
        <v>603</v>
      </c>
      <c r="AZ45" s="701" t="s">
        <v>577</v>
      </c>
      <c r="BA45" s="701" t="s">
        <v>585</v>
      </c>
      <c r="BB45" s="702">
        <v>5431512.4900000002</v>
      </c>
      <c r="BQ45" s="698" t="s">
        <v>616</v>
      </c>
      <c r="BU45" s="716" t="s">
        <v>653</v>
      </c>
      <c r="BV45"/>
      <c r="BW45"/>
    </row>
    <row r="46" spans="45:75" ht="14.45" x14ac:dyDescent="0.3">
      <c r="AS46" s="706"/>
      <c r="AT46" s="706"/>
      <c r="AU46" s="706"/>
      <c r="AV46" s="707"/>
      <c r="AW46" s="710"/>
      <c r="AX46" s="705" t="s">
        <v>590</v>
      </c>
      <c r="AY46" s="698" t="s">
        <v>602</v>
      </c>
      <c r="AZ46" s="698" t="s">
        <v>577</v>
      </c>
      <c r="BA46" s="698" t="s">
        <v>585</v>
      </c>
      <c r="BB46" s="699">
        <v>1567758.63</v>
      </c>
      <c r="BQ46" s="698" t="s">
        <v>617</v>
      </c>
      <c r="BU46" s="716" t="s">
        <v>631</v>
      </c>
      <c r="BV46"/>
      <c r="BW46"/>
    </row>
    <row r="47" spans="45:75" ht="14.45" x14ac:dyDescent="0.3">
      <c r="AS47" s="706"/>
      <c r="AT47" s="706"/>
      <c r="AU47" s="706"/>
      <c r="AV47" s="707"/>
      <c r="AW47" s="710"/>
      <c r="AX47" s="705" t="s">
        <v>590</v>
      </c>
      <c r="AY47" s="698" t="s">
        <v>601</v>
      </c>
      <c r="AZ47" s="698" t="s">
        <v>577</v>
      </c>
      <c r="BA47" s="698" t="s">
        <v>585</v>
      </c>
      <c r="BB47" s="699">
        <v>0</v>
      </c>
      <c r="BQ47" s="698" t="s">
        <v>618</v>
      </c>
      <c r="BU47" s="716" t="s">
        <v>633</v>
      </c>
      <c r="BV47"/>
      <c r="BW47"/>
    </row>
    <row r="48" spans="45:75" ht="14.45" x14ac:dyDescent="0.3">
      <c r="AS48" s="706"/>
      <c r="AT48" s="706"/>
      <c r="AU48" s="706"/>
      <c r="AV48" s="707"/>
      <c r="AW48" s="710"/>
      <c r="AX48" s="705" t="s">
        <v>590</v>
      </c>
      <c r="AY48" s="698" t="s">
        <v>600</v>
      </c>
      <c r="AZ48" s="698" t="s">
        <v>577</v>
      </c>
      <c r="BA48" s="698" t="s">
        <v>585</v>
      </c>
      <c r="BB48" s="699">
        <v>5621205.2599999998</v>
      </c>
      <c r="BQ48" s="698" t="s">
        <v>619</v>
      </c>
      <c r="BU48" s="716" t="s">
        <v>614</v>
      </c>
      <c r="BV48"/>
      <c r="BW48"/>
    </row>
    <row r="49" spans="45:75" ht="14.45" x14ac:dyDescent="0.3">
      <c r="AS49" s="706"/>
      <c r="AT49" s="706"/>
      <c r="AU49" s="706"/>
      <c r="AV49" s="707"/>
      <c r="AW49" s="710"/>
      <c r="AX49" s="705" t="s">
        <v>590</v>
      </c>
      <c r="AY49" s="698" t="s">
        <v>599</v>
      </c>
      <c r="AZ49" s="698" t="s">
        <v>577</v>
      </c>
      <c r="BA49" s="698" t="s">
        <v>585</v>
      </c>
      <c r="BB49" s="699">
        <v>10899421.74</v>
      </c>
      <c r="BQ49" s="698" t="s">
        <v>610</v>
      </c>
      <c r="BU49" s="716" t="s">
        <v>656</v>
      </c>
      <c r="BV49"/>
      <c r="BW49"/>
    </row>
    <row r="50" spans="45:75" ht="14.45" x14ac:dyDescent="0.3">
      <c r="AS50" s="706"/>
      <c r="AT50" s="706"/>
      <c r="AU50" s="706"/>
      <c r="AV50" s="707"/>
      <c r="AW50" s="710"/>
      <c r="AX50" s="705" t="s">
        <v>590</v>
      </c>
      <c r="AY50" s="698" t="s">
        <v>598</v>
      </c>
      <c r="AZ50" s="698" t="s">
        <v>577</v>
      </c>
      <c r="BA50" s="698" t="s">
        <v>585</v>
      </c>
      <c r="BB50" s="696">
        <v>163161598.09</v>
      </c>
      <c r="BC50" s="699">
        <v>223831890.65000001</v>
      </c>
      <c r="BQ50" s="698" t="s">
        <v>620</v>
      </c>
      <c r="BU50" s="716" t="s">
        <v>654</v>
      </c>
      <c r="BV50"/>
      <c r="BW50"/>
    </row>
    <row r="51" spans="45:75" ht="14.45" x14ac:dyDescent="0.3">
      <c r="AS51" s="706"/>
      <c r="AT51" s="706"/>
      <c r="AU51" s="706"/>
      <c r="AV51" s="711"/>
      <c r="AW51" s="710"/>
      <c r="AX51" s="705" t="s">
        <v>590</v>
      </c>
      <c r="AY51" s="698" t="s">
        <v>596</v>
      </c>
      <c r="AZ51" s="698" t="s">
        <v>576</v>
      </c>
      <c r="BA51" s="698" t="s">
        <v>585</v>
      </c>
      <c r="BB51" s="699">
        <v>0</v>
      </c>
      <c r="BQ51" s="698" t="s">
        <v>621</v>
      </c>
      <c r="BU51" s="716" t="s">
        <v>651</v>
      </c>
      <c r="BV51"/>
      <c r="BW51"/>
    </row>
    <row r="52" spans="45:75" ht="14.45" x14ac:dyDescent="0.3">
      <c r="AS52" s="706"/>
      <c r="AT52" s="706"/>
      <c r="AU52" s="706"/>
      <c r="AV52" s="707"/>
      <c r="AW52" s="710"/>
      <c r="AX52" s="705" t="s">
        <v>590</v>
      </c>
      <c r="AY52" s="698" t="s">
        <v>591</v>
      </c>
      <c r="AZ52" s="698" t="s">
        <v>576</v>
      </c>
      <c r="BA52" s="698" t="s">
        <v>585</v>
      </c>
      <c r="BB52" s="699">
        <v>2758864.66</v>
      </c>
      <c r="BQ52" s="698" t="s">
        <v>622</v>
      </c>
      <c r="BU52" s="716" t="s">
        <v>650</v>
      </c>
      <c r="BV52"/>
      <c r="BW52"/>
    </row>
    <row r="53" spans="45:75" ht="14.45" x14ac:dyDescent="0.3">
      <c r="AS53" s="706"/>
      <c r="AT53" s="706"/>
      <c r="AU53" s="706"/>
      <c r="AV53" s="707"/>
      <c r="AW53" s="710"/>
      <c r="AX53" s="705" t="s">
        <v>590</v>
      </c>
      <c r="AY53" s="698" t="s">
        <v>592</v>
      </c>
      <c r="AZ53" s="698" t="s">
        <v>576</v>
      </c>
      <c r="BA53" s="698" t="s">
        <v>585</v>
      </c>
      <c r="BB53" s="699">
        <v>3997530.42</v>
      </c>
      <c r="BQ53" s="698" t="s">
        <v>623</v>
      </c>
      <c r="BU53" s="716" t="s">
        <v>646</v>
      </c>
    </row>
    <row r="54" spans="45:75" ht="14.45" x14ac:dyDescent="0.3">
      <c r="AS54" s="706"/>
      <c r="AT54" s="706"/>
      <c r="AU54" s="706"/>
      <c r="AV54" s="707"/>
      <c r="AW54" s="710"/>
      <c r="AX54" s="705" t="s">
        <v>590</v>
      </c>
      <c r="AY54" s="698" t="s">
        <v>593</v>
      </c>
      <c r="AZ54" s="698" t="s">
        <v>576</v>
      </c>
      <c r="BA54" s="698" t="s">
        <v>585</v>
      </c>
      <c r="BB54" s="700"/>
      <c r="BQ54" s="698" t="s">
        <v>624</v>
      </c>
      <c r="BU54" s="716" t="s">
        <v>618</v>
      </c>
    </row>
    <row r="55" spans="45:75" ht="14.45" x14ac:dyDescent="0.3">
      <c r="AS55" s="706"/>
      <c r="AT55" s="706"/>
      <c r="AU55" s="706"/>
      <c r="AV55" s="711"/>
      <c r="AW55" s="710"/>
      <c r="AX55" s="705" t="s">
        <v>590</v>
      </c>
      <c r="AY55" s="698" t="s">
        <v>595</v>
      </c>
      <c r="AZ55" s="698" t="s">
        <v>576</v>
      </c>
      <c r="BA55" s="698" t="s">
        <v>585</v>
      </c>
      <c r="BB55" s="699">
        <v>15651351.539999999</v>
      </c>
      <c r="BQ55" s="698" t="s">
        <v>610</v>
      </c>
      <c r="BU55" s="716" t="s">
        <v>649</v>
      </c>
    </row>
    <row r="56" spans="45:75" ht="14.45" x14ac:dyDescent="0.3">
      <c r="AS56" s="706"/>
      <c r="AT56" s="706"/>
      <c r="AU56" s="706"/>
      <c r="AV56" s="707"/>
      <c r="AW56" s="710"/>
      <c r="AX56" s="705" t="s">
        <v>590</v>
      </c>
      <c r="AY56" s="698" t="s">
        <v>605</v>
      </c>
      <c r="AZ56" s="698" t="s">
        <v>576</v>
      </c>
      <c r="BA56" s="698" t="s">
        <v>585</v>
      </c>
      <c r="BB56" s="699">
        <v>1033142</v>
      </c>
      <c r="BQ56" s="698" t="s">
        <v>625</v>
      </c>
      <c r="BU56" s="716" t="s">
        <v>617</v>
      </c>
    </row>
    <row r="57" spans="45:75" ht="14.45" x14ac:dyDescent="0.3">
      <c r="AS57" s="706"/>
      <c r="AT57" s="706"/>
      <c r="AU57" s="706"/>
      <c r="AV57" s="707"/>
      <c r="AW57" s="710"/>
      <c r="AX57" s="705" t="s">
        <v>590</v>
      </c>
      <c r="AY57" s="698" t="s">
        <v>597</v>
      </c>
      <c r="AZ57" s="698" t="s">
        <v>576</v>
      </c>
      <c r="BA57" s="698" t="s">
        <v>585</v>
      </c>
      <c r="BB57" s="700"/>
      <c r="BQ57" s="698" t="s">
        <v>626</v>
      </c>
      <c r="BU57" s="716" t="s">
        <v>643</v>
      </c>
    </row>
    <row r="58" spans="45:75" ht="14.45" x14ac:dyDescent="0.3">
      <c r="AS58" s="706"/>
      <c r="AT58" s="706"/>
      <c r="AU58" s="706"/>
      <c r="AV58" s="707"/>
      <c r="AW58" s="710"/>
      <c r="AX58" s="705" t="s">
        <v>590</v>
      </c>
      <c r="AY58" s="698" t="s">
        <v>594</v>
      </c>
      <c r="AZ58" s="698" t="s">
        <v>576</v>
      </c>
      <c r="BA58" s="698" t="s">
        <v>585</v>
      </c>
      <c r="BB58" s="699">
        <v>15741506.98</v>
      </c>
      <c r="BQ58" s="698" t="s">
        <v>615</v>
      </c>
      <c r="BU58" s="716" t="s">
        <v>623</v>
      </c>
    </row>
    <row r="59" spans="45:75" ht="14.45" x14ac:dyDescent="0.3">
      <c r="AS59" s="706"/>
      <c r="AT59" s="706"/>
      <c r="AU59" s="706"/>
      <c r="AV59" s="707"/>
      <c r="AW59" s="710"/>
      <c r="AX59" s="705" t="s">
        <v>583</v>
      </c>
      <c r="AY59" s="698" t="s">
        <v>584</v>
      </c>
      <c r="AZ59" s="698" t="s">
        <v>578</v>
      </c>
      <c r="BA59" s="698" t="s">
        <v>585</v>
      </c>
      <c r="BB59" s="699">
        <v>7107416.2599999998</v>
      </c>
      <c r="BQ59" s="698" t="s">
        <v>613</v>
      </c>
      <c r="BU59" s="716" t="s">
        <v>644</v>
      </c>
    </row>
    <row r="60" spans="45:75" ht="14.45" x14ac:dyDescent="0.3">
      <c r="AS60" s="706"/>
      <c r="AT60" s="706"/>
      <c r="AU60" s="706"/>
      <c r="AV60" s="707"/>
      <c r="AW60" s="710"/>
      <c r="AX60" s="705" t="s">
        <v>583</v>
      </c>
      <c r="AY60" s="698" t="s">
        <v>589</v>
      </c>
      <c r="AZ60" s="698" t="s">
        <v>578</v>
      </c>
      <c r="BA60" s="698" t="s">
        <v>585</v>
      </c>
      <c r="BB60" s="699">
        <v>1750730.39</v>
      </c>
      <c r="BQ60" s="698" t="s">
        <v>627</v>
      </c>
      <c r="BU60" s="716" t="s">
        <v>627</v>
      </c>
    </row>
    <row r="61" spans="45:75" ht="14.45" x14ac:dyDescent="0.3">
      <c r="AS61" s="706"/>
      <c r="AT61" s="706"/>
      <c r="AU61" s="706"/>
      <c r="AV61" s="707"/>
      <c r="AW61" s="710"/>
      <c r="AX61" s="704" t="s">
        <v>583</v>
      </c>
      <c r="AY61" s="701" t="s">
        <v>588</v>
      </c>
      <c r="AZ61" s="701" t="s">
        <v>578</v>
      </c>
      <c r="BA61" s="701" t="s">
        <v>585</v>
      </c>
      <c r="BB61" s="702">
        <v>667474.77</v>
      </c>
      <c r="BQ61" s="698" t="s">
        <v>617</v>
      </c>
      <c r="BU61" s="716" t="s">
        <v>662</v>
      </c>
    </row>
    <row r="62" spans="45:75" ht="14.45" x14ac:dyDescent="0.3">
      <c r="AS62" s="706"/>
      <c r="AT62" s="706"/>
      <c r="AU62" s="706"/>
      <c r="AV62" s="707"/>
      <c r="AW62" s="710"/>
      <c r="AX62" s="705" t="s">
        <v>583</v>
      </c>
      <c r="AY62" s="698" t="s">
        <v>587</v>
      </c>
      <c r="AZ62" s="698" t="s">
        <v>578</v>
      </c>
      <c r="BA62" s="698" t="s">
        <v>585</v>
      </c>
      <c r="BB62" s="699">
        <v>2984177.51</v>
      </c>
      <c r="BQ62" s="698" t="s">
        <v>628</v>
      </c>
      <c r="BU62" s="716" t="s">
        <v>619</v>
      </c>
    </row>
    <row r="63" spans="45:75" ht="15" x14ac:dyDescent="0.25">
      <c r="AS63" s="706"/>
      <c r="AT63" s="706"/>
      <c r="AU63" s="706"/>
      <c r="AV63" s="707"/>
      <c r="AW63" s="710"/>
      <c r="AX63" s="705" t="s">
        <v>583</v>
      </c>
      <c r="AY63" s="698" t="s">
        <v>586</v>
      </c>
      <c r="AZ63" s="698" t="s">
        <v>578</v>
      </c>
      <c r="BA63" s="698" t="s">
        <v>585</v>
      </c>
      <c r="BB63" s="699">
        <v>24909549.73</v>
      </c>
      <c r="BQ63" s="698" t="s">
        <v>629</v>
      </c>
      <c r="BU63" s="716" t="s">
        <v>635</v>
      </c>
    </row>
    <row r="64" spans="45:75" ht="15" x14ac:dyDescent="0.25">
      <c r="AS64" s="710"/>
      <c r="AT64" s="710"/>
      <c r="AU64" s="710"/>
      <c r="AV64" s="712"/>
      <c r="AW64" s="712"/>
      <c r="BB64" s="696">
        <f>SUM(BB46:BB60,BB62:BB63)</f>
        <v>257184253.20999992</v>
      </c>
      <c r="BQ64" s="698" t="s">
        <v>630</v>
      </c>
      <c r="BU64" s="716" t="s">
        <v>608</v>
      </c>
    </row>
    <row r="65" spans="69:73" ht="15" x14ac:dyDescent="0.25">
      <c r="BQ65" s="698" t="s">
        <v>631</v>
      </c>
      <c r="BU65" s="716" t="s">
        <v>634</v>
      </c>
    </row>
    <row r="66" spans="69:73" ht="15" x14ac:dyDescent="0.25">
      <c r="BQ66" s="698" t="s">
        <v>632</v>
      </c>
      <c r="BU66" s="716" t="s">
        <v>661</v>
      </c>
    </row>
    <row r="67" spans="69:73" ht="15" x14ac:dyDescent="0.25">
      <c r="BQ67" s="698" t="s">
        <v>616</v>
      </c>
      <c r="BU67" s="716" t="s">
        <v>658</v>
      </c>
    </row>
    <row r="68" spans="69:73" ht="15" x14ac:dyDescent="0.25">
      <c r="BQ68" s="698" t="s">
        <v>633</v>
      </c>
      <c r="BU68" s="716" t="s">
        <v>609</v>
      </c>
    </row>
    <row r="69" spans="69:73" ht="15" x14ac:dyDescent="0.25">
      <c r="BQ69" s="698" t="s">
        <v>634</v>
      </c>
      <c r="BU69" s="716" t="s">
        <v>620</v>
      </c>
    </row>
    <row r="70" spans="69:73" ht="15" x14ac:dyDescent="0.25">
      <c r="BQ70" s="698" t="s">
        <v>626</v>
      </c>
      <c r="BU70" s="716" t="s">
        <v>647</v>
      </c>
    </row>
    <row r="71" spans="69:73" ht="15" x14ac:dyDescent="0.25">
      <c r="BQ71" s="698" t="s">
        <v>635</v>
      </c>
      <c r="BU71" s="716" t="s">
        <v>610</v>
      </c>
    </row>
    <row r="72" spans="69:73" ht="15" x14ac:dyDescent="0.25">
      <c r="BQ72" s="698" t="s">
        <v>619</v>
      </c>
      <c r="BU72" s="716" t="s">
        <v>625</v>
      </c>
    </row>
    <row r="73" spans="69:73" ht="15" x14ac:dyDescent="0.25">
      <c r="BQ73" s="698" t="s">
        <v>636</v>
      </c>
      <c r="BU73" s="716" t="s">
        <v>628</v>
      </c>
    </row>
    <row r="74" spans="69:73" ht="15" x14ac:dyDescent="0.25">
      <c r="BQ74" s="698" t="s">
        <v>637</v>
      </c>
      <c r="BU74" s="716" t="s">
        <v>626</v>
      </c>
    </row>
    <row r="75" spans="69:73" ht="15" x14ac:dyDescent="0.25">
      <c r="BQ75" s="698" t="s">
        <v>619</v>
      </c>
      <c r="BU75" s="716" t="s">
        <v>665</v>
      </c>
    </row>
    <row r="76" spans="69:73" ht="15" x14ac:dyDescent="0.25">
      <c r="BQ76" s="698" t="s">
        <v>635</v>
      </c>
      <c r="BU76" s="716" t="s">
        <v>632</v>
      </c>
    </row>
    <row r="77" spans="69:73" ht="15" x14ac:dyDescent="0.25">
      <c r="BQ77" s="698" t="s">
        <v>618</v>
      </c>
      <c r="BU77" s="716" t="s">
        <v>657</v>
      </c>
    </row>
    <row r="78" spans="69:73" ht="15" x14ac:dyDescent="0.25">
      <c r="BQ78" s="698" t="s">
        <v>613</v>
      </c>
      <c r="BU78" s="716" t="s">
        <v>645</v>
      </c>
    </row>
    <row r="79" spans="69:73" ht="15" x14ac:dyDescent="0.25">
      <c r="BQ79" s="698" t="s">
        <v>638</v>
      </c>
      <c r="BU79" s="716" t="s">
        <v>652</v>
      </c>
    </row>
    <row r="80" spans="69:73" ht="15" x14ac:dyDescent="0.25">
      <c r="BQ80" s="698" t="s">
        <v>636</v>
      </c>
      <c r="BU80" s="716" t="s">
        <v>616</v>
      </c>
    </row>
    <row r="81" spans="69:73" ht="15" x14ac:dyDescent="0.25">
      <c r="BQ81" s="698" t="s">
        <v>626</v>
      </c>
      <c r="BU81" s="716" t="s">
        <v>622</v>
      </c>
    </row>
    <row r="82" spans="69:73" ht="15" x14ac:dyDescent="0.25">
      <c r="BQ82" s="698" t="s">
        <v>639</v>
      </c>
      <c r="BU82" s="716" t="s">
        <v>638</v>
      </c>
    </row>
    <row r="83" spans="69:73" ht="15" x14ac:dyDescent="0.25">
      <c r="BQ83" s="698" t="s">
        <v>637</v>
      </c>
      <c r="BU83" s="716" t="s">
        <v>624</v>
      </c>
    </row>
    <row r="84" spans="69:73" ht="15" x14ac:dyDescent="0.25">
      <c r="BQ84" s="698" t="s">
        <v>638</v>
      </c>
      <c r="BU84" s="716" t="s">
        <v>636</v>
      </c>
    </row>
    <row r="85" spans="69:73" ht="15" x14ac:dyDescent="0.25">
      <c r="BQ85" s="698" t="s">
        <v>640</v>
      </c>
      <c r="BU85" s="716" t="s">
        <v>641</v>
      </c>
    </row>
    <row r="86" spans="69:73" ht="15" x14ac:dyDescent="0.25">
      <c r="BQ86" s="698" t="s">
        <v>641</v>
      </c>
      <c r="BU86" s="716" t="s">
        <v>655</v>
      </c>
    </row>
    <row r="87" spans="69:73" ht="15" x14ac:dyDescent="0.25">
      <c r="BQ87" s="698" t="s">
        <v>642</v>
      </c>
      <c r="BU87" s="716" t="s">
        <v>659</v>
      </c>
    </row>
    <row r="88" spans="69:73" ht="15" x14ac:dyDescent="0.25">
      <c r="BQ88" s="698" t="s">
        <v>609</v>
      </c>
      <c r="BU88" s="716" t="s">
        <v>629</v>
      </c>
    </row>
    <row r="89" spans="69:73" ht="15" x14ac:dyDescent="0.25">
      <c r="BQ89" s="698" t="s">
        <v>643</v>
      </c>
      <c r="BU89" s="716" t="s">
        <v>639</v>
      </c>
    </row>
    <row r="90" spans="69:73" ht="15" x14ac:dyDescent="0.25">
      <c r="BQ90" s="698" t="s">
        <v>644</v>
      </c>
      <c r="BU90" s="716" t="s">
        <v>621</v>
      </c>
    </row>
    <row r="91" spans="69:73" ht="15" x14ac:dyDescent="0.25">
      <c r="BQ91" s="698" t="s">
        <v>643</v>
      </c>
      <c r="BU91" s="716" t="s">
        <v>613</v>
      </c>
    </row>
    <row r="92" spans="69:73" ht="15" x14ac:dyDescent="0.25">
      <c r="BQ92" s="698" t="s">
        <v>645</v>
      </c>
      <c r="BU92" s="716" t="s">
        <v>664</v>
      </c>
    </row>
    <row r="93" spans="69:73" ht="15" x14ac:dyDescent="0.25">
      <c r="BQ93" s="698" t="s">
        <v>646</v>
      </c>
      <c r="BU93" s="716" t="s">
        <v>611</v>
      </c>
    </row>
    <row r="94" spans="69:73" ht="15" x14ac:dyDescent="0.25">
      <c r="BQ94" s="698" t="s">
        <v>647</v>
      </c>
      <c r="BU94" s="716" t="s">
        <v>667</v>
      </c>
    </row>
    <row r="95" spans="69:73" ht="15" x14ac:dyDescent="0.25">
      <c r="BQ95" s="698" t="s">
        <v>638</v>
      </c>
    </row>
    <row r="96" spans="69:73" ht="15" x14ac:dyDescent="0.25">
      <c r="BQ96" s="698" t="s">
        <v>648</v>
      </c>
    </row>
    <row r="97" spans="69:69" ht="15" x14ac:dyDescent="0.25">
      <c r="BQ97" s="698" t="s">
        <v>646</v>
      </c>
    </row>
    <row r="98" spans="69:69" ht="15" x14ac:dyDescent="0.25">
      <c r="BQ98" s="698" t="s">
        <v>649</v>
      </c>
    </row>
    <row r="99" spans="69:69" ht="15" x14ac:dyDescent="0.25">
      <c r="BQ99" s="698" t="s">
        <v>650</v>
      </c>
    </row>
    <row r="100" spans="69:69" ht="15" x14ac:dyDescent="0.25">
      <c r="BQ100" s="698" t="s">
        <v>617</v>
      </c>
    </row>
    <row r="101" spans="69:69" ht="15" x14ac:dyDescent="0.25">
      <c r="BQ101" s="698" t="s">
        <v>651</v>
      </c>
    </row>
    <row r="102" spans="69:69" ht="15" x14ac:dyDescent="0.25">
      <c r="BQ102" s="698" t="s">
        <v>652</v>
      </c>
    </row>
    <row r="103" spans="69:69" ht="15" x14ac:dyDescent="0.25">
      <c r="BQ103" s="698" t="s">
        <v>609</v>
      </c>
    </row>
    <row r="104" spans="69:69" ht="15" x14ac:dyDescent="0.25">
      <c r="BQ104" s="698" t="s">
        <v>653</v>
      </c>
    </row>
    <row r="105" spans="69:69" ht="15" x14ac:dyDescent="0.25">
      <c r="BQ105" s="698" t="s">
        <v>654</v>
      </c>
    </row>
    <row r="106" spans="69:69" ht="15" x14ac:dyDescent="0.25">
      <c r="BQ106" s="698" t="s">
        <v>619</v>
      </c>
    </row>
    <row r="107" spans="69:69" ht="15" x14ac:dyDescent="0.25">
      <c r="BQ107" s="698" t="s">
        <v>655</v>
      </c>
    </row>
    <row r="108" spans="69:69" ht="15" x14ac:dyDescent="0.25">
      <c r="BQ108" s="698" t="s">
        <v>656</v>
      </c>
    </row>
    <row r="109" spans="69:69" ht="15" x14ac:dyDescent="0.25">
      <c r="BQ109" s="698" t="s">
        <v>644</v>
      </c>
    </row>
    <row r="110" spans="69:69" ht="15" x14ac:dyDescent="0.25">
      <c r="BQ110" s="698" t="s">
        <v>609</v>
      </c>
    </row>
    <row r="111" spans="69:69" ht="15" x14ac:dyDescent="0.25">
      <c r="BQ111" s="698" t="s">
        <v>657</v>
      </c>
    </row>
    <row r="112" spans="69:69" ht="15" x14ac:dyDescent="0.25">
      <c r="BQ112" s="698" t="s">
        <v>610</v>
      </c>
    </row>
    <row r="113" spans="69:69" ht="15" x14ac:dyDescent="0.25">
      <c r="BQ113" s="698" t="s">
        <v>658</v>
      </c>
    </row>
    <row r="114" spans="69:69" ht="15" x14ac:dyDescent="0.25">
      <c r="BQ114" s="698" t="s">
        <v>659</v>
      </c>
    </row>
    <row r="115" spans="69:69" ht="15" x14ac:dyDescent="0.25">
      <c r="BQ115" s="698" t="s">
        <v>644</v>
      </c>
    </row>
    <row r="116" spans="69:69" ht="15" x14ac:dyDescent="0.25">
      <c r="BQ116" s="698" t="s">
        <v>621</v>
      </c>
    </row>
    <row r="117" spans="69:69" ht="15" x14ac:dyDescent="0.25">
      <c r="BQ117" s="698" t="s">
        <v>619</v>
      </c>
    </row>
    <row r="118" spans="69:69" ht="15" x14ac:dyDescent="0.25">
      <c r="BQ118" s="698" t="s">
        <v>660</v>
      </c>
    </row>
    <row r="119" spans="69:69" ht="15" x14ac:dyDescent="0.25">
      <c r="BQ119" s="698" t="s">
        <v>615</v>
      </c>
    </row>
    <row r="120" spans="69:69" ht="15" x14ac:dyDescent="0.25">
      <c r="BQ120" s="698" t="s">
        <v>629</v>
      </c>
    </row>
    <row r="121" spans="69:69" ht="15" x14ac:dyDescent="0.25">
      <c r="BQ121" s="698" t="s">
        <v>635</v>
      </c>
    </row>
    <row r="122" spans="69:69" ht="15" x14ac:dyDescent="0.25">
      <c r="BQ122" s="698" t="s">
        <v>661</v>
      </c>
    </row>
    <row r="123" spans="69:69" ht="15" x14ac:dyDescent="0.25">
      <c r="BQ123" s="698" t="s">
        <v>619</v>
      </c>
    </row>
    <row r="124" spans="69:69" ht="15" x14ac:dyDescent="0.25">
      <c r="BQ124" s="698" t="s">
        <v>639</v>
      </c>
    </row>
    <row r="125" spans="69:69" ht="15" x14ac:dyDescent="0.25">
      <c r="BQ125" s="698" t="s">
        <v>644</v>
      </c>
    </row>
    <row r="126" spans="69:69" ht="15" x14ac:dyDescent="0.25">
      <c r="BQ126" s="698" t="s">
        <v>658</v>
      </c>
    </row>
    <row r="127" spans="69:69" ht="15" x14ac:dyDescent="0.25">
      <c r="BQ127" s="698" t="s">
        <v>629</v>
      </c>
    </row>
    <row r="128" spans="69:69" ht="15" x14ac:dyDescent="0.25">
      <c r="BQ128" s="698" t="s">
        <v>662</v>
      </c>
    </row>
    <row r="129" spans="69:69" ht="15" x14ac:dyDescent="0.25">
      <c r="BQ129" s="698" t="s">
        <v>609</v>
      </c>
    </row>
    <row r="130" spans="69:69" ht="15" x14ac:dyDescent="0.25">
      <c r="BQ130" s="698" t="s">
        <v>612</v>
      </c>
    </row>
    <row r="131" spans="69:69" ht="15" x14ac:dyDescent="0.25">
      <c r="BQ131" s="698" t="s">
        <v>656</v>
      </c>
    </row>
    <row r="132" spans="69:69" ht="15" x14ac:dyDescent="0.25">
      <c r="BQ132" s="698" t="s">
        <v>612</v>
      </c>
    </row>
    <row r="133" spans="69:69" ht="15" x14ac:dyDescent="0.25">
      <c r="BQ133" s="698" t="s">
        <v>612</v>
      </c>
    </row>
    <row r="134" spans="69:69" ht="15" x14ac:dyDescent="0.25">
      <c r="BQ134" s="698" t="s">
        <v>612</v>
      </c>
    </row>
    <row r="135" spans="69:69" ht="15" x14ac:dyDescent="0.25">
      <c r="BQ135" s="698" t="s">
        <v>639</v>
      </c>
    </row>
    <row r="136" spans="69:69" ht="15" x14ac:dyDescent="0.25">
      <c r="BQ136" s="698" t="s">
        <v>610</v>
      </c>
    </row>
    <row r="137" spans="69:69" ht="15" x14ac:dyDescent="0.25">
      <c r="BQ137" s="698" t="s">
        <v>663</v>
      </c>
    </row>
    <row r="138" spans="69:69" ht="15" x14ac:dyDescent="0.25">
      <c r="BQ138" s="698" t="s">
        <v>613</v>
      </c>
    </row>
    <row r="139" spans="69:69" ht="15" x14ac:dyDescent="0.25">
      <c r="BQ139" s="698" t="s">
        <v>650</v>
      </c>
    </row>
    <row r="140" spans="69:69" ht="15" x14ac:dyDescent="0.25">
      <c r="BQ140" s="698" t="s">
        <v>615</v>
      </c>
    </row>
    <row r="141" spans="69:69" ht="15" x14ac:dyDescent="0.25">
      <c r="BQ141" s="698" t="s">
        <v>639</v>
      </c>
    </row>
    <row r="142" spans="69:69" ht="15" x14ac:dyDescent="0.25">
      <c r="BQ142" s="698" t="s">
        <v>619</v>
      </c>
    </row>
    <row r="143" spans="69:69" ht="15" x14ac:dyDescent="0.25">
      <c r="BQ143" s="698" t="s">
        <v>656</v>
      </c>
    </row>
    <row r="144" spans="69:69" ht="15" x14ac:dyDescent="0.25">
      <c r="BQ144" s="698" t="s">
        <v>647</v>
      </c>
    </row>
    <row r="145" spans="69:69" ht="15" x14ac:dyDescent="0.25">
      <c r="BQ145" s="698" t="s">
        <v>617</v>
      </c>
    </row>
    <row r="146" spans="69:69" ht="15" x14ac:dyDescent="0.25">
      <c r="BQ146" s="698" t="s">
        <v>609</v>
      </c>
    </row>
    <row r="147" spans="69:69" ht="15" x14ac:dyDescent="0.25">
      <c r="BQ147" s="698" t="s">
        <v>656</v>
      </c>
    </row>
    <row r="148" spans="69:69" ht="15" x14ac:dyDescent="0.25">
      <c r="BQ148" s="698" t="s">
        <v>664</v>
      </c>
    </row>
    <row r="149" spans="69:69" ht="15" x14ac:dyDescent="0.25">
      <c r="BQ149" s="698" t="s">
        <v>629</v>
      </c>
    </row>
    <row r="150" spans="69:69" ht="15" x14ac:dyDescent="0.25">
      <c r="BQ150" s="698" t="s">
        <v>619</v>
      </c>
    </row>
    <row r="151" spans="69:69" ht="15" x14ac:dyDescent="0.25">
      <c r="BQ151" s="698" t="s">
        <v>626</v>
      </c>
    </row>
    <row r="152" spans="69:69" ht="15" x14ac:dyDescent="0.25">
      <c r="BQ152" s="698" t="s">
        <v>665</v>
      </c>
    </row>
    <row r="153" spans="69:69" ht="15" x14ac:dyDescent="0.25">
      <c r="BQ153" s="698" t="s">
        <v>657</v>
      </c>
    </row>
    <row r="154" spans="69:69" ht="15" x14ac:dyDescent="0.25">
      <c r="BQ154" s="698" t="s">
        <v>645</v>
      </c>
    </row>
  </sheetData>
  <mergeCells count="5">
    <mergeCell ref="A1:B1"/>
    <mergeCell ref="BC33:BC34"/>
    <mergeCell ref="BE33:BE34"/>
    <mergeCell ref="BD33:BD34"/>
    <mergeCell ref="BF33:BF34"/>
  </mergeCells>
  <pageMargins left="0.7" right="0.7" top="0.75" bottom="0.75" header="0.3" footer="0.3"/>
  <pageSetup scale="14" fitToHeight="0" orientation="landscape" r:id="rId2"/>
  <headerFooter>
    <oddFooter>&amp;R2016-04-12
&amp;A
Caring Together rate review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M75"/>
  <sheetViews>
    <sheetView topLeftCell="A59" zoomScale="85" zoomScaleNormal="85" workbookViewId="0">
      <selection activeCell="C78" sqref="C78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bestFit="1" customWidth="1"/>
    <col min="6" max="6" width="13.140625" style="281" customWidth="1"/>
    <col min="7" max="7" width="9.140625" style="23"/>
    <col min="8" max="8" width="31.85546875" style="23" bestFit="1" customWidth="1"/>
    <col min="9" max="9" width="9.5703125" style="23" customWidth="1"/>
    <col min="10" max="10" width="12.28515625" style="23" customWidth="1"/>
    <col min="11" max="11" width="13" style="23" customWidth="1"/>
    <col min="12" max="12" width="11.7109375" style="23" bestFit="1" customWidth="1"/>
    <col min="13" max="13" width="12" style="23" bestFit="1" customWidth="1"/>
    <col min="14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ht="13.9" thickBot="1" x14ac:dyDescent="0.3">
      <c r="F6" s="1144"/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9" customHeight="1" thickBot="1" x14ac:dyDescent="0.3">
      <c r="A7" s="1527" t="s">
        <v>149</v>
      </c>
      <c r="B7" s="1528"/>
      <c r="C7" s="1528"/>
      <c r="D7" s="1528"/>
      <c r="E7" s="1529"/>
      <c r="F7" s="625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50" t="s">
        <v>205</v>
      </c>
      <c r="B8" s="566">
        <f>J$25</f>
        <v>3</v>
      </c>
      <c r="C8" s="120"/>
      <c r="D8" s="120" t="s">
        <v>206</v>
      </c>
      <c r="E8" s="1059">
        <f>B8*365</f>
        <v>1095</v>
      </c>
      <c r="F8" s="162"/>
      <c r="H8" s="14" t="s">
        <v>16</v>
      </c>
      <c r="I8" s="15">
        <v>5</v>
      </c>
      <c r="J8" s="16">
        <f>I8*8</f>
        <v>40</v>
      </c>
      <c r="K8" s="17"/>
      <c r="L8" s="24"/>
      <c r="M8" s="24"/>
    </row>
    <row r="9" spans="1:13" ht="13.15" x14ac:dyDescent="0.25">
      <c r="A9" s="43"/>
      <c r="B9" s="29"/>
      <c r="C9" s="29"/>
      <c r="D9" s="29"/>
      <c r="E9" s="41"/>
      <c r="F9" s="162"/>
      <c r="H9" s="11"/>
      <c r="I9" s="18" t="s">
        <v>17</v>
      </c>
      <c r="J9" s="13">
        <f>SUM(J5:J8)</f>
        <v>312</v>
      </c>
      <c r="K9" s="19"/>
      <c r="L9" s="24"/>
      <c r="M9" s="24"/>
    </row>
    <row r="10" spans="1:13" ht="13.9" thickBot="1" x14ac:dyDescent="0.3">
      <c r="A10" s="1060"/>
      <c r="B10" s="26"/>
      <c r="C10" s="27" t="s">
        <v>2</v>
      </c>
      <c r="D10" s="27" t="s">
        <v>3</v>
      </c>
      <c r="E10" s="1075" t="s">
        <v>4</v>
      </c>
      <c r="F10" s="162"/>
      <c r="H10" s="20"/>
      <c r="I10" s="21" t="s">
        <v>18</v>
      </c>
      <c r="J10" s="22">
        <f>J9/(52*40)</f>
        <v>0.15</v>
      </c>
      <c r="K10" s="56">
        <f>J10/2</f>
        <v>7.4999999999999997E-2</v>
      </c>
    </row>
    <row r="11" spans="1:13" ht="13.9" thickBot="1" x14ac:dyDescent="0.3">
      <c r="A11" s="1062" t="s">
        <v>19</v>
      </c>
      <c r="B11" s="29"/>
      <c r="C11" s="40">
        <f>J$13</f>
        <v>56249</v>
      </c>
      <c r="D11" s="46">
        <f>J$26</f>
        <v>0.25</v>
      </c>
      <c r="E11" s="1063">
        <f>C11*D11</f>
        <v>14062.25</v>
      </c>
      <c r="F11" s="162"/>
    </row>
    <row r="12" spans="1:13" ht="13.15" x14ac:dyDescent="0.25">
      <c r="A12" s="7" t="s">
        <v>227</v>
      </c>
      <c r="B12" s="29"/>
      <c r="C12" s="40"/>
      <c r="D12" s="46"/>
      <c r="E12" s="1063"/>
      <c r="F12" s="162"/>
      <c r="H12" s="36"/>
      <c r="I12" s="37"/>
      <c r="J12" s="38" t="s">
        <v>75</v>
      </c>
      <c r="K12" s="39"/>
    </row>
    <row r="13" spans="1:13" ht="13.15" x14ac:dyDescent="0.25">
      <c r="A13" s="11" t="s">
        <v>26</v>
      </c>
      <c r="B13" s="29"/>
      <c r="C13" s="280">
        <f>J15</f>
        <v>53768</v>
      </c>
      <c r="D13" s="46">
        <f>J28</f>
        <v>0.25</v>
      </c>
      <c r="E13" s="1063">
        <f>C13*D13</f>
        <v>13442</v>
      </c>
      <c r="F13" s="162"/>
      <c r="H13" s="7" t="s">
        <v>19</v>
      </c>
      <c r="I13" s="29"/>
      <c r="J13" s="40">
        <f>'Group Home (rebased)'!P13</f>
        <v>56249</v>
      </c>
      <c r="K13" s="117"/>
    </row>
    <row r="14" spans="1:13" ht="13.15" x14ac:dyDescent="0.25">
      <c r="A14" s="7" t="s">
        <v>5</v>
      </c>
      <c r="B14" s="29"/>
      <c r="C14" s="40"/>
      <c r="D14" s="46"/>
      <c r="E14" s="1063"/>
      <c r="F14" s="162"/>
      <c r="H14" s="7" t="s">
        <v>227</v>
      </c>
      <c r="I14" s="29"/>
      <c r="J14" s="40"/>
      <c r="K14" s="117"/>
    </row>
    <row r="15" spans="1:13" ht="13.15" x14ac:dyDescent="0.25">
      <c r="A15" s="11" t="s">
        <v>30</v>
      </c>
      <c r="B15" s="29"/>
      <c r="C15" s="40">
        <f>J18</f>
        <v>30648</v>
      </c>
      <c r="D15" s="46">
        <f>J31</f>
        <v>0.25</v>
      </c>
      <c r="E15" s="1063">
        <f>C15*D15</f>
        <v>7662</v>
      </c>
      <c r="F15" s="162"/>
      <c r="H15" s="11" t="s">
        <v>26</v>
      </c>
      <c r="I15" s="29"/>
      <c r="J15" s="280">
        <f>'Group Home (rebased)'!P18</f>
        <v>53768</v>
      </c>
      <c r="K15" s="118"/>
    </row>
    <row r="16" spans="1:13" ht="13.15" x14ac:dyDescent="0.25">
      <c r="A16" s="42" t="s">
        <v>31</v>
      </c>
      <c r="B16" s="29"/>
      <c r="C16" s="40">
        <f>J19</f>
        <v>30648</v>
      </c>
      <c r="D16" s="46">
        <f>J32</f>
        <v>1.8749999999999999E-2</v>
      </c>
      <c r="E16" s="1063">
        <f>C16*D16</f>
        <v>574.65</v>
      </c>
      <c r="F16" s="162"/>
      <c r="H16" s="7" t="s">
        <v>5</v>
      </c>
      <c r="I16" s="29"/>
      <c r="J16" s="40"/>
      <c r="K16" s="118"/>
    </row>
    <row r="17" spans="1:11" ht="13.15" x14ac:dyDescent="0.25">
      <c r="A17" s="7" t="s">
        <v>6</v>
      </c>
      <c r="B17" s="29"/>
      <c r="C17" s="40"/>
      <c r="D17" s="46"/>
      <c r="E17" s="1063"/>
      <c r="F17" s="162"/>
      <c r="H17" s="11" t="s">
        <v>60</v>
      </c>
      <c r="I17" s="29"/>
      <c r="J17" s="40">
        <f>'Group Home (rebased)'!P22</f>
        <v>39040</v>
      </c>
      <c r="K17" s="118"/>
    </row>
    <row r="18" spans="1:11" ht="13.15" x14ac:dyDescent="0.25">
      <c r="A18" s="11" t="s">
        <v>32</v>
      </c>
      <c r="B18" s="29"/>
      <c r="C18" s="40">
        <f>J21</f>
        <v>30648</v>
      </c>
      <c r="D18" s="46">
        <f>J34</f>
        <v>7.4999999999999997E-2</v>
      </c>
      <c r="E18" s="1063">
        <f>C18*D18</f>
        <v>2298.6</v>
      </c>
      <c r="F18" s="162"/>
      <c r="H18" s="11" t="s">
        <v>30</v>
      </c>
      <c r="I18" s="29"/>
      <c r="J18" s="40">
        <f>'Group Home (rebased)'!P23</f>
        <v>30648</v>
      </c>
      <c r="K18" s="118"/>
    </row>
    <row r="19" spans="1:11" ht="13.15" x14ac:dyDescent="0.25">
      <c r="A19" s="1065" t="s">
        <v>7</v>
      </c>
      <c r="B19" s="31"/>
      <c r="C19" s="31"/>
      <c r="D19" s="32">
        <f>SUM(D11:D18)</f>
        <v>0.84375</v>
      </c>
      <c r="E19" s="1076">
        <f>SUM(E11:E18)</f>
        <v>38039.5</v>
      </c>
      <c r="F19" s="162"/>
      <c r="H19" s="42" t="s">
        <v>31</v>
      </c>
      <c r="I19" s="29"/>
      <c r="J19" s="40">
        <f>'Group Home (rebased)'!P24</f>
        <v>30648</v>
      </c>
      <c r="K19" s="118"/>
    </row>
    <row r="20" spans="1:11" ht="13.15" x14ac:dyDescent="0.25">
      <c r="A20" s="43"/>
      <c r="B20" s="29"/>
      <c r="C20" s="29"/>
      <c r="D20" s="29"/>
      <c r="E20" s="41"/>
      <c r="F20" s="162"/>
      <c r="H20" s="7" t="s">
        <v>6</v>
      </c>
      <c r="I20" s="29"/>
      <c r="J20" s="40"/>
      <c r="K20" s="118"/>
    </row>
    <row r="21" spans="1:11" ht="13.15" x14ac:dyDescent="0.25">
      <c r="A21" s="50" t="s">
        <v>21</v>
      </c>
      <c r="B21" s="29"/>
      <c r="C21" s="29"/>
      <c r="D21" s="120" t="s">
        <v>20</v>
      </c>
      <c r="E21" s="41"/>
      <c r="F21" s="162"/>
      <c r="H21" s="11" t="s">
        <v>32</v>
      </c>
      <c r="I21" s="29"/>
      <c r="J21" s="40">
        <f>'Group Home (rebased)'!P26</f>
        <v>30648</v>
      </c>
      <c r="K21" s="118" t="s">
        <v>70</v>
      </c>
    </row>
    <row r="22" spans="1:11" ht="13.15" x14ac:dyDescent="0.25">
      <c r="A22" s="43" t="s">
        <v>22</v>
      </c>
      <c r="B22" s="29"/>
      <c r="C22" s="573">
        <f>$J$37</f>
        <v>0.23424901786252411</v>
      </c>
      <c r="D22" s="29"/>
      <c r="E22" s="1063">
        <f>C22*E19</f>
        <v>8910.7155149814862</v>
      </c>
      <c r="F22" s="162"/>
      <c r="H22" s="11"/>
      <c r="J22" s="40"/>
      <c r="K22" s="41"/>
    </row>
    <row r="23" spans="1:11" ht="13.15" x14ac:dyDescent="0.25">
      <c r="A23" s="1065" t="s">
        <v>51</v>
      </c>
      <c r="B23" s="31"/>
      <c r="C23" s="31"/>
      <c r="D23" s="70">
        <f>E23/E8</f>
        <v>42.876909146101816</v>
      </c>
      <c r="E23" s="1076">
        <f>E22+E19</f>
        <v>46950.215514981486</v>
      </c>
      <c r="F23" s="162"/>
      <c r="H23" s="43"/>
      <c r="J23" s="164" t="s">
        <v>148</v>
      </c>
      <c r="K23" s="41"/>
    </row>
    <row r="24" spans="1:11" ht="13.15" x14ac:dyDescent="0.25">
      <c r="A24" s="43"/>
      <c r="B24" s="29"/>
      <c r="C24" s="29"/>
      <c r="D24" s="29"/>
      <c r="E24" s="41"/>
      <c r="F24" s="162"/>
      <c r="H24" s="43" t="s">
        <v>35</v>
      </c>
      <c r="I24" s="102"/>
      <c r="J24" s="65" t="s">
        <v>136</v>
      </c>
      <c r="K24" s="66" t="s">
        <v>137</v>
      </c>
    </row>
    <row r="25" spans="1:11" ht="13.15" x14ac:dyDescent="0.25">
      <c r="A25" s="43" t="s">
        <v>107</v>
      </c>
      <c r="B25" s="29"/>
      <c r="C25" s="40">
        <f>J39</f>
        <v>1075.3995600000001</v>
      </c>
      <c r="D25" s="29"/>
      <c r="E25" s="1063">
        <f>C25*B8</f>
        <v>3226.1986800000004</v>
      </c>
      <c r="F25" s="162"/>
      <c r="H25" s="43" t="s">
        <v>36</v>
      </c>
      <c r="I25" s="34"/>
      <c r="J25" s="57">
        <f>'[14]Rates v4'!$C$42</f>
        <v>3</v>
      </c>
      <c r="K25" s="67">
        <f>'[14]Rates v4'!$G$42</f>
        <v>6</v>
      </c>
    </row>
    <row r="26" spans="1:11" ht="13.15" x14ac:dyDescent="0.25">
      <c r="A26" s="43" t="s">
        <v>41</v>
      </c>
      <c r="B26" s="29"/>
      <c r="C26" s="40">
        <f>J40</f>
        <v>2013.14797632</v>
      </c>
      <c r="D26" s="29"/>
      <c r="E26" s="1063">
        <f>C26*B8</f>
        <v>6039.4439289599995</v>
      </c>
      <c r="F26" s="162"/>
      <c r="H26" s="7" t="s">
        <v>19</v>
      </c>
      <c r="I26" s="123"/>
      <c r="J26" s="112">
        <f>'[14]Rates v4'!$C$43</f>
        <v>0.25</v>
      </c>
      <c r="K26" s="113">
        <f>'[14]Rates v4'!$G$43</f>
        <v>0.25</v>
      </c>
    </row>
    <row r="27" spans="1:11" ht="13.15" x14ac:dyDescent="0.25">
      <c r="A27" s="43"/>
      <c r="B27" s="29"/>
      <c r="C27" s="29"/>
      <c r="D27" s="29"/>
      <c r="E27" s="41"/>
      <c r="F27" s="162"/>
      <c r="H27" s="7" t="s">
        <v>227</v>
      </c>
      <c r="I27" s="123"/>
      <c r="J27" s="112"/>
      <c r="K27" s="113"/>
    </row>
    <row r="28" spans="1:11" ht="13.15" x14ac:dyDescent="0.25">
      <c r="A28" s="43" t="s">
        <v>40</v>
      </c>
      <c r="B28" s="29"/>
      <c r="C28" s="29"/>
      <c r="D28" s="61">
        <f>$J$42</f>
        <v>9.3022061940000018</v>
      </c>
      <c r="E28" s="1077">
        <f>D28*E8</f>
        <v>10185.915782430002</v>
      </c>
      <c r="F28" s="162"/>
      <c r="H28" s="11" t="s">
        <v>26</v>
      </c>
      <c r="I28" s="123"/>
      <c r="J28" s="112">
        <f>'[14]Rates v4'!$C$45</f>
        <v>0.25</v>
      </c>
      <c r="K28" s="113"/>
    </row>
    <row r="29" spans="1:11" ht="13.15" x14ac:dyDescent="0.25">
      <c r="A29" s="43"/>
      <c r="B29" s="29"/>
      <c r="C29" s="29"/>
      <c r="D29" s="29"/>
      <c r="E29" s="41"/>
      <c r="F29" s="162"/>
      <c r="H29" s="7" t="s">
        <v>5</v>
      </c>
      <c r="I29" s="123"/>
      <c r="J29" s="112"/>
      <c r="K29" s="113"/>
    </row>
    <row r="30" spans="1:11" ht="13.15" x14ac:dyDescent="0.25">
      <c r="A30" s="1065" t="s">
        <v>43</v>
      </c>
      <c r="B30" s="31"/>
      <c r="C30" s="31"/>
      <c r="D30" s="31"/>
      <c r="E30" s="1076">
        <f>SUM(E23:E28)</f>
        <v>66401.773906371483</v>
      </c>
      <c r="F30" s="162"/>
      <c r="H30" s="11" t="s">
        <v>60</v>
      </c>
      <c r="I30" s="123"/>
      <c r="J30" s="112"/>
      <c r="K30" s="113">
        <f>'[14]Rates v4'!$G$47</f>
        <v>0.6</v>
      </c>
    </row>
    <row r="31" spans="1:11" ht="13.15" x14ac:dyDescent="0.25">
      <c r="A31" s="1206"/>
      <c r="B31" s="102"/>
      <c r="C31" s="102"/>
      <c r="D31" s="102"/>
      <c r="E31" s="104"/>
      <c r="F31" s="162"/>
      <c r="H31" s="11" t="s">
        <v>30</v>
      </c>
      <c r="I31" s="123"/>
      <c r="J31" s="112">
        <f>'[14]Rates v4'!$C$48</f>
        <v>0.25</v>
      </c>
      <c r="K31" s="113"/>
    </row>
    <row r="32" spans="1:11" ht="13.15" x14ac:dyDescent="0.25">
      <c r="A32" s="43" t="s">
        <v>44</v>
      </c>
      <c r="B32" s="29"/>
      <c r="C32" s="573">
        <f>$J$45</f>
        <v>0.11846733793705286</v>
      </c>
      <c r="D32" s="29"/>
      <c r="E32" s="1063">
        <f>C32*E30</f>
        <v>7866.4413889858888</v>
      </c>
      <c r="F32" s="162"/>
      <c r="H32" s="42" t="s">
        <v>31</v>
      </c>
      <c r="I32" s="110"/>
      <c r="J32" s="110">
        <f>J31*K10</f>
        <v>1.8749999999999999E-2</v>
      </c>
      <c r="K32" s="111"/>
    </row>
    <row r="33" spans="1:12" ht="13.15" x14ac:dyDescent="0.25">
      <c r="A33" s="43"/>
      <c r="B33" s="29"/>
      <c r="C33" s="29"/>
      <c r="D33" s="29"/>
      <c r="E33" s="41"/>
      <c r="F33" s="162"/>
      <c r="H33" s="7" t="s">
        <v>6</v>
      </c>
      <c r="I33" s="123"/>
      <c r="J33" s="112"/>
      <c r="K33" s="113"/>
    </row>
    <row r="34" spans="1:12" ht="13.9" thickBot="1" x14ac:dyDescent="0.3">
      <c r="A34" s="1067" t="s">
        <v>52</v>
      </c>
      <c r="B34" s="74"/>
      <c r="C34" s="74"/>
      <c r="D34" s="74"/>
      <c r="E34" s="1078">
        <f>SUM(E30:E32)</f>
        <v>74268.215295357368</v>
      </c>
      <c r="F34" s="162"/>
      <c r="H34" s="11" t="s">
        <v>32</v>
      </c>
      <c r="I34" s="123"/>
      <c r="J34" s="112">
        <f>(J25/'Group Home'!R30)*'Group Home'!R44</f>
        <v>7.4999999999999997E-2</v>
      </c>
      <c r="K34" s="113">
        <f>(K25/'Group Home'!S30)*'Group Home'!S44</f>
        <v>0.125</v>
      </c>
      <c r="L34" s="23" t="s">
        <v>218</v>
      </c>
    </row>
    <row r="35" spans="1:12" ht="13.9" thickTop="1" x14ac:dyDescent="0.25">
      <c r="A35" s="43"/>
      <c r="B35" s="29"/>
      <c r="C35" s="29"/>
      <c r="D35" s="29"/>
      <c r="E35" s="41"/>
      <c r="F35" s="162"/>
      <c r="H35" s="43"/>
      <c r="I35" s="29"/>
      <c r="J35" s="29"/>
      <c r="K35" s="41"/>
    </row>
    <row r="36" spans="1:12" ht="13.15" x14ac:dyDescent="0.25">
      <c r="A36" s="43"/>
      <c r="B36" s="29"/>
      <c r="C36" s="575"/>
      <c r="D36" s="29"/>
      <c r="E36" s="1068">
        <f>E34*(1+C36)</f>
        <v>74268.215295357368</v>
      </c>
      <c r="F36" s="162"/>
      <c r="H36" s="43"/>
      <c r="I36" s="29"/>
      <c r="J36" s="44" t="s">
        <v>203</v>
      </c>
      <c r="K36" s="137"/>
    </row>
    <row r="37" spans="1:12" ht="13.15" x14ac:dyDescent="0.25">
      <c r="A37" s="43"/>
      <c r="B37" s="29"/>
      <c r="C37" s="29"/>
      <c r="D37" s="29"/>
      <c r="E37" s="41"/>
      <c r="F37" s="162"/>
      <c r="H37" s="43" t="s">
        <v>22</v>
      </c>
      <c r="I37" s="29"/>
      <c r="J37" s="95">
        <f>'Group Home'!Q47</f>
        <v>0.23424901786252411</v>
      </c>
      <c r="K37" s="138"/>
    </row>
    <row r="38" spans="1:12" ht="13.15" x14ac:dyDescent="0.25">
      <c r="A38" s="43"/>
      <c r="B38" s="29"/>
      <c r="C38" s="29"/>
      <c r="D38" s="29"/>
      <c r="E38" s="1069" t="s">
        <v>789</v>
      </c>
      <c r="F38" s="391"/>
      <c r="H38" s="43"/>
      <c r="I38" s="29"/>
      <c r="J38" s="48"/>
      <c r="K38" s="139"/>
    </row>
    <row r="39" spans="1:12" ht="13.9" thickBot="1" x14ac:dyDescent="0.3">
      <c r="A39" s="43" t="s">
        <v>55</v>
      </c>
      <c r="B39" s="162"/>
      <c r="C39" s="162"/>
      <c r="D39" s="398"/>
      <c r="E39" s="1081">
        <f>E34/E8</f>
        <v>67.824854151011294</v>
      </c>
      <c r="F39" s="394"/>
      <c r="H39" s="179" t="s">
        <v>233</v>
      </c>
      <c r="I39" s="29"/>
      <c r="J39" s="119">
        <f>1000*(5.39%+1)*(2.04%+1)</f>
        <v>1075.3995600000001</v>
      </c>
      <c r="K39" s="140"/>
    </row>
    <row r="40" spans="1:12" ht="13.9" thickBot="1" x14ac:dyDescent="0.3">
      <c r="A40" s="1207" t="s">
        <v>827</v>
      </c>
      <c r="B40" s="1174"/>
      <c r="C40" s="1208"/>
      <c r="D40" s="1209"/>
      <c r="E40" s="1377">
        <f>E39*(1+C40)</f>
        <v>67.824854151011294</v>
      </c>
      <c r="F40" s="416"/>
      <c r="H40" s="179" t="s">
        <v>234</v>
      </c>
      <c r="I40" s="29"/>
      <c r="J40" s="119">
        <f>(90*52*0.4)*(5.39%+1)*(2.04%+1)</f>
        <v>2013.14797632</v>
      </c>
      <c r="K40" s="165" t="s">
        <v>204</v>
      </c>
    </row>
    <row r="41" spans="1:12" ht="13.9" thickBot="1" x14ac:dyDescent="0.3">
      <c r="A41" s="1373" t="s">
        <v>761</v>
      </c>
      <c r="B41" s="1374"/>
      <c r="C41" s="1375">
        <f>J47</f>
        <v>2.3900000000000001E-2</v>
      </c>
      <c r="D41" s="1381"/>
      <c r="E41" s="1119">
        <f>E40*(C41+1)-0.01</f>
        <v>69.435868165220455</v>
      </c>
      <c r="F41" s="416"/>
      <c r="H41" s="43"/>
      <c r="I41" s="29"/>
      <c r="J41" s="29"/>
      <c r="K41" s="41"/>
    </row>
    <row r="42" spans="1:12" ht="13.15" x14ac:dyDescent="0.25">
      <c r="H42" s="43" t="s">
        <v>40</v>
      </c>
      <c r="I42" s="29"/>
      <c r="J42" s="59">
        <f>8.65*(5.39%+1)*(2.04%+1)</f>
        <v>9.3022061940000018</v>
      </c>
      <c r="K42" s="146" t="s">
        <v>86</v>
      </c>
    </row>
    <row r="43" spans="1:12" ht="13.15" customHeight="1" thickBot="1" x14ac:dyDescent="0.3">
      <c r="F43" s="1144"/>
      <c r="H43" s="101" t="s">
        <v>43</v>
      </c>
      <c r="I43" s="102"/>
      <c r="J43" s="103">
        <f>SUM(J42:J42)</f>
        <v>9.3022061940000018</v>
      </c>
      <c r="K43" s="142"/>
    </row>
    <row r="44" spans="1:12" ht="13.9" customHeight="1" thickBot="1" x14ac:dyDescent="0.3">
      <c r="A44" s="1527" t="s">
        <v>201</v>
      </c>
      <c r="B44" s="1528"/>
      <c r="C44" s="1528"/>
      <c r="D44" s="1528"/>
      <c r="E44" s="1529"/>
      <c r="F44" s="625"/>
      <c r="H44" s="43"/>
      <c r="I44" s="29"/>
      <c r="J44" s="61"/>
      <c r="K44" s="140"/>
    </row>
    <row r="45" spans="1:12" ht="13.15" x14ac:dyDescent="0.25">
      <c r="A45" s="50" t="s">
        <v>205</v>
      </c>
      <c r="B45" s="566">
        <f>K$25</f>
        <v>6</v>
      </c>
      <c r="C45" s="120"/>
      <c r="D45" s="120" t="s">
        <v>206</v>
      </c>
      <c r="E45" s="1059">
        <f>B45*365</f>
        <v>2190</v>
      </c>
      <c r="F45" s="162"/>
      <c r="H45" s="43" t="s">
        <v>44</v>
      </c>
      <c r="I45" s="29"/>
      <c r="J45" s="95">
        <f>'Group Home'!Q55</f>
        <v>0.11846733793705286</v>
      </c>
      <c r="K45" s="138"/>
    </row>
    <row r="46" spans="1:12" ht="13.15" x14ac:dyDescent="0.25">
      <c r="A46" s="43"/>
      <c r="B46" s="29"/>
      <c r="C46" s="29"/>
      <c r="D46" s="29"/>
      <c r="E46" s="41"/>
      <c r="F46" s="162"/>
      <c r="H46" s="43"/>
      <c r="I46" s="29"/>
      <c r="J46" s="29"/>
      <c r="K46" s="41"/>
    </row>
    <row r="47" spans="1:12" ht="13.9" thickBot="1" x14ac:dyDescent="0.3">
      <c r="A47" s="1060"/>
      <c r="B47" s="26"/>
      <c r="C47" s="27" t="s">
        <v>2</v>
      </c>
      <c r="D47" s="27" t="s">
        <v>3</v>
      </c>
      <c r="E47" s="1075" t="s">
        <v>4</v>
      </c>
      <c r="F47" s="162"/>
      <c r="H47" s="239" t="s">
        <v>824</v>
      </c>
      <c r="I47" s="52"/>
      <c r="J47" s="96">
        <v>2.3900000000000001E-2</v>
      </c>
      <c r="K47" s="143"/>
    </row>
    <row r="48" spans="1:12" ht="13.15" x14ac:dyDescent="0.25">
      <c r="A48" s="1062" t="s">
        <v>19</v>
      </c>
      <c r="B48" s="29"/>
      <c r="C48" s="40">
        <f>J13</f>
        <v>56249</v>
      </c>
      <c r="D48" s="46">
        <f>K26</f>
        <v>0.25</v>
      </c>
      <c r="E48" s="1063">
        <f>C48*D48</f>
        <v>14062.25</v>
      </c>
      <c r="F48" s="162"/>
      <c r="H48" s="63" t="s">
        <v>50</v>
      </c>
      <c r="I48" s="64" t="s">
        <v>46</v>
      </c>
    </row>
    <row r="49" spans="1:8" ht="25.9" customHeight="1" x14ac:dyDescent="0.25">
      <c r="A49" s="7" t="s">
        <v>5</v>
      </c>
      <c r="B49" s="29"/>
      <c r="C49" s="40"/>
      <c r="D49" s="46"/>
      <c r="E49" s="1063"/>
      <c r="F49" s="1347"/>
      <c r="H49" s="181" t="s">
        <v>268</v>
      </c>
    </row>
    <row r="50" spans="1:8" ht="13.15" x14ac:dyDescent="0.25">
      <c r="A50" s="11" t="s">
        <v>60</v>
      </c>
      <c r="B50" s="29"/>
      <c r="C50" s="40">
        <f>J17</f>
        <v>39040</v>
      </c>
      <c r="D50" s="46">
        <f>K30</f>
        <v>0.6</v>
      </c>
      <c r="E50" s="1063">
        <f>C50*D50</f>
        <v>23424</v>
      </c>
      <c r="F50" s="162"/>
      <c r="H50" s="23" t="s">
        <v>63</v>
      </c>
    </row>
    <row r="51" spans="1:8" ht="13.15" x14ac:dyDescent="0.25">
      <c r="A51" s="7" t="s">
        <v>6</v>
      </c>
      <c r="B51" s="29"/>
      <c r="C51" s="40"/>
      <c r="D51" s="46"/>
      <c r="E51" s="1063"/>
      <c r="F51" s="162"/>
      <c r="H51" s="54" t="s">
        <v>275</v>
      </c>
    </row>
    <row r="52" spans="1:8" ht="13.15" x14ac:dyDescent="0.25">
      <c r="A52" s="11" t="s">
        <v>32</v>
      </c>
      <c r="B52" s="29"/>
      <c r="C52" s="40">
        <f>J21</f>
        <v>30648</v>
      </c>
      <c r="D52" s="46">
        <f>K34</f>
        <v>0.125</v>
      </c>
      <c r="E52" s="1063">
        <f>C52*D52</f>
        <v>3831</v>
      </c>
      <c r="F52" s="162"/>
    </row>
    <row r="53" spans="1:8" ht="13.15" x14ac:dyDescent="0.25">
      <c r="A53" s="1065" t="s">
        <v>7</v>
      </c>
      <c r="B53" s="31"/>
      <c r="C53" s="31"/>
      <c r="D53" s="32">
        <f>SUM(D48:D52)</f>
        <v>0.97499999999999998</v>
      </c>
      <c r="E53" s="1076">
        <f>SUM(E48:E52)</f>
        <v>41317.25</v>
      </c>
      <c r="F53" s="162"/>
      <c r="H53" s="55" t="s">
        <v>49</v>
      </c>
    </row>
    <row r="54" spans="1:8" ht="13.15" x14ac:dyDescent="0.25">
      <c r="A54" s="43"/>
      <c r="B54" s="29"/>
      <c r="C54" s="29"/>
      <c r="D54" s="29"/>
      <c r="E54" s="41"/>
      <c r="F54" s="162"/>
      <c r="H54" s="23" t="s">
        <v>202</v>
      </c>
    </row>
    <row r="55" spans="1:8" ht="13.15" x14ac:dyDescent="0.25">
      <c r="A55" s="50" t="s">
        <v>21</v>
      </c>
      <c r="B55" s="29"/>
      <c r="C55" s="29"/>
      <c r="D55" s="120" t="s">
        <v>20</v>
      </c>
      <c r="E55" s="41"/>
      <c r="F55" s="162"/>
      <c r="H55" s="94" t="s">
        <v>66</v>
      </c>
    </row>
    <row r="56" spans="1:8" ht="13.15" x14ac:dyDescent="0.25">
      <c r="A56" s="43" t="s">
        <v>22</v>
      </c>
      <c r="B56" s="29"/>
      <c r="C56" s="573">
        <f>$J$37</f>
        <v>0.23424901786252411</v>
      </c>
      <c r="D56" s="29"/>
      <c r="E56" s="1063">
        <f>C56*E53</f>
        <v>9678.5252332803739</v>
      </c>
      <c r="F56" s="162"/>
      <c r="H56" s="94" t="s">
        <v>254</v>
      </c>
    </row>
    <row r="57" spans="1:8" ht="13.15" x14ac:dyDescent="0.25">
      <c r="A57" s="1065" t="s">
        <v>51</v>
      </c>
      <c r="B57" s="31"/>
      <c r="C57" s="31"/>
      <c r="D57" s="70">
        <f>E57/E45</f>
        <v>23.285742115653139</v>
      </c>
      <c r="E57" s="1076">
        <f>E56+E53</f>
        <v>50995.775233280372</v>
      </c>
      <c r="F57" s="162"/>
      <c r="H57" s="109" t="s">
        <v>223</v>
      </c>
    </row>
    <row r="58" spans="1:8" ht="13.15" x14ac:dyDescent="0.25">
      <c r="A58" s="43"/>
      <c r="B58" s="29"/>
      <c r="C58" s="29"/>
      <c r="D58" s="29"/>
      <c r="E58" s="41"/>
      <c r="F58" s="162"/>
      <c r="H58" s="23" t="s">
        <v>224</v>
      </c>
    </row>
    <row r="59" spans="1:8" ht="13.15" x14ac:dyDescent="0.25">
      <c r="A59" s="43" t="s">
        <v>107</v>
      </c>
      <c r="B59" s="29"/>
      <c r="C59" s="40">
        <f>J39</f>
        <v>1075.3995600000001</v>
      </c>
      <c r="D59" s="29"/>
      <c r="E59" s="1063">
        <f>C59*B45</f>
        <v>6452.3973600000008</v>
      </c>
      <c r="F59" s="162"/>
    </row>
    <row r="60" spans="1:8" ht="13.15" x14ac:dyDescent="0.25">
      <c r="A60" s="43" t="s">
        <v>41</v>
      </c>
      <c r="B60" s="29"/>
      <c r="C60" s="40">
        <f>J40</f>
        <v>2013.14797632</v>
      </c>
      <c r="D60" s="29"/>
      <c r="E60" s="1063">
        <f>C60*B45</f>
        <v>12078.887857919999</v>
      </c>
      <c r="F60" s="162"/>
      <c r="H60" s="23" t="s">
        <v>216</v>
      </c>
    </row>
    <row r="61" spans="1:8" ht="13.15" x14ac:dyDescent="0.25">
      <c r="A61" s="43"/>
      <c r="B61" s="29"/>
      <c r="C61" s="29"/>
      <c r="D61" s="29"/>
      <c r="E61" s="41"/>
      <c r="F61" s="162"/>
      <c r="H61" s="54" t="s">
        <v>217</v>
      </c>
    </row>
    <row r="62" spans="1:8" ht="13.15" x14ac:dyDescent="0.25">
      <c r="A62" s="43" t="s">
        <v>40</v>
      </c>
      <c r="B62" s="29"/>
      <c r="C62" s="29"/>
      <c r="D62" s="61">
        <f>$J$42</f>
        <v>9.3022061940000018</v>
      </c>
      <c r="E62" s="1077">
        <f>D62*E45</f>
        <v>20371.831564860004</v>
      </c>
      <c r="F62" s="162"/>
    </row>
    <row r="63" spans="1:8" ht="13.15" x14ac:dyDescent="0.25">
      <c r="A63" s="43"/>
      <c r="B63" s="29"/>
      <c r="C63" s="29"/>
      <c r="D63" s="29"/>
      <c r="E63" s="41"/>
      <c r="F63" s="162"/>
    </row>
    <row r="64" spans="1:8" ht="13.15" x14ac:dyDescent="0.25">
      <c r="A64" s="1065" t="s">
        <v>43</v>
      </c>
      <c r="B64" s="31"/>
      <c r="C64" s="31"/>
      <c r="D64" s="31"/>
      <c r="E64" s="1076">
        <f>SUM(E57:E62)</f>
        <v>89898.892016060388</v>
      </c>
      <c r="F64" s="162"/>
    </row>
    <row r="65" spans="1:6" ht="13.15" x14ac:dyDescent="0.25">
      <c r="A65" s="1206"/>
      <c r="B65" s="102"/>
      <c r="C65" s="102"/>
      <c r="D65" s="102"/>
      <c r="E65" s="104"/>
      <c r="F65" s="162"/>
    </row>
    <row r="66" spans="1:6" ht="13.15" x14ac:dyDescent="0.25">
      <c r="A66" s="43" t="s">
        <v>44</v>
      </c>
      <c r="B66" s="29"/>
      <c r="C66" s="573">
        <f>$J$45</f>
        <v>0.11846733793705286</v>
      </c>
      <c r="D66" s="29"/>
      <c r="E66" s="1063">
        <f>C66*E64</f>
        <v>10650.082420633249</v>
      </c>
      <c r="F66" s="162"/>
    </row>
    <row r="67" spans="1:6" ht="13.15" x14ac:dyDescent="0.25">
      <c r="A67" s="43"/>
      <c r="B67" s="29"/>
      <c r="C67" s="29"/>
      <c r="D67" s="29"/>
      <c r="E67" s="41"/>
      <c r="F67" s="162"/>
    </row>
    <row r="68" spans="1:6" ht="13.9" thickBot="1" x14ac:dyDescent="0.3">
      <c r="A68" s="1067" t="s">
        <v>52</v>
      </c>
      <c r="B68" s="74"/>
      <c r="C68" s="74"/>
      <c r="D68" s="74"/>
      <c r="E68" s="1078">
        <f>SUM(E64:E66)</f>
        <v>100548.97443669364</v>
      </c>
      <c r="F68" s="162"/>
    </row>
    <row r="69" spans="1:6" ht="13.9" thickTop="1" x14ac:dyDescent="0.25">
      <c r="A69" s="43"/>
      <c r="B69" s="29"/>
      <c r="C69" s="29"/>
      <c r="D69" s="29"/>
      <c r="E69" s="41"/>
      <c r="F69" s="162"/>
    </row>
    <row r="70" spans="1:6" ht="13.15" x14ac:dyDescent="0.25">
      <c r="A70" s="43"/>
      <c r="B70" s="29"/>
      <c r="C70" s="575"/>
      <c r="D70" s="29"/>
      <c r="E70" s="1068">
        <f>E68*(1+C70)</f>
        <v>100548.97443669364</v>
      </c>
      <c r="F70" s="162"/>
    </row>
    <row r="71" spans="1:6" ht="13.15" x14ac:dyDescent="0.25">
      <c r="A71" s="43"/>
      <c r="B71" s="29"/>
      <c r="C71" s="29"/>
      <c r="D71" s="29"/>
      <c r="E71" s="41"/>
      <c r="F71" s="162"/>
    </row>
    <row r="72" spans="1:6" ht="13.15" x14ac:dyDescent="0.25">
      <c r="A72" s="43"/>
      <c r="B72" s="29"/>
      <c r="C72" s="29"/>
      <c r="D72" s="29"/>
      <c r="E72" s="1069" t="s">
        <v>789</v>
      </c>
      <c r="F72" s="162"/>
    </row>
    <row r="73" spans="1:6" ht="13.9" thickBot="1" x14ac:dyDescent="0.3">
      <c r="A73" s="43" t="s">
        <v>55</v>
      </c>
      <c r="B73" s="162"/>
      <c r="C73" s="162"/>
      <c r="D73" s="398">
        <f>E68/E45</f>
        <v>45.912773715385221</v>
      </c>
      <c r="E73" s="1081">
        <f>D73*(1+C70)</f>
        <v>45.912773715385221</v>
      </c>
      <c r="F73" s="162"/>
    </row>
    <row r="74" spans="1:6" ht="13.9" thickBot="1" x14ac:dyDescent="0.3">
      <c r="A74" s="1207" t="s">
        <v>827</v>
      </c>
      <c r="B74" s="1174"/>
      <c r="C74" s="1208"/>
      <c r="D74" s="1209"/>
      <c r="E74" s="1377">
        <f>E73*(1+C74)</f>
        <v>45.912773715385221</v>
      </c>
      <c r="F74" s="398"/>
    </row>
    <row r="75" spans="1:6" ht="13.9" thickBot="1" x14ac:dyDescent="0.3">
      <c r="A75" s="1373" t="s">
        <v>761</v>
      </c>
      <c r="B75" s="1374"/>
      <c r="C75" s="1375">
        <f>J47</f>
        <v>2.3900000000000001E-2</v>
      </c>
      <c r="D75" s="1381"/>
      <c r="E75" s="1119">
        <f>E74*(C75+1)</f>
        <v>47.010089007182927</v>
      </c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H1:K1"/>
    <mergeCell ref="I3:J3"/>
    <mergeCell ref="A7:E7"/>
    <mergeCell ref="A44:E44"/>
  </mergeCells>
  <phoneticPr fontId="29" type="noConversion"/>
  <pageMargins left="0.7" right="0.7" top="0.75" bottom="0.75" header="0.3" footer="0.3"/>
  <pageSetup fitToHeight="0" orientation="landscape" r:id="rId5"/>
  <headerFooter>
    <oddFooter>&amp;R
&amp;A
Caring Together rate review</oddFooter>
  </headerFooter>
  <rowBreaks count="1" manualBreakCount="1">
    <brk id="42" max="4" man="1"/>
  </rowBreaks>
  <legacyDrawing r:id="rId6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M95"/>
  <sheetViews>
    <sheetView topLeftCell="A81" zoomScale="85" zoomScaleNormal="85" workbookViewId="0">
      <selection activeCell="F99" sqref="F99:F100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bestFit="1" customWidth="1"/>
    <col min="6" max="6" width="9.140625" style="23"/>
    <col min="7" max="7" width="31.85546875" style="23" bestFit="1" customWidth="1"/>
    <col min="8" max="10" width="10.140625" style="23" customWidth="1"/>
    <col min="11" max="11" width="5" style="23" customWidth="1"/>
    <col min="12" max="16384" width="9.140625" style="23"/>
  </cols>
  <sheetData>
    <row r="1" spans="1:12" ht="13.9" thickBot="1" x14ac:dyDescent="0.3">
      <c r="G1" s="1431" t="s">
        <v>8</v>
      </c>
      <c r="H1" s="1431"/>
      <c r="I1" s="1431"/>
      <c r="J1" s="1431"/>
    </row>
    <row r="2" spans="1:12" ht="13.9" thickBot="1" x14ac:dyDescent="0.3"/>
    <row r="3" spans="1:12" ht="13.15" x14ac:dyDescent="0.25">
      <c r="G3" s="5" t="s">
        <v>9</v>
      </c>
      <c r="H3" s="1432" t="s">
        <v>10</v>
      </c>
      <c r="I3" s="1432"/>
      <c r="J3" s="6"/>
      <c r="K3" s="24"/>
      <c r="L3" s="24"/>
    </row>
    <row r="4" spans="1:12" ht="13.15" x14ac:dyDescent="0.25">
      <c r="G4" s="7"/>
      <c r="H4" s="8" t="s">
        <v>11</v>
      </c>
      <c r="I4" s="9" t="s">
        <v>12</v>
      </c>
      <c r="J4" s="10"/>
      <c r="K4" s="24"/>
      <c r="L4" s="24"/>
    </row>
    <row r="5" spans="1:12" ht="13.15" x14ac:dyDescent="0.25">
      <c r="G5" s="11" t="s">
        <v>13</v>
      </c>
      <c r="H5" s="12">
        <v>13</v>
      </c>
      <c r="I5" s="13">
        <f>H5*8</f>
        <v>104</v>
      </c>
      <c r="J5" s="10"/>
      <c r="K5" s="24"/>
      <c r="L5" s="24"/>
    </row>
    <row r="6" spans="1:12" ht="13.15" customHeight="1" x14ac:dyDescent="0.25">
      <c r="G6" s="434" t="s">
        <v>14</v>
      </c>
      <c r="H6" s="12">
        <v>10</v>
      </c>
      <c r="I6" s="13">
        <f>H6*8</f>
        <v>80</v>
      </c>
      <c r="J6" s="10"/>
      <c r="K6" s="24"/>
      <c r="L6" s="24"/>
    </row>
    <row r="7" spans="1:12" ht="13.9" thickBot="1" x14ac:dyDescent="0.3">
      <c r="A7" s="1523" t="s">
        <v>276</v>
      </c>
      <c r="B7" s="1474"/>
      <c r="C7" s="1474"/>
      <c r="D7" s="1474"/>
      <c r="E7" s="1474"/>
      <c r="G7" s="434" t="s">
        <v>15</v>
      </c>
      <c r="H7" s="12">
        <v>11</v>
      </c>
      <c r="I7" s="13">
        <f>H7*8</f>
        <v>88</v>
      </c>
      <c r="J7" s="10"/>
      <c r="K7" s="24"/>
      <c r="L7" s="24"/>
    </row>
    <row r="8" spans="1:12" ht="13.15" x14ac:dyDescent="0.25">
      <c r="A8" s="25" t="s">
        <v>0</v>
      </c>
      <c r="B8" s="69">
        <f>I$29</f>
        <v>20</v>
      </c>
      <c r="C8" s="25"/>
      <c r="D8" s="25" t="s">
        <v>1</v>
      </c>
      <c r="E8" s="68">
        <f>B8*365</f>
        <v>7300</v>
      </c>
      <c r="G8" s="433" t="s">
        <v>16</v>
      </c>
      <c r="H8" s="15">
        <v>7</v>
      </c>
      <c r="I8" s="16">
        <f>H8*8</f>
        <v>56</v>
      </c>
      <c r="J8" s="17"/>
      <c r="K8" s="24"/>
      <c r="L8" s="24"/>
    </row>
    <row r="9" spans="1:12" ht="13.15" x14ac:dyDescent="0.25">
      <c r="G9" s="434"/>
      <c r="H9" s="18" t="s">
        <v>17</v>
      </c>
      <c r="I9" s="13">
        <f>SUM(I5:I8)</f>
        <v>328</v>
      </c>
      <c r="J9" s="19"/>
      <c r="K9" s="24"/>
      <c r="L9" s="24"/>
    </row>
    <row r="10" spans="1:12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G10" s="435"/>
      <c r="H10" s="21" t="s">
        <v>18</v>
      </c>
      <c r="I10" s="22">
        <f>I9/(52*40)</f>
        <v>0.15769230769230769</v>
      </c>
      <c r="J10" s="56"/>
    </row>
    <row r="11" spans="1:12" ht="13.9" thickBot="1" x14ac:dyDescent="0.3">
      <c r="A11" s="1" t="s">
        <v>19</v>
      </c>
      <c r="C11" s="30">
        <f>I$13</f>
        <v>56249</v>
      </c>
      <c r="D11" s="35">
        <f>I$30</f>
        <v>1</v>
      </c>
      <c r="E11" s="28">
        <f>C11*D11</f>
        <v>56249</v>
      </c>
      <c r="G11" s="281"/>
      <c r="H11" s="281"/>
      <c r="I11" s="281"/>
      <c r="J11" s="281"/>
    </row>
    <row r="12" spans="1:12" ht="13.15" x14ac:dyDescent="0.25">
      <c r="A12" s="2" t="s">
        <v>227</v>
      </c>
      <c r="C12" s="282"/>
      <c r="D12" s="283"/>
      <c r="E12" s="284"/>
      <c r="G12" s="436"/>
      <c r="H12" s="437"/>
      <c r="I12" s="438" t="s">
        <v>75</v>
      </c>
      <c r="J12" s="439"/>
    </row>
    <row r="13" spans="1:12" ht="13.15" x14ac:dyDescent="0.25">
      <c r="A13" s="3" t="s">
        <v>23</v>
      </c>
      <c r="C13" s="282">
        <f>I15</f>
        <v>215212</v>
      </c>
      <c r="D13" s="283">
        <f>I32</f>
        <v>0.05</v>
      </c>
      <c r="E13" s="284">
        <f>C13*D13</f>
        <v>10760.6</v>
      </c>
      <c r="G13" s="440" t="s">
        <v>19</v>
      </c>
      <c r="H13" s="162"/>
      <c r="I13" s="280">
        <f>'Group Home (rebased)'!P13</f>
        <v>56249</v>
      </c>
      <c r="J13" s="441"/>
    </row>
    <row r="14" spans="1:12" ht="13.15" x14ac:dyDescent="0.25">
      <c r="A14" s="3" t="s">
        <v>24</v>
      </c>
      <c r="C14" s="282">
        <f>I16</f>
        <v>69547</v>
      </c>
      <c r="D14" s="283">
        <f>I33</f>
        <v>0.1</v>
      </c>
      <c r="E14" s="284">
        <f>C14*D14</f>
        <v>6954.7000000000007</v>
      </c>
      <c r="G14" s="440" t="s">
        <v>227</v>
      </c>
      <c r="H14" s="162"/>
      <c r="I14" s="280"/>
      <c r="J14" s="441"/>
    </row>
    <row r="15" spans="1:12" ht="13.15" x14ac:dyDescent="0.25">
      <c r="A15" s="3" t="s">
        <v>26</v>
      </c>
      <c r="C15" s="282">
        <f>I18</f>
        <v>53768</v>
      </c>
      <c r="D15" s="283">
        <f>I35</f>
        <v>1</v>
      </c>
      <c r="E15" s="284">
        <f>C15*D15</f>
        <v>53768</v>
      </c>
      <c r="G15" s="434" t="s">
        <v>23</v>
      </c>
      <c r="H15" s="162"/>
      <c r="I15" s="280">
        <f>'Group Home (rebased)'!P15</f>
        <v>215212</v>
      </c>
      <c r="J15" s="442" t="s">
        <v>84</v>
      </c>
    </row>
    <row r="16" spans="1:12" ht="13.15" x14ac:dyDescent="0.25">
      <c r="A16" s="2" t="s">
        <v>5</v>
      </c>
      <c r="C16" s="282"/>
      <c r="D16" s="283"/>
      <c r="E16" s="284"/>
      <c r="G16" s="434" t="s">
        <v>24</v>
      </c>
      <c r="H16" s="162"/>
      <c r="I16" s="280">
        <f>'Group Home (rebased)'!P16</f>
        <v>69547</v>
      </c>
      <c r="J16" s="442" t="s">
        <v>69</v>
      </c>
    </row>
    <row r="17" spans="1:13" ht="13.15" x14ac:dyDescent="0.25">
      <c r="A17" s="3" t="s">
        <v>85</v>
      </c>
      <c r="C17" s="282">
        <f>I20</f>
        <v>24604</v>
      </c>
      <c r="D17" s="283">
        <f>I37</f>
        <v>1</v>
      </c>
      <c r="E17" s="284">
        <f>C17*D17</f>
        <v>24604</v>
      </c>
      <c r="G17" s="434" t="s">
        <v>25</v>
      </c>
      <c r="H17" s="162"/>
      <c r="I17" s="280">
        <f>'Group Home (rebased)'!P17</f>
        <v>66376</v>
      </c>
      <c r="J17" s="442" t="s">
        <v>82</v>
      </c>
    </row>
    <row r="18" spans="1:13" ht="13.15" x14ac:dyDescent="0.25">
      <c r="A18" s="3" t="s">
        <v>30</v>
      </c>
      <c r="C18" s="282">
        <f>I22</f>
        <v>30648</v>
      </c>
      <c r="D18" s="283">
        <f>I39</f>
        <v>12</v>
      </c>
      <c r="E18" s="284">
        <f>C18*D18</f>
        <v>367776</v>
      </c>
      <c r="G18" s="434" t="s">
        <v>26</v>
      </c>
      <c r="H18" s="162"/>
      <c r="I18" s="280">
        <f>'Group Home (rebased)'!P18</f>
        <v>53768</v>
      </c>
      <c r="J18" s="442"/>
    </row>
    <row r="19" spans="1:13" ht="13.15" x14ac:dyDescent="0.25">
      <c r="A19" s="4" t="s">
        <v>31</v>
      </c>
      <c r="C19" s="282">
        <f>I23</f>
        <v>30648</v>
      </c>
      <c r="D19" s="283">
        <f>I40</f>
        <v>1.8923076923076922</v>
      </c>
      <c r="E19" s="284">
        <f>C19*D19</f>
        <v>57995.446153846155</v>
      </c>
      <c r="G19" s="440" t="s">
        <v>5</v>
      </c>
      <c r="H19" s="162"/>
      <c r="I19" s="280"/>
      <c r="J19" s="442"/>
    </row>
    <row r="20" spans="1:13" ht="13.15" x14ac:dyDescent="0.25">
      <c r="A20" s="2" t="s">
        <v>6</v>
      </c>
      <c r="C20" s="30"/>
      <c r="D20" s="35"/>
      <c r="E20" s="28"/>
      <c r="G20" s="434" t="s">
        <v>85</v>
      </c>
      <c r="H20" s="162"/>
      <c r="I20" s="280">
        <f>'Group Home (rebased)'!P20</f>
        <v>24604</v>
      </c>
      <c r="J20" s="442"/>
    </row>
    <row r="21" spans="1:13" ht="13.15" x14ac:dyDescent="0.25">
      <c r="A21" s="3" t="s">
        <v>32</v>
      </c>
      <c r="C21" s="30">
        <f>I25</f>
        <v>30648</v>
      </c>
      <c r="D21" s="35">
        <f>I42</f>
        <v>0.25</v>
      </c>
      <c r="E21" s="28">
        <f>C21*D21</f>
        <v>7662</v>
      </c>
      <c r="G21" s="434" t="s">
        <v>60</v>
      </c>
      <c r="H21" s="162"/>
      <c r="I21" s="280">
        <f>'Group Home (rebased)'!P22</f>
        <v>39040</v>
      </c>
      <c r="J21" s="442"/>
    </row>
    <row r="22" spans="1:13" ht="13.15" x14ac:dyDescent="0.25">
      <c r="A22" s="31" t="s">
        <v>7</v>
      </c>
      <c r="B22" s="31"/>
      <c r="C22" s="31"/>
      <c r="D22" s="32">
        <f>SUM(D11:D21)</f>
        <v>17.292307692307691</v>
      </c>
      <c r="E22" s="33">
        <f>SUM(E11:E21)</f>
        <v>585769.74615384615</v>
      </c>
      <c r="G22" s="434" t="s">
        <v>30</v>
      </c>
      <c r="H22" s="162"/>
      <c r="I22" s="280">
        <f>'Group Home (rebased)'!P23</f>
        <v>30648</v>
      </c>
      <c r="J22" s="442"/>
    </row>
    <row r="23" spans="1:13" ht="13.15" x14ac:dyDescent="0.25">
      <c r="G23" s="443" t="s">
        <v>31</v>
      </c>
      <c r="H23" s="162"/>
      <c r="I23" s="280">
        <f>I22</f>
        <v>30648</v>
      </c>
      <c r="J23" s="442"/>
    </row>
    <row r="24" spans="1:13" ht="13.15" x14ac:dyDescent="0.25">
      <c r="A24" s="25" t="s">
        <v>21</v>
      </c>
      <c r="D24" s="25" t="s">
        <v>20</v>
      </c>
      <c r="G24" s="440" t="s">
        <v>6</v>
      </c>
      <c r="H24" s="162"/>
      <c r="I24" s="280"/>
      <c r="J24" s="442"/>
    </row>
    <row r="25" spans="1:13" ht="13.15" x14ac:dyDescent="0.25">
      <c r="A25" s="23" t="s">
        <v>22</v>
      </c>
      <c r="C25" s="97">
        <f>$I$45</f>
        <v>0.23424901786252411</v>
      </c>
      <c r="E25" s="28">
        <f>C25*E22</f>
        <v>137215.98773011853</v>
      </c>
      <c r="G25" s="11" t="s">
        <v>32</v>
      </c>
      <c r="H25" s="29"/>
      <c r="I25" s="40">
        <f>'Group Home (rebased)'!P26</f>
        <v>30648</v>
      </c>
      <c r="J25" s="118" t="s">
        <v>70</v>
      </c>
    </row>
    <row r="26" spans="1:13" ht="13.15" x14ac:dyDescent="0.25">
      <c r="A26" s="31" t="s">
        <v>51</v>
      </c>
      <c r="B26" s="31"/>
      <c r="C26" s="31"/>
      <c r="D26" s="70">
        <f>E26/E8</f>
        <v>99.039141627940367</v>
      </c>
      <c r="E26" s="33">
        <f>E25+E22</f>
        <v>722985.73388396471</v>
      </c>
      <c r="G26" s="11"/>
      <c r="H26" s="29"/>
      <c r="I26" s="40"/>
      <c r="J26" s="117"/>
    </row>
    <row r="27" spans="1:13" ht="13.15" x14ac:dyDescent="0.25">
      <c r="G27" s="43"/>
      <c r="H27" s="29"/>
      <c r="I27" s="44" t="s">
        <v>37</v>
      </c>
      <c r="J27" s="137"/>
    </row>
    <row r="28" spans="1:13" x14ac:dyDescent="0.2">
      <c r="A28" s="23" t="s">
        <v>107</v>
      </c>
      <c r="C28" s="152">
        <f>$I$47</f>
        <v>1075.3995600000001</v>
      </c>
      <c r="E28" s="105">
        <f>C28*B8</f>
        <v>21507.9912</v>
      </c>
      <c r="G28" s="43" t="s">
        <v>35</v>
      </c>
      <c r="H28" s="102"/>
      <c r="I28" s="65" t="s">
        <v>150</v>
      </c>
      <c r="J28" s="66" t="s">
        <v>151</v>
      </c>
      <c r="L28" s="153" t="s">
        <v>157</v>
      </c>
      <c r="M28" s="34"/>
    </row>
    <row r="29" spans="1:13" ht="13.15" x14ac:dyDescent="0.25">
      <c r="G29" s="43" t="s">
        <v>36</v>
      </c>
      <c r="H29" s="34"/>
      <c r="I29" s="57">
        <f>[15]TAY!$J$28</f>
        <v>20</v>
      </c>
      <c r="J29" s="67">
        <f>[15]TAY!$K$28</f>
        <v>11</v>
      </c>
      <c r="L29" s="154" t="s">
        <v>155</v>
      </c>
    </row>
    <row r="30" spans="1:13" ht="13.15" x14ac:dyDescent="0.25">
      <c r="A30" s="23" t="s">
        <v>153</v>
      </c>
      <c r="D30" s="71">
        <v>4.1500000000000004</v>
      </c>
      <c r="E30" s="105">
        <f>D30*(365*12)</f>
        <v>18177</v>
      </c>
      <c r="G30" s="7" t="s">
        <v>19</v>
      </c>
      <c r="I30" s="148">
        <f>[15]TAY!J30</f>
        <v>1</v>
      </c>
      <c r="J30" s="149">
        <f>[15]TAY!K30</f>
        <v>1.75</v>
      </c>
      <c r="L30" s="155" t="s">
        <v>158</v>
      </c>
    </row>
    <row r="31" spans="1:13" ht="13.15" x14ac:dyDescent="0.25">
      <c r="A31" s="23" t="s">
        <v>152</v>
      </c>
      <c r="D31" s="71">
        <f>J50</f>
        <v>22.102</v>
      </c>
      <c r="E31" s="105">
        <f>D31*(365*(4+4))</f>
        <v>64537.840000000004</v>
      </c>
      <c r="G31" s="7" t="s">
        <v>227</v>
      </c>
      <c r="I31" s="148"/>
      <c r="J31" s="149"/>
      <c r="L31" s="155" t="s">
        <v>159</v>
      </c>
    </row>
    <row r="32" spans="1:13" ht="13.15" x14ac:dyDescent="0.25">
      <c r="A32" s="23" t="s">
        <v>214</v>
      </c>
      <c r="D32" s="71">
        <f>I51</f>
        <v>9.3022061940000018</v>
      </c>
      <c r="E32" s="105">
        <f>D32*(365*12)</f>
        <v>40743.663129720007</v>
      </c>
      <c r="G32" s="11" t="s">
        <v>23</v>
      </c>
      <c r="I32" s="148">
        <f>[15]TAY!J32</f>
        <v>0.05</v>
      </c>
      <c r="J32" s="149">
        <f>[15]TAY!K32</f>
        <v>0.05</v>
      </c>
      <c r="L32" s="155" t="s">
        <v>160</v>
      </c>
    </row>
    <row r="33" spans="1:12" ht="13.15" x14ac:dyDescent="0.25">
      <c r="A33" s="29" t="s">
        <v>215</v>
      </c>
      <c r="D33" s="71">
        <f>J51</f>
        <v>17.555</v>
      </c>
      <c r="E33" s="105">
        <f>D33*(365*(4+4))</f>
        <v>51260.6</v>
      </c>
      <c r="G33" s="11" t="s">
        <v>24</v>
      </c>
      <c r="I33" s="148">
        <f>[15]TAY!J33</f>
        <v>0.1</v>
      </c>
      <c r="J33" s="149">
        <f>[15]TAY!K33</f>
        <v>0.25</v>
      </c>
      <c r="L33" s="155" t="s">
        <v>156</v>
      </c>
    </row>
    <row r="34" spans="1:12" ht="13.15" x14ac:dyDescent="0.25">
      <c r="D34" s="72">
        <f>SUM(D31:D33)</f>
        <v>48.959206194000004</v>
      </c>
      <c r="G34" s="11" t="s">
        <v>25</v>
      </c>
      <c r="I34" s="148"/>
      <c r="J34" s="149">
        <f>[15]TAY!K34</f>
        <v>0.5</v>
      </c>
      <c r="L34" s="155" t="s">
        <v>161</v>
      </c>
    </row>
    <row r="35" spans="1:12" ht="13.15" x14ac:dyDescent="0.25">
      <c r="G35" s="11" t="s">
        <v>26</v>
      </c>
      <c r="I35" s="148">
        <f>[15]TAY!J35</f>
        <v>1</v>
      </c>
      <c r="J35" s="149">
        <f>[15]TAY!K35</f>
        <v>1</v>
      </c>
      <c r="L35" s="23" t="s">
        <v>162</v>
      </c>
    </row>
    <row r="36" spans="1:12" ht="13.15" x14ac:dyDescent="0.25">
      <c r="A36" s="31" t="s">
        <v>43</v>
      </c>
      <c r="B36" s="31"/>
      <c r="C36" s="31"/>
      <c r="D36" s="31"/>
      <c r="E36" s="33">
        <f>SUM(E26:E33)</f>
        <v>919212.82821368473</v>
      </c>
      <c r="G36" s="7" t="s">
        <v>5</v>
      </c>
      <c r="I36" s="148"/>
      <c r="J36" s="149"/>
    </row>
    <row r="37" spans="1:12" ht="13.15" x14ac:dyDescent="0.25">
      <c r="G37" s="11" t="s">
        <v>85</v>
      </c>
      <c r="I37" s="148">
        <f>[15]TAY!J37</f>
        <v>1</v>
      </c>
      <c r="J37" s="149">
        <f>[15]TAY!K37</f>
        <v>1</v>
      </c>
    </row>
    <row r="38" spans="1:12" ht="13.15" x14ac:dyDescent="0.25">
      <c r="A38" s="23" t="s">
        <v>44</v>
      </c>
      <c r="C38" s="97">
        <f>$I$54</f>
        <v>0.11846733793705286</v>
      </c>
      <c r="E38" s="28">
        <f>C38*E36</f>
        <v>108896.6967560647</v>
      </c>
      <c r="G38" s="11" t="s">
        <v>60</v>
      </c>
      <c r="H38" s="29"/>
      <c r="I38" s="148"/>
      <c r="J38" s="149">
        <f>[15]TAY!K38</f>
        <v>1</v>
      </c>
    </row>
    <row r="39" spans="1:12" ht="13.15" x14ac:dyDescent="0.25">
      <c r="G39" s="11" t="s">
        <v>30</v>
      </c>
      <c r="I39" s="148">
        <f>[15]TAY!J39</f>
        <v>12</v>
      </c>
      <c r="J39" s="149">
        <f>[15]TAY!K39</f>
        <v>13</v>
      </c>
    </row>
    <row r="40" spans="1:12" ht="14.45" thickBot="1" x14ac:dyDescent="0.35">
      <c r="A40" s="73" t="s">
        <v>52</v>
      </c>
      <c r="B40" s="74"/>
      <c r="C40" s="74"/>
      <c r="D40" s="74"/>
      <c r="E40" s="75">
        <f>SUM(E36:E38)</f>
        <v>1028109.5249697494</v>
      </c>
      <c r="G40" s="42" t="s">
        <v>31</v>
      </c>
      <c r="I40" s="150">
        <f>I39*I10</f>
        <v>1.8923076923076922</v>
      </c>
      <c r="J40" s="111">
        <f>J39*I10</f>
        <v>2.0499999999999998</v>
      </c>
      <c r="K40" s="115"/>
    </row>
    <row r="41" spans="1:12" ht="13.9" thickTop="1" x14ac:dyDescent="0.25">
      <c r="G41" s="7" t="s">
        <v>6</v>
      </c>
      <c r="I41" s="148"/>
      <c r="J41" s="149"/>
    </row>
    <row r="42" spans="1:12" ht="13.15" x14ac:dyDescent="0.25">
      <c r="C42" s="98"/>
      <c r="E42" s="77">
        <f>E40*(1+C42)</f>
        <v>1028109.5249697494</v>
      </c>
      <c r="G42" s="11" t="s">
        <v>32</v>
      </c>
      <c r="I42" s="148">
        <f>[15]TAY!J42</f>
        <v>0.25</v>
      </c>
      <c r="J42" s="149">
        <f>[15]TAY!K42</f>
        <v>0.25</v>
      </c>
    </row>
    <row r="43" spans="1:12" ht="13.15" x14ac:dyDescent="0.25">
      <c r="G43" s="43"/>
      <c r="H43" s="29"/>
      <c r="I43" s="29"/>
      <c r="J43" s="41"/>
    </row>
    <row r="44" spans="1:12" ht="13.15" x14ac:dyDescent="0.25">
      <c r="E44" s="92" t="s">
        <v>789</v>
      </c>
      <c r="G44" s="43"/>
      <c r="H44" s="29"/>
      <c r="I44" s="44" t="s">
        <v>38</v>
      </c>
      <c r="J44" s="137"/>
    </row>
    <row r="45" spans="1:12" ht="13.15" x14ac:dyDescent="0.25">
      <c r="A45" s="23" t="s">
        <v>55</v>
      </c>
      <c r="D45" s="76"/>
      <c r="E45" s="76">
        <f>E40/E8</f>
        <v>140.83692122873279</v>
      </c>
      <c r="G45" s="43" t="s">
        <v>22</v>
      </c>
      <c r="H45" s="29"/>
      <c r="I45" s="95">
        <f>'Group Home'!Q47</f>
        <v>0.23424901786252411</v>
      </c>
      <c r="J45" s="138" t="s">
        <v>68</v>
      </c>
    </row>
    <row r="46" spans="1:12" ht="13.15" x14ac:dyDescent="0.25">
      <c r="A46" s="1080" t="s">
        <v>827</v>
      </c>
      <c r="B46" s="281"/>
      <c r="C46" s="1164"/>
      <c r="D46" s="633"/>
      <c r="E46" s="633"/>
      <c r="G46" s="43"/>
      <c r="H46" s="29"/>
      <c r="I46" s="48"/>
      <c r="J46" s="139"/>
    </row>
    <row r="47" spans="1:12" ht="13.9" thickBot="1" x14ac:dyDescent="0.3">
      <c r="A47" s="78" t="s">
        <v>54</v>
      </c>
      <c r="B47" s="79">
        <v>0.9</v>
      </c>
      <c r="C47" s="1168"/>
      <c r="D47" s="742">
        <f>E40/(E8*B47)</f>
        <v>156.48546803192534</v>
      </c>
      <c r="E47" s="1384">
        <f>D47*(1+C42)</f>
        <v>156.48546803192534</v>
      </c>
      <c r="G47" s="43" t="s">
        <v>107</v>
      </c>
      <c r="H47" s="29"/>
      <c r="I47" s="119">
        <f>'FA - SO (rebased)'!J39</f>
        <v>1075.3995600000001</v>
      </c>
      <c r="J47" s="139"/>
    </row>
    <row r="48" spans="1:12" ht="13.9" thickBot="1" x14ac:dyDescent="0.3">
      <c r="A48" s="1373" t="s">
        <v>761</v>
      </c>
      <c r="B48" s="1374"/>
      <c r="C48" s="1375">
        <f>I56</f>
        <v>2.3900000000000001E-2</v>
      </c>
      <c r="D48" s="1085"/>
      <c r="E48" s="1210">
        <f>E47*(C48+1)</f>
        <v>160.22547071788836</v>
      </c>
      <c r="G48" s="43"/>
      <c r="H48" s="29"/>
      <c r="I48" s="48"/>
      <c r="J48" s="139"/>
    </row>
    <row r="49" spans="1:11" ht="13.15" x14ac:dyDescent="0.25">
      <c r="A49" s="84"/>
      <c r="B49" s="85"/>
      <c r="C49" s="370"/>
      <c r="D49" s="371"/>
      <c r="E49" s="375"/>
      <c r="G49" s="43"/>
      <c r="H49" s="29"/>
      <c r="I49" s="127" t="s">
        <v>212</v>
      </c>
      <c r="J49" s="171" t="s">
        <v>112</v>
      </c>
    </row>
    <row r="50" spans="1:11" x14ac:dyDescent="0.2">
      <c r="G50" s="43" t="s">
        <v>39</v>
      </c>
      <c r="H50" s="29"/>
      <c r="I50" s="59">
        <v>4.1500000000000004</v>
      </c>
      <c r="J50" s="141">
        <f>'Group Home (rebased)'!P49</f>
        <v>22.102</v>
      </c>
      <c r="K50" s="172" t="s">
        <v>139</v>
      </c>
    </row>
    <row r="51" spans="1:11" ht="12.75" customHeight="1" x14ac:dyDescent="0.25">
      <c r="G51" s="43" t="s">
        <v>40</v>
      </c>
      <c r="H51" s="29"/>
      <c r="I51" s="59">
        <f>'FA - SO (rebased)'!J42</f>
        <v>9.3022061940000018</v>
      </c>
      <c r="J51" s="141">
        <v>17.555</v>
      </c>
      <c r="K51" s="172" t="s">
        <v>213</v>
      </c>
    </row>
    <row r="52" spans="1:11" ht="12.6" customHeight="1" x14ac:dyDescent="0.25">
      <c r="G52" s="101" t="s">
        <v>43</v>
      </c>
      <c r="H52" s="102"/>
      <c r="I52" s="103">
        <f>SUM(I50:I51)</f>
        <v>13.452206194000002</v>
      </c>
      <c r="J52" s="142">
        <f>SUM(J50:J51)</f>
        <v>39.656999999999996</v>
      </c>
    </row>
    <row r="53" spans="1:11" ht="24.95" customHeight="1" thickBot="1" x14ac:dyDescent="0.3">
      <c r="A53" s="1530" t="s">
        <v>461</v>
      </c>
      <c r="B53" s="1474"/>
      <c r="C53" s="1474"/>
      <c r="D53" s="1474"/>
      <c r="E53" s="1474"/>
      <c r="G53" s="43"/>
      <c r="H53" s="29"/>
      <c r="I53" s="29"/>
      <c r="J53" s="41"/>
    </row>
    <row r="54" spans="1:11" ht="13.15" x14ac:dyDescent="0.25">
      <c r="A54" s="25" t="s">
        <v>0</v>
      </c>
      <c r="B54" s="69">
        <f>J29</f>
        <v>11</v>
      </c>
      <c r="C54" s="25"/>
      <c r="D54" s="25" t="s">
        <v>1</v>
      </c>
      <c r="E54" s="68">
        <f>B54*365</f>
        <v>4015</v>
      </c>
      <c r="G54" s="43" t="s">
        <v>44</v>
      </c>
      <c r="H54" s="29"/>
      <c r="I54" s="95">
        <f>'Group Home'!Q55</f>
        <v>0.11846733793705286</v>
      </c>
      <c r="J54" s="138" t="s">
        <v>93</v>
      </c>
    </row>
    <row r="55" spans="1:11" ht="12.75" customHeight="1" x14ac:dyDescent="0.25">
      <c r="G55" s="43"/>
      <c r="H55" s="29"/>
      <c r="I55" s="29"/>
      <c r="J55" s="41"/>
    </row>
    <row r="56" spans="1:11" ht="13.9" thickBot="1" x14ac:dyDescent="0.3">
      <c r="A56" s="26"/>
      <c r="B56" s="26"/>
      <c r="C56" s="27" t="s">
        <v>2</v>
      </c>
      <c r="D56" s="27" t="s">
        <v>3</v>
      </c>
      <c r="E56" s="27" t="s">
        <v>4</v>
      </c>
      <c r="G56" s="51" t="s">
        <v>45</v>
      </c>
      <c r="H56" s="52"/>
      <c r="I56" s="96">
        <v>2.3900000000000001E-2</v>
      </c>
      <c r="J56" s="143"/>
    </row>
    <row r="57" spans="1:11" ht="13.15" x14ac:dyDescent="0.25">
      <c r="A57" s="1" t="s">
        <v>19</v>
      </c>
      <c r="C57" s="30">
        <f>I13</f>
        <v>56249</v>
      </c>
      <c r="D57" s="35">
        <f>J30</f>
        <v>1.75</v>
      </c>
      <c r="E57" s="28">
        <f>C57*D57</f>
        <v>98435.75</v>
      </c>
      <c r="G57" s="63" t="s">
        <v>50</v>
      </c>
      <c r="H57" s="64" t="s">
        <v>46</v>
      </c>
    </row>
    <row r="58" spans="1:11" ht="13.15" x14ac:dyDescent="0.25">
      <c r="A58" s="2" t="s">
        <v>227</v>
      </c>
      <c r="C58" s="282"/>
      <c r="D58" s="283"/>
      <c r="E58" s="28"/>
      <c r="G58" s="181" t="s">
        <v>231</v>
      </c>
    </row>
    <row r="59" spans="1:11" ht="13.15" x14ac:dyDescent="0.25">
      <c r="A59" s="3" t="s">
        <v>23</v>
      </c>
      <c r="C59" s="282">
        <f>I15</f>
        <v>215212</v>
      </c>
      <c r="D59" s="283">
        <f>J32</f>
        <v>0.05</v>
      </c>
      <c r="E59" s="28">
        <f>C59*D59</f>
        <v>10760.6</v>
      </c>
      <c r="G59" s="23" t="s">
        <v>63</v>
      </c>
    </row>
    <row r="60" spans="1:11" ht="13.15" x14ac:dyDescent="0.25">
      <c r="A60" s="3" t="s">
        <v>24</v>
      </c>
      <c r="C60" s="282">
        <f>I16</f>
        <v>69547</v>
      </c>
      <c r="D60" s="283">
        <f>J33</f>
        <v>0.25</v>
      </c>
      <c r="E60" s="28">
        <f>C60*D60</f>
        <v>17386.75</v>
      </c>
      <c r="G60" s="54" t="s">
        <v>48</v>
      </c>
    </row>
    <row r="61" spans="1:11" ht="13.15" x14ac:dyDescent="0.25">
      <c r="A61" s="3" t="s">
        <v>25</v>
      </c>
      <c r="C61" s="282">
        <f>I17</f>
        <v>66376</v>
      </c>
      <c r="D61" s="283">
        <f>J34</f>
        <v>0.5</v>
      </c>
      <c r="E61" s="28">
        <f>C61*D61</f>
        <v>33188</v>
      </c>
    </row>
    <row r="62" spans="1:11" ht="13.15" x14ac:dyDescent="0.25">
      <c r="A62" s="3" t="s">
        <v>26</v>
      </c>
      <c r="C62" s="282">
        <f>I18</f>
        <v>53768</v>
      </c>
      <c r="D62" s="283">
        <f>J35</f>
        <v>1</v>
      </c>
      <c r="E62" s="28">
        <f>C62*D62</f>
        <v>53768</v>
      </c>
      <c r="G62" s="55" t="s">
        <v>49</v>
      </c>
    </row>
    <row r="63" spans="1:11" ht="13.15" x14ac:dyDescent="0.25">
      <c r="A63" s="2" t="s">
        <v>5</v>
      </c>
      <c r="C63" s="282"/>
      <c r="D63" s="283"/>
      <c r="E63" s="28"/>
      <c r="G63" s="23" t="s">
        <v>138</v>
      </c>
    </row>
    <row r="64" spans="1:11" ht="13.15" x14ac:dyDescent="0.25">
      <c r="A64" s="3" t="s">
        <v>85</v>
      </c>
      <c r="C64" s="282">
        <f>I20</f>
        <v>24604</v>
      </c>
      <c r="D64" s="283">
        <f>J37</f>
        <v>1</v>
      </c>
      <c r="E64" s="28">
        <f>C64*D64</f>
        <v>24604</v>
      </c>
      <c r="G64" s="177" t="s">
        <v>83</v>
      </c>
    </row>
    <row r="65" spans="1:7" ht="13.15" x14ac:dyDescent="0.25">
      <c r="A65" s="3" t="s">
        <v>60</v>
      </c>
      <c r="C65" s="282">
        <f>I21</f>
        <v>39040</v>
      </c>
      <c r="D65" s="283">
        <f>J38</f>
        <v>1</v>
      </c>
      <c r="E65" s="28">
        <f>C65*D65</f>
        <v>39040</v>
      </c>
      <c r="G65" s="181" t="s">
        <v>194</v>
      </c>
    </row>
    <row r="66" spans="1:7" ht="13.15" x14ac:dyDescent="0.25">
      <c r="A66" s="3" t="s">
        <v>30</v>
      </c>
      <c r="C66" s="282">
        <f>I22</f>
        <v>30648</v>
      </c>
      <c r="D66" s="283">
        <f>J39</f>
        <v>13</v>
      </c>
      <c r="E66" s="28">
        <f>C66*D66</f>
        <v>398424</v>
      </c>
      <c r="G66" s="100" t="s">
        <v>76</v>
      </c>
    </row>
    <row r="67" spans="1:7" ht="13.15" x14ac:dyDescent="0.25">
      <c r="A67" s="4" t="s">
        <v>31</v>
      </c>
      <c r="C67" s="282">
        <f>I23</f>
        <v>30648</v>
      </c>
      <c r="D67" s="283">
        <f>J40</f>
        <v>2.0499999999999998</v>
      </c>
      <c r="E67" s="28">
        <f>C67*D67</f>
        <v>62828.399999999994</v>
      </c>
      <c r="G67" s="94" t="s">
        <v>66</v>
      </c>
    </row>
    <row r="68" spans="1:7" x14ac:dyDescent="0.2">
      <c r="A68" s="2" t="s">
        <v>6</v>
      </c>
      <c r="C68" s="282"/>
      <c r="D68" s="283"/>
      <c r="E68" s="28"/>
      <c r="G68" s="151" t="s">
        <v>229</v>
      </c>
    </row>
    <row r="69" spans="1:7" ht="13.15" x14ac:dyDescent="0.25">
      <c r="A69" s="3" t="s">
        <v>32</v>
      </c>
      <c r="C69" s="282">
        <f>I25</f>
        <v>30648</v>
      </c>
      <c r="D69" s="283">
        <f>J42</f>
        <v>0.25</v>
      </c>
      <c r="E69" s="28">
        <f>C69*D69</f>
        <v>7662</v>
      </c>
      <c r="G69" s="94" t="s">
        <v>230</v>
      </c>
    </row>
    <row r="70" spans="1:7" ht="13.15" x14ac:dyDescent="0.25">
      <c r="A70" s="31" t="s">
        <v>7</v>
      </c>
      <c r="B70" s="31"/>
      <c r="C70" s="31"/>
      <c r="D70" s="32">
        <f>SUM(D57:D69)</f>
        <v>20.85</v>
      </c>
      <c r="E70" s="33">
        <f>SUM(E57:E69)</f>
        <v>746097.5</v>
      </c>
      <c r="G70" s="94" t="s">
        <v>154</v>
      </c>
    </row>
    <row r="72" spans="1:7" ht="13.15" x14ac:dyDescent="0.25">
      <c r="A72" s="25" t="s">
        <v>21</v>
      </c>
      <c r="D72" s="25" t="s">
        <v>20</v>
      </c>
    </row>
    <row r="73" spans="1:7" ht="13.15" x14ac:dyDescent="0.25">
      <c r="A73" s="23" t="s">
        <v>22</v>
      </c>
      <c r="C73" s="97">
        <f>$I$45</f>
        <v>0.23424901786252411</v>
      </c>
      <c r="E73" s="28">
        <f>C73*E70</f>
        <v>174772.60660468458</v>
      </c>
    </row>
    <row r="74" spans="1:7" ht="13.15" x14ac:dyDescent="0.25">
      <c r="A74" s="31" t="s">
        <v>51</v>
      </c>
      <c r="B74" s="31"/>
      <c r="C74" s="31"/>
      <c r="D74" s="70">
        <f>E74/E54</f>
        <v>229.35743626517674</v>
      </c>
      <c r="E74" s="33">
        <f>E73+E70</f>
        <v>920870.10660468461</v>
      </c>
    </row>
    <row r="76" spans="1:7" ht="13.15" x14ac:dyDescent="0.25">
      <c r="A76" s="23" t="s">
        <v>107</v>
      </c>
      <c r="C76" s="152">
        <f>$I$47</f>
        <v>1075.3995600000001</v>
      </c>
      <c r="E76" s="105">
        <f>C76*B54</f>
        <v>11829.39516</v>
      </c>
    </row>
    <row r="78" spans="1:7" ht="13.15" x14ac:dyDescent="0.25">
      <c r="A78" s="23" t="s">
        <v>152</v>
      </c>
      <c r="D78" s="71">
        <f>J50</f>
        <v>22.102</v>
      </c>
      <c r="E78" s="105">
        <f>D78*E54</f>
        <v>88739.53</v>
      </c>
    </row>
    <row r="79" spans="1:7" ht="13.15" x14ac:dyDescent="0.25">
      <c r="A79" s="29" t="s">
        <v>215</v>
      </c>
      <c r="D79" s="71">
        <f>J51</f>
        <v>17.555</v>
      </c>
      <c r="E79" s="105">
        <f>D79*E54</f>
        <v>70483.324999999997</v>
      </c>
    </row>
    <row r="80" spans="1:7" ht="13.15" x14ac:dyDescent="0.25">
      <c r="D80" s="72">
        <f>SUM(D78:D79)</f>
        <v>39.656999999999996</v>
      </c>
      <c r="G80" s="177" t="s">
        <v>513</v>
      </c>
    </row>
    <row r="82" spans="1:5" ht="13.15" x14ac:dyDescent="0.25">
      <c r="A82" s="31" t="s">
        <v>43</v>
      </c>
      <c r="B82" s="31"/>
      <c r="C82" s="31"/>
      <c r="D82" s="31"/>
      <c r="E82" s="33">
        <f>SUM(E74:E79)</f>
        <v>1091922.3567646847</v>
      </c>
    </row>
    <row r="84" spans="1:5" ht="13.15" x14ac:dyDescent="0.25">
      <c r="A84" s="23" t="s">
        <v>44</v>
      </c>
      <c r="C84" s="97">
        <f>$I$54</f>
        <v>0.11846733793705286</v>
      </c>
      <c r="E84" s="28">
        <f>C84*E82</f>
        <v>129357.13483986509</v>
      </c>
    </row>
    <row r="86" spans="1:5" ht="13.9" thickBot="1" x14ac:dyDescent="0.3">
      <c r="A86" s="73" t="s">
        <v>52</v>
      </c>
      <c r="B86" s="74"/>
      <c r="C86" s="74"/>
      <c r="D86" s="74"/>
      <c r="E86" s="75">
        <f>SUM(E82:E84)</f>
        <v>1221279.4916045498</v>
      </c>
    </row>
    <row r="87" spans="1:5" ht="13.9" thickTop="1" x14ac:dyDescent="0.25"/>
    <row r="88" spans="1:5" ht="13.15" x14ac:dyDescent="0.25">
      <c r="C88" s="98"/>
      <c r="E88" s="77">
        <f>E86*(1+C88)</f>
        <v>1221279.4916045498</v>
      </c>
    </row>
    <row r="90" spans="1:5" ht="13.15" x14ac:dyDescent="0.25">
      <c r="E90" s="92" t="s">
        <v>789</v>
      </c>
    </row>
    <row r="91" spans="1:5" ht="13.15" x14ac:dyDescent="0.25">
      <c r="A91" s="23" t="s">
        <v>55</v>
      </c>
      <c r="D91" s="76"/>
      <c r="E91" s="76">
        <f>E86/E54</f>
        <v>304.17920089777078</v>
      </c>
    </row>
    <row r="92" spans="1:5" ht="13.9" thickBot="1" x14ac:dyDescent="0.3">
      <c r="A92" s="1207" t="s">
        <v>827</v>
      </c>
      <c r="B92" s="281"/>
      <c r="C92" s="1164"/>
      <c r="D92" s="633"/>
      <c r="E92" s="633"/>
    </row>
    <row r="93" spans="1:5" ht="13.9" thickBot="1" x14ac:dyDescent="0.3">
      <c r="A93" s="78" t="s">
        <v>54</v>
      </c>
      <c r="B93" s="79">
        <v>0.9</v>
      </c>
      <c r="C93" s="1168"/>
      <c r="D93" s="742"/>
      <c r="E93" s="1382">
        <f>E86/(E54*B93)+0.31</f>
        <v>338.28688988641204</v>
      </c>
    </row>
    <row r="94" spans="1:5" ht="13.9" thickBot="1" x14ac:dyDescent="0.3">
      <c r="A94" s="1373" t="s">
        <v>761</v>
      </c>
      <c r="B94" s="1374"/>
      <c r="C94" s="1375">
        <f>I56</f>
        <v>2.3900000000000001E-2</v>
      </c>
      <c r="D94" s="1085"/>
      <c r="E94" s="1210">
        <f>E93*(C94+1)+0.01</f>
        <v>346.38194655469727</v>
      </c>
    </row>
    <row r="95" spans="1:5" ht="13.15" x14ac:dyDescent="0.25">
      <c r="A95" s="84"/>
      <c r="B95" s="85"/>
      <c r="C95" s="34"/>
      <c r="D95" s="90"/>
      <c r="E95" s="91"/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 topLeftCell="A28">
      <selection activeCell="J50" sqref="J50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G1:J1"/>
    <mergeCell ref="H3:I3"/>
    <mergeCell ref="A7:E7"/>
    <mergeCell ref="A53:E53"/>
  </mergeCells>
  <phoneticPr fontId="29" type="noConversion"/>
  <pageMargins left="0.7" right="0.7" top="0.75" bottom="0.75" header="0.3" footer="0.3"/>
  <pageSetup fitToHeight="0" orientation="portrait" r:id="rId5"/>
  <headerFooter>
    <oddFooter>&amp;R
&amp;A
Caring Together rate review</oddFooter>
  </headerFooter>
  <rowBreaks count="1" manualBreakCount="1">
    <brk id="52" max="5" man="1"/>
  </rowBreaks>
  <legacyDrawing r:id="rId6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85" zoomScaleNormal="85" workbookViewId="0">
      <selection activeCell="E42" sqref="E42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customWidth="1"/>
    <col min="6" max="6" width="9.140625" style="23"/>
    <col min="7" max="7" width="31.85546875" style="23" bestFit="1" customWidth="1"/>
    <col min="8" max="10" width="10.140625" style="23" customWidth="1"/>
    <col min="11" max="11" width="5" style="23" customWidth="1"/>
    <col min="12" max="16384" width="9.140625" style="23"/>
  </cols>
  <sheetData>
    <row r="1" spans="1:12" ht="13.9" thickBot="1" x14ac:dyDescent="0.3">
      <c r="G1" s="1431" t="s">
        <v>8</v>
      </c>
      <c r="H1" s="1431"/>
      <c r="I1" s="1431"/>
      <c r="J1" s="1431"/>
    </row>
    <row r="2" spans="1:12" ht="13.9" thickBot="1" x14ac:dyDescent="0.3"/>
    <row r="3" spans="1:12" ht="13.15" x14ac:dyDescent="0.25">
      <c r="G3" s="5" t="s">
        <v>9</v>
      </c>
      <c r="H3" s="1432" t="s">
        <v>10</v>
      </c>
      <c r="I3" s="1432"/>
      <c r="J3" s="6"/>
      <c r="K3" s="24"/>
      <c r="L3" s="24"/>
    </row>
    <row r="4" spans="1:12" ht="13.15" x14ac:dyDescent="0.25">
      <c r="A4" s="94"/>
      <c r="B4" s="264"/>
      <c r="C4" s="264"/>
      <c r="D4" s="264"/>
      <c r="E4" s="264"/>
      <c r="G4" s="7"/>
      <c r="H4" s="8" t="s">
        <v>11</v>
      </c>
      <c r="I4" s="9" t="s">
        <v>12</v>
      </c>
      <c r="J4" s="10"/>
      <c r="K4" s="24"/>
      <c r="L4" s="24"/>
    </row>
    <row r="5" spans="1:12" ht="13.15" x14ac:dyDescent="0.25">
      <c r="G5" s="11" t="s">
        <v>13</v>
      </c>
      <c r="H5" s="12">
        <v>13</v>
      </c>
      <c r="I5" s="13">
        <f>H5*8</f>
        <v>104</v>
      </c>
      <c r="J5" s="10"/>
      <c r="K5" s="24"/>
      <c r="L5" s="24"/>
    </row>
    <row r="6" spans="1:12" ht="13.15" customHeight="1" x14ac:dyDescent="0.25">
      <c r="G6" s="11" t="s">
        <v>14</v>
      </c>
      <c r="H6" s="12">
        <v>10</v>
      </c>
      <c r="I6" s="13">
        <f>H6*8</f>
        <v>80</v>
      </c>
      <c r="J6" s="10"/>
      <c r="K6" s="24"/>
      <c r="L6" s="24"/>
    </row>
    <row r="7" spans="1:12" ht="13.9" customHeight="1" thickBot="1" x14ac:dyDescent="0.3">
      <c r="A7" s="1523" t="s">
        <v>289</v>
      </c>
      <c r="B7" s="1474"/>
      <c r="C7" s="1474"/>
      <c r="D7" s="1474"/>
      <c r="E7" s="1474"/>
      <c r="G7" s="11" t="s">
        <v>15</v>
      </c>
      <c r="H7" s="12">
        <v>11</v>
      </c>
      <c r="I7" s="13">
        <f>H7*8</f>
        <v>88</v>
      </c>
      <c r="J7" s="10"/>
      <c r="K7" s="24"/>
      <c r="L7" s="24"/>
    </row>
    <row r="8" spans="1:12" ht="13.15" x14ac:dyDescent="0.25">
      <c r="A8" s="25" t="s">
        <v>0</v>
      </c>
      <c r="B8" s="69">
        <f>I$23</f>
        <v>1</v>
      </c>
      <c r="C8" s="25"/>
      <c r="D8" s="25" t="s">
        <v>1</v>
      </c>
      <c r="E8" s="68">
        <f>B8*365</f>
        <v>365</v>
      </c>
      <c r="G8" s="14" t="s">
        <v>16</v>
      </c>
      <c r="H8" s="15">
        <v>7</v>
      </c>
      <c r="I8" s="16">
        <f>H8*8</f>
        <v>56</v>
      </c>
      <c r="J8" s="17"/>
      <c r="K8" s="24"/>
      <c r="L8" s="24"/>
    </row>
    <row r="9" spans="1:12" ht="13.15" x14ac:dyDescent="0.25">
      <c r="G9" s="11"/>
      <c r="H9" s="18" t="s">
        <v>17</v>
      </c>
      <c r="I9" s="13">
        <f>SUM(I5:I8)</f>
        <v>328</v>
      </c>
      <c r="J9" s="19"/>
      <c r="K9" s="24"/>
      <c r="L9" s="24"/>
    </row>
    <row r="10" spans="1:12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G10" s="20"/>
      <c r="H10" s="21" t="s">
        <v>18</v>
      </c>
      <c r="I10" s="22">
        <f>I9/(52*40)</f>
        <v>0.15769230769230769</v>
      </c>
      <c r="J10" s="56"/>
    </row>
    <row r="11" spans="1:12" ht="13.9" thickBot="1" x14ac:dyDescent="0.3">
      <c r="A11" s="1" t="s">
        <v>19</v>
      </c>
      <c r="C11" s="30">
        <f>I13</f>
        <v>56249</v>
      </c>
      <c r="D11" s="35">
        <f>I24</f>
        <v>8.3333333333333329E-2</v>
      </c>
      <c r="E11" s="28">
        <f>C11*D11</f>
        <v>4687.4166666666661</v>
      </c>
      <c r="K11" s="266"/>
    </row>
    <row r="12" spans="1:12" ht="13.15" x14ac:dyDescent="0.25">
      <c r="A12" s="2" t="s">
        <v>227</v>
      </c>
      <c r="C12" s="30"/>
      <c r="D12" s="35"/>
      <c r="E12" s="28"/>
      <c r="G12" s="36"/>
      <c r="H12" s="37"/>
      <c r="I12" s="38" t="s">
        <v>75</v>
      </c>
      <c r="J12" s="147"/>
    </row>
    <row r="13" spans="1:12" ht="13.15" x14ac:dyDescent="0.25">
      <c r="A13" s="3" t="s">
        <v>24</v>
      </c>
      <c r="C13" s="30">
        <f>I15</f>
        <v>69547</v>
      </c>
      <c r="D13" s="35">
        <f>I26</f>
        <v>6.6666666666666666E-2</v>
      </c>
      <c r="E13" s="28">
        <f>C13*D13</f>
        <v>4636.4666666666662</v>
      </c>
      <c r="G13" s="7" t="s">
        <v>19</v>
      </c>
      <c r="H13" s="29"/>
      <c r="I13" s="40">
        <f>'Group Home (rebased)'!P13</f>
        <v>56249</v>
      </c>
      <c r="J13" s="117"/>
    </row>
    <row r="14" spans="1:12" ht="13.15" x14ac:dyDescent="0.25">
      <c r="A14" s="3" t="s">
        <v>169</v>
      </c>
      <c r="C14" s="30">
        <f>I16</f>
        <v>77632</v>
      </c>
      <c r="D14" s="35">
        <f>I27</f>
        <v>7.0000000000000001E-3</v>
      </c>
      <c r="E14" s="28">
        <f>C14*D14</f>
        <v>543.42399999999998</v>
      </c>
      <c r="G14" s="7" t="s">
        <v>227</v>
      </c>
      <c r="H14" s="29"/>
      <c r="I14" s="40"/>
      <c r="J14" s="117"/>
    </row>
    <row r="15" spans="1:12" ht="13.15" x14ac:dyDescent="0.25">
      <c r="A15" s="2" t="s">
        <v>5</v>
      </c>
      <c r="C15" s="30"/>
      <c r="D15" s="35"/>
      <c r="E15" s="28"/>
      <c r="G15" s="11" t="s">
        <v>175</v>
      </c>
      <c r="H15" s="29"/>
      <c r="I15" s="40">
        <f>'Group Home (rebased)'!P16</f>
        <v>69547</v>
      </c>
      <c r="J15" s="118" t="s">
        <v>69</v>
      </c>
    </row>
    <row r="16" spans="1:12" ht="13.15" x14ac:dyDescent="0.25">
      <c r="A16" s="2" t="s">
        <v>281</v>
      </c>
      <c r="C16" s="282">
        <f>I18</f>
        <v>47584</v>
      </c>
      <c r="D16" s="35">
        <f>I29</f>
        <v>0.08</v>
      </c>
      <c r="E16" s="28">
        <f>C16*D16</f>
        <v>3806.7200000000003</v>
      </c>
      <c r="G16" s="106" t="s">
        <v>168</v>
      </c>
      <c r="H16" s="29"/>
      <c r="I16" s="40">
        <f>'IRTP (rebased)'!X16</f>
        <v>77632</v>
      </c>
      <c r="J16" s="118" t="s">
        <v>64</v>
      </c>
    </row>
    <row r="17" spans="1:12" ht="13.15" x14ac:dyDescent="0.25">
      <c r="A17" s="3" t="s">
        <v>30</v>
      </c>
      <c r="C17" s="30">
        <f>I19</f>
        <v>30648</v>
      </c>
      <c r="D17" s="35">
        <f>I30</f>
        <v>4.2</v>
      </c>
      <c r="E17" s="28">
        <f>C17*D17</f>
        <v>128721.60000000001</v>
      </c>
      <c r="G17" s="7" t="s">
        <v>5</v>
      </c>
      <c r="H17" s="29"/>
      <c r="I17" s="40"/>
      <c r="J17" s="118"/>
    </row>
    <row r="18" spans="1:12" ht="13.15" x14ac:dyDescent="0.25">
      <c r="A18" s="4" t="s">
        <v>31</v>
      </c>
      <c r="C18" s="30">
        <f>I20</f>
        <v>30648</v>
      </c>
      <c r="D18" s="283">
        <f>I31</f>
        <v>0.66230769230769226</v>
      </c>
      <c r="E18" s="28">
        <f>C18*D18</f>
        <v>20298.406153846154</v>
      </c>
      <c r="G18" s="267" t="s">
        <v>59</v>
      </c>
      <c r="H18" s="268"/>
      <c r="I18" s="818">
        <f>'Group Home (rebased)'!P21</f>
        <v>47584</v>
      </c>
      <c r="J18" s="270"/>
      <c r="L18" s="265"/>
    </row>
    <row r="19" spans="1:12" ht="13.15" x14ac:dyDescent="0.25">
      <c r="A19" s="31" t="s">
        <v>7</v>
      </c>
      <c r="B19" s="31"/>
      <c r="C19" s="31"/>
      <c r="D19" s="32">
        <f>SUM(D11:D18)</f>
        <v>5.0993076923076925</v>
      </c>
      <c r="E19" s="33">
        <f>SUM(E11:E18)</f>
        <v>162694.03348717949</v>
      </c>
      <c r="G19" s="11" t="s">
        <v>30</v>
      </c>
      <c r="H19" s="29"/>
      <c r="I19" s="40">
        <f>'Group Home (rebased)'!P23</f>
        <v>30648</v>
      </c>
      <c r="J19" s="118"/>
    </row>
    <row r="20" spans="1:12" ht="13.15" x14ac:dyDescent="0.25">
      <c r="G20" s="42" t="s">
        <v>31</v>
      </c>
      <c r="H20" s="29"/>
      <c r="I20" s="40">
        <f>I19</f>
        <v>30648</v>
      </c>
      <c r="J20" s="118"/>
    </row>
    <row r="21" spans="1:12" ht="13.15" x14ac:dyDescent="0.25">
      <c r="A21" s="25" t="s">
        <v>21</v>
      </c>
      <c r="D21" s="25" t="s">
        <v>20</v>
      </c>
      <c r="G21" s="11"/>
      <c r="H21" s="29"/>
      <c r="I21" s="40"/>
      <c r="J21" s="117"/>
    </row>
    <row r="22" spans="1:12" x14ac:dyDescent="0.2">
      <c r="A22" s="23" t="s">
        <v>22</v>
      </c>
      <c r="C22" s="97">
        <f>$I$34</f>
        <v>0.23424901786252411</v>
      </c>
      <c r="E22" s="28">
        <f>C22*E19</f>
        <v>38110.917556464403</v>
      </c>
      <c r="G22" s="43"/>
      <c r="H22" s="29"/>
      <c r="I22" s="44" t="s">
        <v>173</v>
      </c>
      <c r="J22" s="137"/>
    </row>
    <row r="23" spans="1:12" ht="13.15" x14ac:dyDescent="0.25">
      <c r="A23" s="31" t="s">
        <v>51</v>
      </c>
      <c r="B23" s="31"/>
      <c r="C23" s="31"/>
      <c r="D23" s="70">
        <f>E23/E8</f>
        <v>550.15055080450384</v>
      </c>
      <c r="E23" s="33">
        <f>E22+E19</f>
        <v>200804.9510436439</v>
      </c>
      <c r="G23" s="43" t="s">
        <v>36</v>
      </c>
      <c r="H23" s="34"/>
      <c r="I23" s="158">
        <f>[15]Sullivan!$J$22</f>
        <v>1</v>
      </c>
      <c r="J23" s="67"/>
    </row>
    <row r="24" spans="1:12" ht="13.15" x14ac:dyDescent="0.25">
      <c r="G24" s="7" t="s">
        <v>19</v>
      </c>
      <c r="I24" s="148">
        <f>'Group Home'!S31/'Group Home'!S30</f>
        <v>8.3333333333333329E-2</v>
      </c>
      <c r="J24" s="149"/>
    </row>
    <row r="25" spans="1:12" ht="13.15" x14ac:dyDescent="0.25">
      <c r="G25" s="7" t="s">
        <v>227</v>
      </c>
      <c r="I25" s="148"/>
      <c r="J25" s="149"/>
    </row>
    <row r="26" spans="1:12" ht="13.15" x14ac:dyDescent="0.25">
      <c r="A26" s="23" t="s">
        <v>39</v>
      </c>
      <c r="D26" s="71">
        <f>$I$36</f>
        <v>22.102</v>
      </c>
      <c r="E26" s="105">
        <f>D26*E8</f>
        <v>8067.2300000000005</v>
      </c>
      <c r="G26" s="11" t="s">
        <v>175</v>
      </c>
      <c r="I26" s="148">
        <f>[15]Sullivan!$J$26</f>
        <v>6.6666666666666666E-2</v>
      </c>
      <c r="J26" s="149"/>
    </row>
    <row r="27" spans="1:12" ht="13.15" x14ac:dyDescent="0.25">
      <c r="A27" s="29" t="s">
        <v>40</v>
      </c>
      <c r="D27" s="71">
        <f>$I$37</f>
        <v>17.654</v>
      </c>
      <c r="E27" s="105">
        <f>D27*E8</f>
        <v>6443.71</v>
      </c>
      <c r="G27" s="106" t="s">
        <v>168</v>
      </c>
      <c r="I27" s="182">
        <f>[15]Sullivan!$J$27</f>
        <v>7.0000000000000001E-3</v>
      </c>
      <c r="J27" s="149"/>
      <c r="L27" s="174"/>
    </row>
    <row r="28" spans="1:12" ht="13.15" x14ac:dyDescent="0.25">
      <c r="D28" s="72">
        <f>SUM(D26:D27)</f>
        <v>39.756</v>
      </c>
      <c r="G28" s="7" t="s">
        <v>5</v>
      </c>
      <c r="I28" s="148"/>
      <c r="J28" s="149"/>
    </row>
    <row r="29" spans="1:12" ht="13.15" x14ac:dyDescent="0.25">
      <c r="G29" s="267" t="s">
        <v>279</v>
      </c>
      <c r="H29" s="271"/>
      <c r="I29" s="272">
        <v>0.08</v>
      </c>
      <c r="J29" s="273"/>
      <c r="L29" s="265"/>
    </row>
    <row r="30" spans="1:12" ht="13.15" x14ac:dyDescent="0.25">
      <c r="A30" s="31" t="s">
        <v>43</v>
      </c>
      <c r="B30" s="31"/>
      <c r="C30" s="31"/>
      <c r="D30" s="31"/>
      <c r="E30" s="33">
        <f>SUM(E23:E27)</f>
        <v>215315.8910436439</v>
      </c>
      <c r="G30" s="267" t="s">
        <v>176</v>
      </c>
      <c r="H30" s="271"/>
      <c r="I30" s="272">
        <v>4.2</v>
      </c>
      <c r="J30" s="273"/>
      <c r="L30" s="265"/>
    </row>
    <row r="31" spans="1:12" ht="13.15" x14ac:dyDescent="0.25">
      <c r="G31" s="276" t="s">
        <v>177</v>
      </c>
      <c r="H31" s="271"/>
      <c r="I31" s="277">
        <f>I30*I10</f>
        <v>0.66230769230769226</v>
      </c>
      <c r="J31" s="278"/>
      <c r="L31" s="265"/>
    </row>
    <row r="32" spans="1:12" ht="13.15" x14ac:dyDescent="0.25">
      <c r="A32" s="23" t="s">
        <v>44</v>
      </c>
      <c r="C32" s="97">
        <f>$I$40</f>
        <v>0.11846733793705286</v>
      </c>
      <c r="E32" s="28">
        <f>C32*E30</f>
        <v>25507.900427485016</v>
      </c>
      <c r="G32" s="43"/>
      <c r="H32" s="29"/>
      <c r="I32" s="29"/>
      <c r="J32" s="41"/>
    </row>
    <row r="33" spans="1:11" ht="13.15" x14ac:dyDescent="0.25">
      <c r="G33" s="43"/>
      <c r="H33" s="29"/>
      <c r="I33" s="44" t="s">
        <v>100</v>
      </c>
      <c r="J33" s="137"/>
    </row>
    <row r="34" spans="1:11" ht="13.9" thickBot="1" x14ac:dyDescent="0.3">
      <c r="A34" s="73" t="s">
        <v>52</v>
      </c>
      <c r="B34" s="74"/>
      <c r="C34" s="74"/>
      <c r="D34" s="74"/>
      <c r="E34" s="75">
        <f>SUM(E30:E32)</f>
        <v>240823.79147112893</v>
      </c>
      <c r="G34" s="43" t="s">
        <v>22</v>
      </c>
      <c r="H34" s="29"/>
      <c r="I34" s="95">
        <f>'Group Home'!Q47</f>
        <v>0.23424901786252411</v>
      </c>
      <c r="J34" s="138"/>
    </row>
    <row r="35" spans="1:11" ht="13.9" thickTop="1" x14ac:dyDescent="0.25">
      <c r="G35" s="43"/>
      <c r="H35" s="29"/>
      <c r="I35" s="48"/>
      <c r="J35" s="139"/>
    </row>
    <row r="36" spans="1:11" ht="13.15" x14ac:dyDescent="0.25">
      <c r="C36" s="98"/>
      <c r="E36" s="77">
        <f>E34*(1+C36)</f>
        <v>240823.79147112893</v>
      </c>
      <c r="G36" s="43" t="s">
        <v>39</v>
      </c>
      <c r="H36" s="29"/>
      <c r="I36" s="59">
        <f>'Group Home (rebased)'!P49</f>
        <v>22.102</v>
      </c>
      <c r="J36" s="146"/>
    </row>
    <row r="37" spans="1:11" ht="13.15" x14ac:dyDescent="0.25">
      <c r="G37" s="43" t="s">
        <v>40</v>
      </c>
      <c r="H37" s="29"/>
      <c r="I37" s="59">
        <f>'Group Home (rebased)'!P50</f>
        <v>17.654</v>
      </c>
      <c r="J37" s="141"/>
    </row>
    <row r="38" spans="1:11" ht="13.15" x14ac:dyDescent="0.25">
      <c r="E38" s="92" t="s">
        <v>56</v>
      </c>
      <c r="G38" s="101" t="s">
        <v>43</v>
      </c>
      <c r="H38" s="102"/>
      <c r="I38" s="103">
        <f>SUM(I36:I37)</f>
        <v>39.756</v>
      </c>
      <c r="J38" s="142"/>
    </row>
    <row r="39" spans="1:11" ht="13.9" thickBot="1" x14ac:dyDescent="0.3">
      <c r="A39" s="281" t="s">
        <v>55</v>
      </c>
      <c r="B39" s="281"/>
      <c r="C39" s="281"/>
      <c r="D39" s="633">
        <f>E34/E8</f>
        <v>659.79120950994229</v>
      </c>
      <c r="E39" s="633">
        <f>D39*(1+C36)</f>
        <v>659.79120950994229</v>
      </c>
      <c r="G39" s="43"/>
      <c r="H39" s="29"/>
      <c r="I39" s="29"/>
      <c r="J39" s="41"/>
    </row>
    <row r="40" spans="1:11" ht="13.9" thickBot="1" x14ac:dyDescent="0.3">
      <c r="A40" s="1080" t="s">
        <v>827</v>
      </c>
      <c r="B40" s="281"/>
      <c r="C40" s="1164"/>
      <c r="D40" s="633"/>
      <c r="E40" s="1386">
        <f>E39*(1+C3640)+0.22</f>
        <v>660.01120950994232</v>
      </c>
      <c r="G40" s="43" t="s">
        <v>44</v>
      </c>
      <c r="H40" s="29"/>
      <c r="I40" s="95">
        <f>'Group Home'!Q55</f>
        <v>0.11846733793705286</v>
      </c>
      <c r="J40" s="138"/>
    </row>
    <row r="41" spans="1:11" ht="13.9" thickBot="1" x14ac:dyDescent="0.3">
      <c r="A41" s="1373" t="s">
        <v>761</v>
      </c>
      <c r="B41" s="1374"/>
      <c r="C41" s="1375">
        <f>I42</f>
        <v>2.3900000000000001E-2</v>
      </c>
      <c r="D41" s="1385"/>
      <c r="E41" s="1210">
        <f>E40*(C41+1)-0.01</f>
        <v>675.77547741722992</v>
      </c>
      <c r="G41" s="43"/>
      <c r="H41" s="29"/>
      <c r="I41" s="29"/>
      <c r="J41" s="41"/>
    </row>
    <row r="42" spans="1:11" ht="13.5" thickBot="1" x14ac:dyDescent="0.25">
      <c r="A42" s="81"/>
      <c r="B42" s="82"/>
      <c r="C42" s="83"/>
      <c r="D42" s="88"/>
      <c r="E42" s="88"/>
      <c r="G42" s="239" t="s">
        <v>824</v>
      </c>
      <c r="H42" s="52"/>
      <c r="I42" s="96">
        <v>2.3900000000000001E-2</v>
      </c>
      <c r="J42" s="156" t="s">
        <v>145</v>
      </c>
      <c r="K42" s="115"/>
    </row>
    <row r="43" spans="1:11" ht="13.15" x14ac:dyDescent="0.25">
      <c r="A43" s="84"/>
      <c r="B43" s="85"/>
      <c r="C43" s="34"/>
      <c r="D43" s="90"/>
      <c r="E43" s="90"/>
      <c r="G43" s="63" t="s">
        <v>50</v>
      </c>
      <c r="H43" s="64" t="s">
        <v>46</v>
      </c>
    </row>
    <row r="44" spans="1:11" ht="13.15" x14ac:dyDescent="0.25">
      <c r="G44" s="24" t="s">
        <v>193</v>
      </c>
    </row>
    <row r="45" spans="1:11" ht="13.15" x14ac:dyDescent="0.25">
      <c r="G45" s="23" t="s">
        <v>172</v>
      </c>
    </row>
    <row r="46" spans="1:11" ht="13.15" x14ac:dyDescent="0.25">
      <c r="G46" s="54" t="s">
        <v>48</v>
      </c>
    </row>
    <row r="48" spans="1:11" ht="13.15" x14ac:dyDescent="0.25">
      <c r="G48" s="55" t="s">
        <v>49</v>
      </c>
    </row>
    <row r="49" spans="7:7" ht="13.15" x14ac:dyDescent="0.25">
      <c r="G49" s="23" t="s">
        <v>163</v>
      </c>
    </row>
    <row r="50" spans="7:7" ht="13.15" x14ac:dyDescent="0.25">
      <c r="G50" s="181" t="s">
        <v>194</v>
      </c>
    </row>
    <row r="51" spans="7:7" ht="13.15" x14ac:dyDescent="0.25">
      <c r="G51" s="54" t="s">
        <v>171</v>
      </c>
    </row>
    <row r="52" spans="7:7" x14ac:dyDescent="0.2">
      <c r="G52" s="151" t="s">
        <v>174</v>
      </c>
    </row>
    <row r="53" spans="7:7" ht="13.15" x14ac:dyDescent="0.25">
      <c r="G53" s="23" t="s">
        <v>208</v>
      </c>
    </row>
    <row r="54" spans="7:7" ht="13.15" x14ac:dyDescent="0.25">
      <c r="G54" s="23" t="s">
        <v>178</v>
      </c>
    </row>
    <row r="55" spans="7:7" ht="13.15" x14ac:dyDescent="0.25">
      <c r="G55" s="23" t="s">
        <v>179</v>
      </c>
    </row>
    <row r="56" spans="7:7" ht="13.15" x14ac:dyDescent="0.25">
      <c r="G56" s="177" t="s">
        <v>280</v>
      </c>
    </row>
    <row r="57" spans="7:7" ht="13.15" x14ac:dyDescent="0.25">
      <c r="G57" s="23" t="s">
        <v>180</v>
      </c>
    </row>
    <row r="58" spans="7:7" x14ac:dyDescent="0.2">
      <c r="G58" s="23" t="s">
        <v>181</v>
      </c>
    </row>
    <row r="59" spans="7:7" x14ac:dyDescent="0.2">
      <c r="G59" s="54" t="s">
        <v>144</v>
      </c>
    </row>
  </sheetData>
  <mergeCells count="3">
    <mergeCell ref="G1:J1"/>
    <mergeCell ref="H3:I3"/>
    <mergeCell ref="A7:E7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J40"/>
  <sheetViews>
    <sheetView zoomScale="85" zoomScaleNormal="85" workbookViewId="0">
      <selection activeCell="J9" sqref="J9"/>
    </sheetView>
  </sheetViews>
  <sheetFormatPr defaultRowHeight="15" x14ac:dyDescent="0.25"/>
  <cols>
    <col min="1" max="1" width="38.42578125" customWidth="1"/>
    <col min="2" max="2" width="5.7109375" customWidth="1"/>
    <col min="3" max="3" width="11.42578125" customWidth="1"/>
    <col min="4" max="4" width="10.5703125" customWidth="1"/>
    <col min="5" max="6" width="13.140625" customWidth="1"/>
    <col min="7" max="7" width="23" customWidth="1"/>
  </cols>
  <sheetData>
    <row r="5" spans="1:8" thickBot="1" x14ac:dyDescent="0.35">
      <c r="A5" s="1525" t="s">
        <v>786</v>
      </c>
      <c r="B5" s="1526"/>
      <c r="C5" s="1526"/>
      <c r="D5" s="1526"/>
      <c r="E5" s="1526"/>
      <c r="F5" s="1526"/>
    </row>
    <row r="6" spans="1:8" ht="15.75" thickBot="1" x14ac:dyDescent="0.3">
      <c r="A6" s="1105"/>
      <c r="B6" s="1106"/>
      <c r="C6" s="1106"/>
      <c r="D6" s="1106"/>
      <c r="E6" s="1106"/>
      <c r="F6" s="1476" t="s">
        <v>833</v>
      </c>
      <c r="G6" s="1403"/>
    </row>
    <row r="7" spans="1:8" ht="15.75" thickBot="1" x14ac:dyDescent="0.3">
      <c r="A7" s="1480" t="s">
        <v>346</v>
      </c>
      <c r="B7" s="1523"/>
      <c r="C7" s="1523"/>
      <c r="D7" s="1523"/>
      <c r="E7" s="1523"/>
      <c r="F7" s="1477"/>
      <c r="G7" s="1407" t="s">
        <v>832</v>
      </c>
    </row>
    <row r="8" spans="1:8" ht="14.45" x14ac:dyDescent="0.3">
      <c r="A8" s="50" t="s">
        <v>0</v>
      </c>
      <c r="B8" s="566">
        <v>1</v>
      </c>
      <c r="C8" s="566"/>
      <c r="D8" s="566" t="s">
        <v>1</v>
      </c>
      <c r="E8" s="120">
        <f>B8*365</f>
        <v>365</v>
      </c>
      <c r="F8" s="1107"/>
      <c r="G8" s="1404"/>
    </row>
    <row r="9" spans="1:8" ht="14.45" x14ac:dyDescent="0.3">
      <c r="A9" s="179"/>
      <c r="B9" s="205"/>
      <c r="C9" s="205"/>
      <c r="D9" s="205"/>
      <c r="E9" s="205"/>
      <c r="F9" s="1108"/>
      <c r="G9" s="1405"/>
    </row>
    <row r="10" spans="1:8" ht="14.45" x14ac:dyDescent="0.3">
      <c r="A10" s="1109"/>
      <c r="B10" s="329"/>
      <c r="C10" s="329"/>
      <c r="D10" s="329"/>
      <c r="E10" s="330" t="s">
        <v>4</v>
      </c>
      <c r="F10" s="1110"/>
      <c r="G10" s="1405"/>
    </row>
    <row r="11" spans="1:8" ht="14.45" x14ac:dyDescent="0.3">
      <c r="A11" s="1111" t="s">
        <v>338</v>
      </c>
      <c r="B11" s="334"/>
      <c r="C11" s="334"/>
      <c r="D11" s="334"/>
      <c r="E11" s="1112">
        <f>750*(5.39%+1)*(2.04%+1)</f>
        <v>806.54967000000011</v>
      </c>
      <c r="F11" s="1410" t="s">
        <v>349</v>
      </c>
      <c r="G11" s="1405"/>
    </row>
    <row r="12" spans="1:8" ht="14.45" x14ac:dyDescent="0.3">
      <c r="A12" s="1111" t="s">
        <v>339</v>
      </c>
      <c r="B12" s="334"/>
      <c r="C12" s="334"/>
      <c r="D12" s="334"/>
      <c r="E12" s="1112">
        <v>0</v>
      </c>
      <c r="F12" s="1411" t="s">
        <v>348</v>
      </c>
      <c r="G12" s="1405"/>
      <c r="H12" s="513"/>
    </row>
    <row r="13" spans="1:8" ht="14.45" x14ac:dyDescent="0.3">
      <c r="A13" s="1111" t="s">
        <v>340</v>
      </c>
      <c r="B13" s="334"/>
      <c r="C13" s="334"/>
      <c r="D13" s="334"/>
      <c r="E13" s="1112">
        <f>600*(5.39%+1)*(2.04%+1)</f>
        <v>645.23973599999999</v>
      </c>
      <c r="F13" s="1411" t="s">
        <v>347</v>
      </c>
      <c r="G13" s="1405"/>
    </row>
    <row r="14" spans="1:8" ht="14.45" x14ac:dyDescent="0.3">
      <c r="A14" s="1109" t="s">
        <v>341</v>
      </c>
      <c r="B14" s="329"/>
      <c r="C14" s="329"/>
      <c r="D14" s="329"/>
      <c r="E14" s="338">
        <f>(325*11)*(5.39%+1)*(2.04%+1)</f>
        <v>3844.5534269999998</v>
      </c>
      <c r="F14" s="1411" t="s">
        <v>65</v>
      </c>
      <c r="G14" s="1405"/>
    </row>
    <row r="15" spans="1:8" ht="14.45" x14ac:dyDescent="0.3">
      <c r="A15" s="1113" t="s">
        <v>342</v>
      </c>
      <c r="B15" s="334"/>
      <c r="C15" s="334"/>
      <c r="D15" s="334"/>
      <c r="E15" s="1114">
        <f>SUM(E11:E14)</f>
        <v>5296.3428329999997</v>
      </c>
      <c r="F15" s="1110"/>
      <c r="G15" s="1405"/>
    </row>
    <row r="16" spans="1:8" ht="14.45" x14ac:dyDescent="0.3">
      <c r="A16" s="1111"/>
      <c r="B16" s="334"/>
      <c r="C16" s="334"/>
      <c r="D16" s="334"/>
      <c r="E16" s="419"/>
      <c r="F16" s="1110"/>
      <c r="G16" s="1405"/>
    </row>
    <row r="17" spans="1:10" ht="14.45" x14ac:dyDescent="0.3">
      <c r="A17" s="1111"/>
      <c r="B17" s="334"/>
      <c r="C17" s="334"/>
      <c r="D17" s="1115" t="s">
        <v>20</v>
      </c>
      <c r="E17" s="419"/>
      <c r="F17" s="1110"/>
      <c r="G17" s="1405"/>
    </row>
    <row r="18" spans="1:10" ht="14.45" x14ac:dyDescent="0.3">
      <c r="A18" s="1111"/>
      <c r="B18" s="334"/>
      <c r="C18" s="334"/>
      <c r="D18" s="334"/>
      <c r="E18" s="419"/>
      <c r="F18" s="1110"/>
      <c r="G18" s="1405"/>
    </row>
    <row r="19" spans="1:10" thickBot="1" x14ac:dyDescent="0.35">
      <c r="A19" s="1116" t="s">
        <v>52</v>
      </c>
      <c r="B19" s="331"/>
      <c r="C19" s="331"/>
      <c r="D19" s="332">
        <f>E15/E8</f>
        <v>14.51052830958904</v>
      </c>
      <c r="E19" s="333">
        <f>E15</f>
        <v>5296.3428329999997</v>
      </c>
      <c r="F19" s="1110"/>
      <c r="G19" s="1405"/>
      <c r="J19" t="s">
        <v>91</v>
      </c>
    </row>
    <row r="20" spans="1:10" thickTop="1" x14ac:dyDescent="0.3">
      <c r="A20" s="1111"/>
      <c r="B20" s="334"/>
      <c r="C20" s="334"/>
      <c r="D20" s="334"/>
      <c r="E20" s="334"/>
      <c r="F20" s="1110"/>
      <c r="G20" s="1405"/>
    </row>
    <row r="21" spans="1:10" ht="14.45" x14ac:dyDescent="0.3">
      <c r="A21" s="1111"/>
      <c r="B21" s="334"/>
      <c r="C21" s="1090"/>
      <c r="D21" s="342"/>
      <c r="E21" s="419">
        <f>E19*(1+C21)</f>
        <v>5296.3428329999997</v>
      </c>
      <c r="F21" s="1110"/>
      <c r="G21" s="1405"/>
    </row>
    <row r="22" spans="1:10" ht="14.45" x14ac:dyDescent="0.3">
      <c r="A22" s="1111"/>
      <c r="B22" s="334"/>
      <c r="C22" s="334"/>
      <c r="D22" s="334"/>
      <c r="E22" s="334"/>
      <c r="F22" s="1110"/>
      <c r="G22" s="1405"/>
    </row>
    <row r="23" spans="1:10" ht="14.45" x14ac:dyDescent="0.3">
      <c r="A23" s="1111"/>
      <c r="B23" s="334"/>
      <c r="C23" s="334"/>
      <c r="D23" s="334"/>
      <c r="E23" s="1117" t="s">
        <v>789</v>
      </c>
      <c r="F23" s="1110"/>
      <c r="G23" s="1405"/>
    </row>
    <row r="24" spans="1:10" thickBot="1" x14ac:dyDescent="0.35">
      <c r="A24" s="1118" t="s">
        <v>55</v>
      </c>
      <c r="B24" s="419"/>
      <c r="C24" s="419"/>
      <c r="D24" s="419">
        <f>E19/E8</f>
        <v>14.51052830958904</v>
      </c>
      <c r="E24" s="1104">
        <f>D24*(1+C21)</f>
        <v>14.51052830958904</v>
      </c>
      <c r="F24" s="1110"/>
      <c r="G24" s="1405"/>
    </row>
    <row r="25" spans="1:10" thickBot="1" x14ac:dyDescent="0.35">
      <c r="A25" s="1071" t="s">
        <v>825</v>
      </c>
      <c r="B25" s="1101"/>
      <c r="C25" s="1102"/>
      <c r="D25" s="1101"/>
      <c r="E25" s="1103"/>
      <c r="F25" s="1377">
        <f>E24*(1+C25)</f>
        <v>14.51052830958904</v>
      </c>
      <c r="G25" s="1406"/>
    </row>
    <row r="26" spans="1:10" thickBot="1" x14ac:dyDescent="0.35">
      <c r="A26" s="1373" t="s">
        <v>761</v>
      </c>
      <c r="B26" s="1374"/>
      <c r="C26" s="1375">
        <v>2.3900000000000001E-2</v>
      </c>
      <c r="D26" s="1085"/>
      <c r="E26" s="1141"/>
      <c r="F26" s="1119">
        <f>F25*(C26+1)</f>
        <v>14.857329936188219</v>
      </c>
      <c r="G26" s="1402">
        <f>(F26*E8)/12</f>
        <v>451.91045222572501</v>
      </c>
    </row>
    <row r="27" spans="1:10" ht="14.45" x14ac:dyDescent="0.3">
      <c r="A27" s="328"/>
      <c r="B27" s="328"/>
      <c r="C27" s="328"/>
      <c r="D27" s="328"/>
      <c r="E27" s="328"/>
      <c r="F27" s="247"/>
      <c r="G27" s="247"/>
      <c r="H27" s="340"/>
      <c r="I27" s="340"/>
      <c r="J27" s="340"/>
    </row>
    <row r="28" spans="1:10" ht="14.45" x14ac:dyDescent="0.3">
      <c r="A28" s="336" t="s">
        <v>49</v>
      </c>
      <c r="B28" s="247"/>
      <c r="C28" s="247"/>
      <c r="D28" s="247"/>
      <c r="E28" s="247"/>
      <c r="F28" s="340"/>
      <c r="G28" s="340"/>
      <c r="H28" s="340"/>
      <c r="I28" s="340"/>
      <c r="J28" s="340"/>
    </row>
    <row r="29" spans="1:10" ht="14.45" x14ac:dyDescent="0.3">
      <c r="A29" s="247" t="s">
        <v>343</v>
      </c>
      <c r="B29" s="340"/>
      <c r="C29" s="340"/>
      <c r="D29" s="340"/>
      <c r="E29" s="340"/>
      <c r="F29" s="340"/>
      <c r="G29" s="340"/>
      <c r="H29" s="340"/>
      <c r="I29" s="340"/>
      <c r="J29" s="340"/>
    </row>
    <row r="30" spans="1:10" ht="14.45" x14ac:dyDescent="0.3">
      <c r="A30" s="247" t="s">
        <v>344</v>
      </c>
      <c r="B30" s="340"/>
      <c r="C30" s="340"/>
      <c r="D30" s="340"/>
      <c r="E30" s="340"/>
      <c r="F30" s="340"/>
      <c r="G30" s="340"/>
      <c r="H30" s="340"/>
      <c r="I30" s="340"/>
      <c r="J30" s="340"/>
    </row>
    <row r="31" spans="1:10" ht="14.45" x14ac:dyDescent="0.3">
      <c r="A31" s="1120" t="s">
        <v>791</v>
      </c>
      <c r="B31" s="340"/>
      <c r="C31" s="340"/>
      <c r="D31" s="340"/>
      <c r="E31" s="340"/>
      <c r="F31" s="340"/>
      <c r="G31" s="340"/>
      <c r="H31" s="340"/>
      <c r="I31" s="340"/>
      <c r="J31" s="340"/>
    </row>
    <row r="32" spans="1:10" ht="14.45" x14ac:dyDescent="0.3">
      <c r="A32" s="342" t="s">
        <v>345</v>
      </c>
      <c r="B32" s="340"/>
      <c r="C32" s="340"/>
      <c r="D32" s="340"/>
      <c r="E32" s="340"/>
      <c r="F32" s="340"/>
      <c r="G32" s="340"/>
      <c r="H32" s="340"/>
      <c r="I32" s="340"/>
      <c r="J32" s="340"/>
    </row>
    <row r="33" spans="1:10" ht="43.15" customHeight="1" x14ac:dyDescent="0.3">
      <c r="A33" s="1531" t="s">
        <v>351</v>
      </c>
      <c r="B33" s="1531"/>
      <c r="C33" s="1531"/>
      <c r="D33" s="1531"/>
      <c r="E33" s="1531"/>
      <c r="F33" s="1531"/>
      <c r="G33" s="340"/>
      <c r="H33" s="340"/>
      <c r="I33" s="340"/>
      <c r="J33" s="340"/>
    </row>
    <row r="34" spans="1:10" ht="14.45" x14ac:dyDescent="0.3">
      <c r="A34" s="247" t="s">
        <v>350</v>
      </c>
      <c r="B34" s="340"/>
      <c r="C34" s="340"/>
      <c r="D34" s="340"/>
      <c r="E34" s="340"/>
      <c r="F34" s="340"/>
      <c r="G34" s="340"/>
      <c r="H34" s="340"/>
      <c r="I34" s="340"/>
      <c r="J34" s="340"/>
    </row>
    <row r="35" spans="1:10" ht="14.45" x14ac:dyDescent="0.3">
      <c r="A35" s="340"/>
      <c r="B35" s="340"/>
      <c r="C35" s="340"/>
      <c r="D35" s="340"/>
      <c r="E35" s="340"/>
      <c r="F35" s="340"/>
      <c r="G35" s="340"/>
      <c r="H35" s="340"/>
      <c r="I35" s="340"/>
      <c r="J35" s="340"/>
    </row>
    <row r="36" spans="1:10" ht="14.45" x14ac:dyDescent="0.3">
      <c r="A36" s="340"/>
      <c r="B36" s="340"/>
      <c r="C36" s="340"/>
      <c r="D36" s="340"/>
      <c r="E36" s="340"/>
      <c r="F36" s="340"/>
      <c r="G36" s="340"/>
      <c r="H36" s="340"/>
      <c r="I36" s="340"/>
      <c r="J36" s="340"/>
    </row>
    <row r="37" spans="1:10" ht="14.45" x14ac:dyDescent="0.3">
      <c r="A37" s="340"/>
      <c r="B37" s="340"/>
      <c r="C37" s="340"/>
      <c r="D37" s="340"/>
      <c r="E37" s="340"/>
      <c r="F37" s="340"/>
      <c r="G37" s="340"/>
      <c r="H37" s="340"/>
      <c r="I37" s="340"/>
      <c r="J37" s="340"/>
    </row>
    <row r="38" spans="1:10" ht="14.45" x14ac:dyDescent="0.3">
      <c r="A38" s="340"/>
      <c r="B38" s="340"/>
      <c r="C38" s="340"/>
      <c r="D38" s="340"/>
      <c r="E38" s="340"/>
      <c r="F38" s="340"/>
      <c r="G38" s="340"/>
      <c r="H38" s="340"/>
      <c r="I38" s="340"/>
      <c r="J38" s="340"/>
    </row>
    <row r="39" spans="1:10" ht="14.45" x14ac:dyDescent="0.3">
      <c r="A39" s="340"/>
      <c r="B39" s="340"/>
      <c r="C39" s="340"/>
      <c r="D39" s="340"/>
      <c r="E39" s="340"/>
    </row>
    <row r="40" spans="1:10" ht="14.45" x14ac:dyDescent="0.3">
      <c r="A40" s="340"/>
    </row>
  </sheetData>
  <mergeCells count="4">
    <mergeCell ref="A7:E7"/>
    <mergeCell ref="F6:F7"/>
    <mergeCell ref="A33:F33"/>
    <mergeCell ref="A5:F5"/>
  </mergeCells>
  <phoneticPr fontId="29" type="noConversion"/>
  <pageMargins left="0.7" right="0.7" top="0.75" bottom="0.75" header="0.3" footer="0.3"/>
  <pageSetup fitToHeight="0" orientation="landscape" r:id="rId1"/>
  <headerFooter>
    <oddFooter>&amp;R
&amp;A
Caring Together rate review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Q136"/>
  <sheetViews>
    <sheetView zoomScale="85" zoomScaleNormal="85" workbookViewId="0">
      <selection activeCell="G94" sqref="G94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bestFit="1" customWidth="1"/>
    <col min="6" max="6" width="13.140625" style="420" customWidth="1"/>
    <col min="7" max="7" width="9.140625" style="23"/>
    <col min="8" max="8" width="31.85546875" style="23" bestFit="1" customWidth="1"/>
    <col min="9" max="9" width="10.140625" style="23" customWidth="1"/>
    <col min="10" max="10" width="10.42578125" style="23" customWidth="1"/>
    <col min="11" max="11" width="10.7109375" style="23" customWidth="1"/>
    <col min="12" max="12" width="11" style="23" customWidth="1"/>
    <col min="13" max="13" width="10.28515625" style="23" customWidth="1"/>
    <col min="14" max="14" width="2.7109375" style="23" customWidth="1"/>
    <col min="15" max="15" width="10.5703125" style="23" bestFit="1" customWidth="1"/>
    <col min="16" max="16" width="4.7109375" style="23" customWidth="1"/>
    <col min="17" max="17" width="14.85546875" style="23" customWidth="1"/>
    <col min="18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ht="12.75" customHeight="1" x14ac:dyDescent="0.2">
      <c r="F6" s="1433" t="s">
        <v>460</v>
      </c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474" t="s">
        <v>119</v>
      </c>
      <c r="B7" s="1474"/>
      <c r="C7" s="1474"/>
      <c r="D7" s="1474"/>
      <c r="E7" s="1474"/>
      <c r="F7" s="1434"/>
      <c r="H7" s="11" t="s">
        <v>15</v>
      </c>
      <c r="I7" s="12">
        <v>11</v>
      </c>
      <c r="J7" s="13">
        <f>I7*8</f>
        <v>88</v>
      </c>
      <c r="K7" s="10"/>
      <c r="L7" s="472"/>
      <c r="M7" s="24"/>
    </row>
    <row r="8" spans="1:13" ht="13.15" x14ac:dyDescent="0.25">
      <c r="A8" s="25" t="s">
        <v>205</v>
      </c>
      <c r="B8" s="69">
        <f>I$30</f>
        <v>30</v>
      </c>
      <c r="C8" s="25"/>
      <c r="D8" s="25" t="s">
        <v>206</v>
      </c>
      <c r="E8" s="68">
        <f>B8*365</f>
        <v>10950</v>
      </c>
      <c r="F8" s="423"/>
      <c r="H8" s="14" t="s">
        <v>16</v>
      </c>
      <c r="I8" s="15">
        <v>7</v>
      </c>
      <c r="J8" s="16">
        <f>I8*8</f>
        <v>56</v>
      </c>
      <c r="K8" s="17"/>
      <c r="L8" s="472"/>
      <c r="M8" s="24"/>
    </row>
    <row r="9" spans="1:13" ht="13.15" x14ac:dyDescent="0.25">
      <c r="F9" s="424"/>
      <c r="H9" s="11"/>
      <c r="I9" s="18" t="s">
        <v>17</v>
      </c>
      <c r="J9" s="13">
        <f>SUM(J5:J8)</f>
        <v>328</v>
      </c>
      <c r="K9" s="19"/>
      <c r="L9" s="472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24"/>
      <c r="H10" s="20"/>
      <c r="I10" s="21" t="s">
        <v>18</v>
      </c>
      <c r="J10" s="22">
        <f>J9/(52*40)</f>
        <v>0.15769230769230769</v>
      </c>
      <c r="K10" s="56">
        <v>7.4999999999999997E-2</v>
      </c>
      <c r="L10" s="281"/>
    </row>
    <row r="11" spans="1:13" ht="13.9" thickBot="1" x14ac:dyDescent="0.3">
      <c r="A11" s="1" t="s">
        <v>19</v>
      </c>
      <c r="C11" s="30">
        <f>I14</f>
        <v>52305.406251052875</v>
      </c>
      <c r="D11" s="35">
        <f>I31</f>
        <v>2</v>
      </c>
      <c r="E11" s="28">
        <f>C11*D11</f>
        <v>104610.81250210575</v>
      </c>
      <c r="F11" s="424"/>
      <c r="I11" s="281"/>
      <c r="J11" s="281"/>
      <c r="K11" s="281"/>
      <c r="L11" s="281"/>
    </row>
    <row r="12" spans="1:13" ht="13.15" x14ac:dyDescent="0.25">
      <c r="A12" s="2" t="s">
        <v>227</v>
      </c>
      <c r="C12" s="30"/>
      <c r="D12" s="35"/>
      <c r="E12" s="28"/>
      <c r="F12" s="424"/>
      <c r="H12" s="36"/>
      <c r="I12" s="437"/>
      <c r="J12" s="438" t="s">
        <v>75</v>
      </c>
      <c r="K12" s="438"/>
      <c r="L12" s="473"/>
    </row>
    <row r="13" spans="1:13" ht="13.15" x14ac:dyDescent="0.25">
      <c r="A13" s="3" t="s">
        <v>23</v>
      </c>
      <c r="C13" s="282">
        <f>I16</f>
        <v>200122.62</v>
      </c>
      <c r="D13" s="35">
        <f>I33</f>
        <v>0.1</v>
      </c>
      <c r="E13" s="28">
        <f>C13*D13</f>
        <v>20012.262000000002</v>
      </c>
      <c r="F13" s="424"/>
      <c r="H13" s="43"/>
      <c r="I13" s="391" t="s">
        <v>111</v>
      </c>
      <c r="J13" s="449"/>
      <c r="K13" s="335" t="s">
        <v>112</v>
      </c>
      <c r="L13" s="455"/>
    </row>
    <row r="14" spans="1:13" ht="13.15" x14ac:dyDescent="0.25">
      <c r="A14" s="3" t="s">
        <v>25</v>
      </c>
      <c r="C14" s="282">
        <f>I18</f>
        <v>61725</v>
      </c>
      <c r="D14" s="35">
        <f>I35</f>
        <v>0.5</v>
      </c>
      <c r="E14" s="28">
        <f>C14*D14</f>
        <v>30862.5</v>
      </c>
      <c r="F14" s="424"/>
      <c r="H14" s="7" t="s">
        <v>19</v>
      </c>
      <c r="I14" s="280">
        <f>'Group Home'!Q13</f>
        <v>52305.406251052875</v>
      </c>
      <c r="J14" s="281"/>
      <c r="K14" s="280">
        <f>'Group Home'!Q13</f>
        <v>52305.406251052875</v>
      </c>
      <c r="L14" s="441"/>
    </row>
    <row r="15" spans="1:13" ht="13.15" x14ac:dyDescent="0.25">
      <c r="A15" s="3" t="s">
        <v>26</v>
      </c>
      <c r="C15" s="282">
        <f>I19</f>
        <v>50000</v>
      </c>
      <c r="D15" s="35">
        <f>I36</f>
        <v>1</v>
      </c>
      <c r="E15" s="28">
        <f>C15*D15</f>
        <v>50000</v>
      </c>
      <c r="F15" s="424"/>
      <c r="H15" s="7" t="s">
        <v>227</v>
      </c>
      <c r="I15" s="280"/>
      <c r="J15" s="281"/>
      <c r="K15" s="280"/>
      <c r="L15" s="441"/>
    </row>
    <row r="16" spans="1:13" ht="13.15" x14ac:dyDescent="0.25">
      <c r="A16" s="2" t="s">
        <v>5</v>
      </c>
      <c r="C16" s="282"/>
      <c r="D16" s="35"/>
      <c r="E16" s="28"/>
      <c r="F16" s="424"/>
      <c r="H16" s="11" t="s">
        <v>23</v>
      </c>
      <c r="I16" s="280">
        <f>IRTP!X15</f>
        <v>200122.62</v>
      </c>
      <c r="J16" s="281"/>
      <c r="K16" s="280">
        <f>IRTP!X15</f>
        <v>200122.62</v>
      </c>
      <c r="L16" s="442" t="s">
        <v>84</v>
      </c>
    </row>
    <row r="17" spans="1:13" ht="13.15" x14ac:dyDescent="0.25">
      <c r="A17" s="3" t="s">
        <v>85</v>
      </c>
      <c r="C17" s="282">
        <f>I21</f>
        <v>22880</v>
      </c>
      <c r="D17" s="35">
        <f>I38</f>
        <v>1</v>
      </c>
      <c r="E17" s="28">
        <f>C17*D17</f>
        <v>22880</v>
      </c>
      <c r="F17" s="424"/>
      <c r="H17" s="11" t="s">
        <v>24</v>
      </c>
      <c r="I17" s="280"/>
      <c r="J17" s="281"/>
      <c r="K17" s="280">
        <f>'Group Home'!Q16</f>
        <v>64673.926018287602</v>
      </c>
      <c r="L17" s="442" t="s">
        <v>69</v>
      </c>
    </row>
    <row r="18" spans="1:13" ht="13.15" x14ac:dyDescent="0.25">
      <c r="A18" s="3" t="s">
        <v>59</v>
      </c>
      <c r="C18" s="30">
        <f>I22</f>
        <v>42189.221412467887</v>
      </c>
      <c r="D18" s="35">
        <f>I39</f>
        <v>4</v>
      </c>
      <c r="E18" s="28">
        <f>C18*D18</f>
        <v>168756.88564987155</v>
      </c>
      <c r="F18" s="424"/>
      <c r="H18" s="11" t="s">
        <v>25</v>
      </c>
      <c r="I18" s="280">
        <f>IRTP!X18</f>
        <v>61725</v>
      </c>
      <c r="J18" s="281"/>
      <c r="K18" s="280">
        <f>IRTP!X18</f>
        <v>61725</v>
      </c>
      <c r="L18" s="442" t="s">
        <v>82</v>
      </c>
    </row>
    <row r="19" spans="1:13" ht="13.15" x14ac:dyDescent="0.25">
      <c r="A19" s="3" t="s">
        <v>30</v>
      </c>
      <c r="C19" s="30">
        <f>I23</f>
        <v>35000</v>
      </c>
      <c r="D19" s="35">
        <f>I40</f>
        <v>6.5</v>
      </c>
      <c r="E19" s="28">
        <f>C19*D19</f>
        <v>227500</v>
      </c>
      <c r="F19" s="424"/>
      <c r="H19" s="11" t="s">
        <v>26</v>
      </c>
      <c r="I19" s="280">
        <f>'Group Home'!Q18</f>
        <v>50000</v>
      </c>
      <c r="J19" s="281"/>
      <c r="K19" s="280">
        <f>'Group Home'!Q18</f>
        <v>50000</v>
      </c>
      <c r="L19" s="442"/>
    </row>
    <row r="20" spans="1:13" ht="13.15" x14ac:dyDescent="0.25">
      <c r="A20" s="4" t="s">
        <v>31</v>
      </c>
      <c r="C20" s="30">
        <f>I24</f>
        <v>35000</v>
      </c>
      <c r="D20" s="35">
        <f>I41</f>
        <v>0.48749999999999999</v>
      </c>
      <c r="E20" s="28">
        <f>C20*D20</f>
        <v>17062.5</v>
      </c>
      <c r="F20" s="424"/>
      <c r="H20" s="7" t="s">
        <v>5</v>
      </c>
      <c r="I20" s="280"/>
      <c r="J20" s="281"/>
      <c r="K20" s="280"/>
      <c r="L20" s="442"/>
    </row>
    <row r="21" spans="1:13" ht="13.15" x14ac:dyDescent="0.25">
      <c r="A21" s="2" t="s">
        <v>6</v>
      </c>
      <c r="C21" s="30"/>
      <c r="D21" s="35"/>
      <c r="E21" s="28"/>
      <c r="F21" s="424"/>
      <c r="H21" s="11" t="s">
        <v>85</v>
      </c>
      <c r="I21" s="40">
        <f>11*2080</f>
        <v>22880</v>
      </c>
      <c r="K21" s="40"/>
      <c r="L21" s="118"/>
    </row>
    <row r="22" spans="1:13" ht="13.15" x14ac:dyDescent="0.25">
      <c r="A22" s="3" t="s">
        <v>32</v>
      </c>
      <c r="C22" s="30">
        <f>I26</f>
        <v>34963.132790158103</v>
      </c>
      <c r="D22" s="35">
        <f>I43</f>
        <v>0.5</v>
      </c>
      <c r="E22" s="28">
        <f>C22*D22</f>
        <v>17481.566395079051</v>
      </c>
      <c r="F22" s="424"/>
      <c r="H22" s="11" t="s">
        <v>59</v>
      </c>
      <c r="I22" s="40">
        <f>'Group Home'!Q21</f>
        <v>42189.221412467887</v>
      </c>
      <c r="K22" s="40">
        <f>'Group Home'!Q21</f>
        <v>42189.221412467887</v>
      </c>
      <c r="L22" s="118"/>
    </row>
    <row r="23" spans="1:13" ht="13.15" x14ac:dyDescent="0.25">
      <c r="A23" s="31" t="s">
        <v>7</v>
      </c>
      <c r="B23" s="31"/>
      <c r="C23" s="31"/>
      <c r="D23" s="32">
        <f>SUM(D11:D22)</f>
        <v>16.087499999999999</v>
      </c>
      <c r="E23" s="33">
        <f>SUM(E11:E22)</f>
        <v>659166.52654705639</v>
      </c>
      <c r="F23" s="424"/>
      <c r="H23" s="11" t="s">
        <v>30</v>
      </c>
      <c r="I23" s="40">
        <f>'[13]Avg Salaries'!$L$37</f>
        <v>35000</v>
      </c>
      <c r="K23" s="40">
        <f>'Group Home'!Q23</f>
        <v>28500</v>
      </c>
      <c r="L23" s="118" t="s">
        <v>86</v>
      </c>
    </row>
    <row r="24" spans="1:13" ht="13.15" x14ac:dyDescent="0.25">
      <c r="F24" s="424"/>
      <c r="H24" s="42" t="s">
        <v>31</v>
      </c>
      <c r="I24" s="40">
        <f>I23</f>
        <v>35000</v>
      </c>
      <c r="K24" s="40">
        <f>'Group Home'!Q24</f>
        <v>28500</v>
      </c>
      <c r="L24" s="118"/>
    </row>
    <row r="25" spans="1:13" ht="13.15" x14ac:dyDescent="0.25">
      <c r="A25" s="25" t="s">
        <v>21</v>
      </c>
      <c r="D25" s="25" t="s">
        <v>20</v>
      </c>
      <c r="F25" s="424"/>
      <c r="H25" s="7" t="s">
        <v>6</v>
      </c>
      <c r="I25" s="40"/>
      <c r="K25" s="40"/>
      <c r="L25" s="118"/>
    </row>
    <row r="26" spans="1:13" ht="13.15" x14ac:dyDescent="0.25">
      <c r="A26" s="23" t="s">
        <v>22</v>
      </c>
      <c r="C26" s="97">
        <f>$J$46</f>
        <v>0.23424901786252411</v>
      </c>
      <c r="E26" s="28">
        <f>C26*E23</f>
        <v>154409.1114514994</v>
      </c>
      <c r="F26" s="424"/>
      <c r="H26" s="11" t="s">
        <v>32</v>
      </c>
      <c r="I26" s="40">
        <f>IF('[13]Avg Salaries'!$J$44&gt;I23,I23,'[13]Avg Salaries'!$J$44)</f>
        <v>34963.132790158103</v>
      </c>
      <c r="K26" s="40">
        <f>'Group Home'!Q26</f>
        <v>28500</v>
      </c>
      <c r="L26" s="118" t="s">
        <v>70</v>
      </c>
    </row>
    <row r="27" spans="1:13" ht="13.15" x14ac:dyDescent="0.25">
      <c r="A27" s="31" t="s">
        <v>51</v>
      </c>
      <c r="B27" s="31"/>
      <c r="C27" s="31"/>
      <c r="D27" s="70">
        <f>E27/E8</f>
        <v>74.299145022699165</v>
      </c>
      <c r="E27" s="33">
        <f>E26+E23</f>
        <v>813575.63799855579</v>
      </c>
      <c r="F27" s="425"/>
      <c r="H27" s="11"/>
      <c r="I27" s="29"/>
      <c r="J27" s="40"/>
      <c r="K27" s="40"/>
      <c r="L27" s="41"/>
    </row>
    <row r="28" spans="1:13" ht="13.15" x14ac:dyDescent="0.25">
      <c r="F28" s="424"/>
      <c r="H28" s="43"/>
      <c r="I28" s="29"/>
      <c r="J28" s="44" t="s">
        <v>37</v>
      </c>
      <c r="K28" s="44"/>
      <c r="L28" s="41"/>
      <c r="M28" s="174"/>
    </row>
    <row r="29" spans="1:13" ht="13.15" x14ac:dyDescent="0.25">
      <c r="A29" s="23" t="s">
        <v>107</v>
      </c>
      <c r="C29" s="30">
        <f>J48</f>
        <v>1000</v>
      </c>
      <c r="E29" s="28">
        <f>C29*B8</f>
        <v>30000</v>
      </c>
      <c r="F29" s="425"/>
      <c r="H29" s="43" t="s">
        <v>35</v>
      </c>
      <c r="I29" s="65" t="s">
        <v>108</v>
      </c>
      <c r="J29" s="65"/>
      <c r="K29" s="65" t="s">
        <v>109</v>
      </c>
      <c r="L29" s="66" t="s">
        <v>110</v>
      </c>
    </row>
    <row r="30" spans="1:13" ht="13.15" x14ac:dyDescent="0.25">
      <c r="F30" s="424"/>
      <c r="H30" s="43" t="s">
        <v>36</v>
      </c>
      <c r="I30" s="57">
        <f>'[13]Rate Options'!$I$31</f>
        <v>30</v>
      </c>
      <c r="J30" s="57"/>
      <c r="K30" s="57">
        <v>12</v>
      </c>
      <c r="L30" s="67">
        <v>12</v>
      </c>
    </row>
    <row r="31" spans="1:13" ht="13.15" x14ac:dyDescent="0.25">
      <c r="A31" s="23" t="s">
        <v>39</v>
      </c>
      <c r="D31" s="71">
        <f>$I$50</f>
        <v>3.7124163293056029</v>
      </c>
      <c r="E31" s="105">
        <f>D31*E8</f>
        <v>40650.958805896349</v>
      </c>
      <c r="F31" s="425"/>
      <c r="H31" s="7" t="s">
        <v>19</v>
      </c>
      <c r="I31" s="123">
        <f>'[13]Rate Options'!I32</f>
        <v>2</v>
      </c>
      <c r="J31" s="112"/>
      <c r="K31" s="123">
        <f>'[13]Rate Options'!K32</f>
        <v>1.75</v>
      </c>
      <c r="L31" s="113">
        <f>'[13]Rate Options'!L32</f>
        <v>1.75</v>
      </c>
    </row>
    <row r="32" spans="1:13" ht="13.15" x14ac:dyDescent="0.25">
      <c r="A32" s="29" t="s">
        <v>40</v>
      </c>
      <c r="D32" s="71">
        <f>$I$51</f>
        <v>4.6569748756142024</v>
      </c>
      <c r="E32" s="105">
        <f>D32*E8</f>
        <v>50993.874887975515</v>
      </c>
      <c r="F32" s="425"/>
      <c r="H32" s="7" t="s">
        <v>227</v>
      </c>
      <c r="I32" s="123"/>
      <c r="J32" s="112"/>
      <c r="K32" s="112"/>
      <c r="L32" s="113"/>
    </row>
    <row r="33" spans="1:13" ht="13.15" x14ac:dyDescent="0.25">
      <c r="A33" s="29" t="s">
        <v>41</v>
      </c>
      <c r="D33" s="71">
        <f>$I$52</f>
        <v>0.58323919752799014</v>
      </c>
      <c r="E33" s="105">
        <f>D33*E8</f>
        <v>6386.4692129314917</v>
      </c>
      <c r="F33" s="425"/>
      <c r="H33" s="11" t="s">
        <v>23</v>
      </c>
      <c r="I33" s="123">
        <f>'[13]Rate Options'!$I34</f>
        <v>0.1</v>
      </c>
      <c r="J33" s="112"/>
      <c r="K33" s="123">
        <f>'[13]Rate Options'!K34</f>
        <v>0.1</v>
      </c>
      <c r="L33" s="113"/>
    </row>
    <row r="34" spans="1:13" ht="13.15" x14ac:dyDescent="0.25">
      <c r="D34" s="72">
        <f>SUM(D31:D33)</f>
        <v>8.9526304024477952</v>
      </c>
      <c r="F34" s="424"/>
      <c r="H34" s="11" t="s">
        <v>24</v>
      </c>
      <c r="I34" s="123"/>
      <c r="J34" s="112"/>
      <c r="K34" s="123">
        <f>'[13]Rate Options'!K35</f>
        <v>0.25</v>
      </c>
      <c r="L34" s="113">
        <f>'[13]Rate Options'!L35</f>
        <v>0.25</v>
      </c>
    </row>
    <row r="35" spans="1:13" ht="13.15" x14ac:dyDescent="0.25">
      <c r="F35" s="424"/>
      <c r="H35" s="11" t="s">
        <v>25</v>
      </c>
      <c r="I35" s="123">
        <f>'[13]Rate Options'!$I36</f>
        <v>0.5</v>
      </c>
      <c r="J35" s="112"/>
      <c r="K35" s="123">
        <f>'[13]Rate Options'!K36</f>
        <v>0.5</v>
      </c>
      <c r="L35" s="113"/>
    </row>
    <row r="36" spans="1:13" ht="13.15" x14ac:dyDescent="0.25">
      <c r="A36" s="31" t="s">
        <v>43</v>
      </c>
      <c r="B36" s="31"/>
      <c r="C36" s="31"/>
      <c r="D36" s="31"/>
      <c r="E36" s="33">
        <f>SUM(E27:E33)</f>
        <v>941606.94090535911</v>
      </c>
      <c r="F36" s="425"/>
      <c r="H36" s="11" t="s">
        <v>26</v>
      </c>
      <c r="I36" s="123">
        <f>'[13]Rate Options'!$I37</f>
        <v>1</v>
      </c>
      <c r="J36" s="112"/>
      <c r="K36" s="123">
        <f>'[13]Rate Options'!K37</f>
        <v>1</v>
      </c>
      <c r="L36" s="113">
        <f>'[13]Rate Options'!L37</f>
        <v>0.5</v>
      </c>
    </row>
    <row r="37" spans="1:13" ht="13.15" x14ac:dyDescent="0.25">
      <c r="F37" s="424"/>
      <c r="H37" s="7" t="s">
        <v>5</v>
      </c>
      <c r="I37" s="123"/>
      <c r="J37" s="112"/>
      <c r="K37" s="112"/>
      <c r="L37" s="113"/>
    </row>
    <row r="38" spans="1:13" ht="13.15" x14ac:dyDescent="0.25">
      <c r="A38" s="23" t="s">
        <v>44</v>
      </c>
      <c r="C38" s="97">
        <f>$J$56</f>
        <v>0.11846733793705286</v>
      </c>
      <c r="E38" s="28">
        <f>C38*E36</f>
        <v>111549.66767210973</v>
      </c>
      <c r="F38" s="425"/>
      <c r="H38" s="11" t="s">
        <v>85</v>
      </c>
      <c r="I38" s="123">
        <f>'[13]Rate Options'!$I39</f>
        <v>1</v>
      </c>
      <c r="J38" s="112"/>
      <c r="K38" s="112"/>
      <c r="L38" s="113"/>
    </row>
    <row r="39" spans="1:13" ht="13.15" x14ac:dyDescent="0.25">
      <c r="F39" s="424"/>
      <c r="H39" s="11" t="s">
        <v>59</v>
      </c>
      <c r="I39" s="123">
        <f>'[13]Rate Options'!$I40</f>
        <v>4</v>
      </c>
      <c r="J39" s="112"/>
      <c r="K39" s="168">
        <f>'[13]Rate Options'!K40</f>
        <v>0.5</v>
      </c>
      <c r="L39" s="113">
        <f>'[13]Rate Options'!L40</f>
        <v>1</v>
      </c>
    </row>
    <row r="40" spans="1:13" ht="13.9" thickBot="1" x14ac:dyDescent="0.3">
      <c r="A40" s="73" t="s">
        <v>52</v>
      </c>
      <c r="B40" s="74"/>
      <c r="C40" s="74"/>
      <c r="D40" s="74"/>
      <c r="E40" s="75">
        <f>SUM(E36:E38)</f>
        <v>1053156.6085774689</v>
      </c>
      <c r="F40" s="425"/>
      <c r="H40" s="11" t="s">
        <v>30</v>
      </c>
      <c r="I40" s="123">
        <f>'[13]Rate Options'!$I41</f>
        <v>6.5</v>
      </c>
      <c r="J40" s="112"/>
      <c r="K40" s="168">
        <f>'[13]Rate Options'!K41</f>
        <v>13.2</v>
      </c>
      <c r="L40" s="169">
        <f>'[13]Rate Options'!L41</f>
        <v>11.2</v>
      </c>
      <c r="M40" s="167" t="s">
        <v>222</v>
      </c>
    </row>
    <row r="41" spans="1:13" ht="13.9" thickTop="1" x14ac:dyDescent="0.25">
      <c r="F41" s="424"/>
      <c r="H41" s="42" t="s">
        <v>31</v>
      </c>
      <c r="I41" s="110">
        <f>I40*K10</f>
        <v>0.48749999999999999</v>
      </c>
      <c r="J41" s="122"/>
      <c r="K41" s="187">
        <f>K40*J10</f>
        <v>2.0815384615384613</v>
      </c>
      <c r="L41" s="188">
        <f>L40*J10</f>
        <v>1.766153846153846</v>
      </c>
      <c r="M41" s="174"/>
    </row>
    <row r="42" spans="1:13" ht="13.15" x14ac:dyDescent="0.25">
      <c r="A42" s="23" t="s">
        <v>53</v>
      </c>
      <c r="C42" s="98">
        <f>$J$58</f>
        <v>5.3904190379097106E-2</v>
      </c>
      <c r="E42" s="77">
        <f>E40*(1+C42)</f>
        <v>1109926.162905233</v>
      </c>
      <c r="F42" s="424"/>
      <c r="H42" s="7" t="s">
        <v>6</v>
      </c>
      <c r="I42" s="123"/>
      <c r="J42" s="112"/>
      <c r="K42" s="112"/>
      <c r="L42" s="113"/>
    </row>
    <row r="43" spans="1:13" ht="13.15" x14ac:dyDescent="0.25">
      <c r="F43" s="424"/>
      <c r="H43" s="11" t="s">
        <v>32</v>
      </c>
      <c r="I43" s="123">
        <f>'[13]Rate Options'!I44</f>
        <v>0.5</v>
      </c>
      <c r="J43" s="112"/>
      <c r="K43" s="123">
        <f>'[13]Rate Options'!K44</f>
        <v>0.25</v>
      </c>
      <c r="L43" s="113">
        <f>'[13]Rate Options'!L44</f>
        <v>0.25</v>
      </c>
    </row>
    <row r="44" spans="1:13" ht="13.15" x14ac:dyDescent="0.25">
      <c r="E44" s="92" t="s">
        <v>56</v>
      </c>
      <c r="F44" s="424"/>
      <c r="H44" s="43"/>
      <c r="I44" s="29"/>
      <c r="J44" s="29"/>
      <c r="K44" s="29"/>
      <c r="L44" s="41"/>
    </row>
    <row r="45" spans="1:13" ht="13.15" x14ac:dyDescent="0.25">
      <c r="A45" s="23" t="s">
        <v>55</v>
      </c>
      <c r="D45" s="76">
        <f>E40/E8</f>
        <v>96.178685714837343</v>
      </c>
      <c r="E45" s="76">
        <f>D45*(1+C42)</f>
        <v>101.36311990002129</v>
      </c>
      <c r="F45" s="424"/>
      <c r="H45" s="43"/>
      <c r="I45" s="29"/>
      <c r="J45" s="44" t="s">
        <v>266</v>
      </c>
      <c r="K45" s="44"/>
      <c r="L45" s="41"/>
    </row>
    <row r="46" spans="1:13" ht="13.9" thickBot="1" x14ac:dyDescent="0.3">
      <c r="A46" s="377" t="s">
        <v>455</v>
      </c>
      <c r="B46" s="378"/>
      <c r="C46" s="379">
        <f>'CAF Spring 2015'!BC24</f>
        <v>2.0354406130268236E-2</v>
      </c>
      <c r="D46" s="380"/>
      <c r="E46" s="380"/>
      <c r="F46" s="662">
        <f>E45*(1+C46)</f>
        <v>103.4263060090974</v>
      </c>
      <c r="H46" s="43" t="s">
        <v>22</v>
      </c>
      <c r="I46" s="29"/>
      <c r="J46" s="95">
        <f>'Group Home'!Q47</f>
        <v>0.23424901786252411</v>
      </c>
      <c r="K46" s="114"/>
      <c r="L46" s="41"/>
    </row>
    <row r="47" spans="1:13" ht="13.9" thickBot="1" x14ac:dyDescent="0.3">
      <c r="A47" s="78" t="s">
        <v>54</v>
      </c>
      <c r="B47" s="79">
        <v>0.9</v>
      </c>
      <c r="C47" s="80"/>
      <c r="D47" s="86">
        <f>E40/(E8*B47)</f>
        <v>106.86520634981927</v>
      </c>
      <c r="E47" s="384">
        <f>D47*(1+C42)</f>
        <v>112.62568877780143</v>
      </c>
      <c r="F47" s="663">
        <f>$F$46/B47</f>
        <v>114.918117787886</v>
      </c>
      <c r="H47" s="43"/>
      <c r="I47" s="29"/>
      <c r="J47" s="48"/>
      <c r="K47" s="48"/>
      <c r="L47" s="41"/>
    </row>
    <row r="48" spans="1:13" ht="13.15" x14ac:dyDescent="0.25">
      <c r="A48" s="81"/>
      <c r="B48" s="82">
        <v>0.85</v>
      </c>
      <c r="C48" s="83"/>
      <c r="D48" s="88">
        <f>E40/(E8*B48)</f>
        <v>113.15139495863217</v>
      </c>
      <c r="E48" s="89">
        <f>D48*(1+C42)</f>
        <v>119.25072929414269</v>
      </c>
      <c r="F48" s="421"/>
      <c r="H48" s="43" t="s">
        <v>107</v>
      </c>
      <c r="I48" s="29"/>
      <c r="J48" s="119">
        <v>1000</v>
      </c>
      <c r="K48" s="61"/>
      <c r="L48" s="41"/>
    </row>
    <row r="49" spans="1:12" ht="13.15" x14ac:dyDescent="0.25">
      <c r="A49" s="84"/>
      <c r="B49" s="85">
        <v>0.8</v>
      </c>
      <c r="C49" s="34"/>
      <c r="D49" s="90">
        <f>E40/(E8*B49)</f>
        <v>120.22335714354668</v>
      </c>
      <c r="E49" s="91">
        <f>D49*(1+C42)</f>
        <v>126.70389987502661</v>
      </c>
      <c r="F49" s="422"/>
      <c r="H49" s="43"/>
      <c r="I49" s="29"/>
      <c r="J49" s="29"/>
      <c r="K49" s="29"/>
      <c r="L49" s="41"/>
    </row>
    <row r="50" spans="1:12" ht="13.15" x14ac:dyDescent="0.25">
      <c r="H50" s="43" t="s">
        <v>39</v>
      </c>
      <c r="I50" s="59">
        <f>'[13]Avg Expenses'!$H$5</f>
        <v>3.7124163293056029</v>
      </c>
      <c r="K50" s="59">
        <f>'Group Home'!Q49</f>
        <v>20.4634671275006</v>
      </c>
      <c r="L50" s="41"/>
    </row>
    <row r="51" spans="1:12" ht="13.15" x14ac:dyDescent="0.25">
      <c r="H51" s="43" t="s">
        <v>40</v>
      </c>
      <c r="I51" s="59">
        <f>'[13]Avg Expenses'!$H$12</f>
        <v>4.6569748756142024</v>
      </c>
      <c r="K51" s="59">
        <f>'Group Home'!Q50</f>
        <v>16.648815707573558</v>
      </c>
      <c r="L51" s="41"/>
    </row>
    <row r="52" spans="1:12" x14ac:dyDescent="0.2">
      <c r="F52" s="1433" t="s">
        <v>460</v>
      </c>
      <c r="H52" s="43" t="s">
        <v>41</v>
      </c>
      <c r="I52" s="59">
        <f>[13]Transportation!$D$18</f>
        <v>0.58323919752799014</v>
      </c>
      <c r="K52" s="59"/>
      <c r="L52" s="41"/>
    </row>
    <row r="53" spans="1:12" ht="13.5" thickBot="1" x14ac:dyDescent="0.25">
      <c r="A53" s="1474" t="s">
        <v>207</v>
      </c>
      <c r="B53" s="1474"/>
      <c r="C53" s="1474"/>
      <c r="D53" s="1474"/>
      <c r="E53" s="1474"/>
      <c r="F53" s="1434"/>
      <c r="H53" s="43" t="s">
        <v>42</v>
      </c>
      <c r="I53" s="29"/>
      <c r="K53" s="59">
        <f>'Group Home'!Q52</f>
        <v>-1.9951315068493152</v>
      </c>
      <c r="L53" s="246"/>
    </row>
    <row r="54" spans="1:12" ht="13.15" x14ac:dyDescent="0.25">
      <c r="A54" s="25" t="s">
        <v>0</v>
      </c>
      <c r="B54" s="69">
        <f>K$30</f>
        <v>12</v>
      </c>
      <c r="C54" s="25"/>
      <c r="D54" s="25" t="s">
        <v>1</v>
      </c>
      <c r="E54" s="68">
        <f>B54*365</f>
        <v>4380</v>
      </c>
      <c r="F54" s="423"/>
      <c r="H54" s="101" t="s">
        <v>43</v>
      </c>
      <c r="I54" s="219">
        <f>SUM(I50:I53)</f>
        <v>8.9526304024477952</v>
      </c>
      <c r="J54" s="103"/>
      <c r="K54" s="219">
        <f>SUM(K50:K53)</f>
        <v>35.117151328224836</v>
      </c>
      <c r="L54" s="104"/>
    </row>
    <row r="55" spans="1:12" ht="13.15" x14ac:dyDescent="0.25">
      <c r="F55" s="424"/>
      <c r="H55" s="43"/>
      <c r="I55" s="29"/>
      <c r="J55" s="61"/>
      <c r="K55" s="61"/>
      <c r="L55" s="41"/>
    </row>
    <row r="56" spans="1:12" ht="13.15" x14ac:dyDescent="0.25">
      <c r="A56" s="26"/>
      <c r="B56" s="26"/>
      <c r="C56" s="27" t="s">
        <v>2</v>
      </c>
      <c r="D56" s="27" t="s">
        <v>3</v>
      </c>
      <c r="E56" s="27" t="s">
        <v>4</v>
      </c>
      <c r="F56" s="424"/>
      <c r="H56" s="43" t="s">
        <v>44</v>
      </c>
      <c r="I56" s="29"/>
      <c r="J56" s="95">
        <f>'Group Home'!Q55</f>
        <v>0.11846733793705286</v>
      </c>
      <c r="K56" s="114" t="s">
        <v>93</v>
      </c>
      <c r="L56" s="41"/>
    </row>
    <row r="57" spans="1:12" ht="13.15" x14ac:dyDescent="0.25">
      <c r="A57" s="1" t="s">
        <v>19</v>
      </c>
      <c r="C57" s="30">
        <f>K14</f>
        <v>52305.406251052875</v>
      </c>
      <c r="D57" s="35">
        <f>K31</f>
        <v>1.75</v>
      </c>
      <c r="E57" s="28">
        <f>C57*D57</f>
        <v>91534.460939342534</v>
      </c>
      <c r="F57" s="424"/>
      <c r="H57" s="43"/>
      <c r="I57" s="29"/>
      <c r="J57" s="29"/>
      <c r="K57" s="29"/>
      <c r="L57" s="41"/>
    </row>
    <row r="58" spans="1:12" ht="13.9" thickBot="1" x14ac:dyDescent="0.3">
      <c r="A58" s="2" t="s">
        <v>227</v>
      </c>
      <c r="C58" s="30"/>
      <c r="D58" s="35"/>
      <c r="E58" s="28"/>
      <c r="F58" s="424"/>
      <c r="H58" s="51" t="s">
        <v>45</v>
      </c>
      <c r="I58" s="52"/>
      <c r="J58" s="96">
        <f>'[12]Spring 2011 CPI'!$J$28</f>
        <v>5.3904190379097106E-2</v>
      </c>
      <c r="K58" s="96"/>
      <c r="L58" s="53"/>
    </row>
    <row r="59" spans="1:12" ht="13.15" x14ac:dyDescent="0.25">
      <c r="A59" s="3" t="s">
        <v>23</v>
      </c>
      <c r="C59" s="282">
        <f>K16</f>
        <v>200122.62</v>
      </c>
      <c r="D59" s="283">
        <f>K33</f>
        <v>0.1</v>
      </c>
      <c r="E59" s="28">
        <f>C59*D59</f>
        <v>20012.262000000002</v>
      </c>
      <c r="F59" s="424"/>
      <c r="H59" s="63" t="s">
        <v>50</v>
      </c>
      <c r="I59" s="64" t="s">
        <v>46</v>
      </c>
    </row>
    <row r="60" spans="1:12" ht="13.15" x14ac:dyDescent="0.25">
      <c r="A60" s="3" t="s">
        <v>24</v>
      </c>
      <c r="C60" s="282">
        <f>K17</f>
        <v>64673.926018287602</v>
      </c>
      <c r="D60" s="283">
        <f>K34</f>
        <v>0.25</v>
      </c>
      <c r="E60" s="28">
        <f>C60*D60</f>
        <v>16168.481504571901</v>
      </c>
      <c r="F60" s="424"/>
      <c r="H60" s="24" t="s">
        <v>47</v>
      </c>
    </row>
    <row r="61" spans="1:12" ht="13.15" x14ac:dyDescent="0.25">
      <c r="A61" s="3" t="s">
        <v>25</v>
      </c>
      <c r="C61" s="282">
        <f>K18</f>
        <v>61725</v>
      </c>
      <c r="D61" s="283">
        <f>K35</f>
        <v>0.5</v>
      </c>
      <c r="E61" s="28">
        <f>C61*D61</f>
        <v>30862.5</v>
      </c>
      <c r="F61" s="424"/>
      <c r="H61" s="23" t="s">
        <v>63</v>
      </c>
    </row>
    <row r="62" spans="1:12" ht="13.15" x14ac:dyDescent="0.25">
      <c r="A62" s="3" t="s">
        <v>26</v>
      </c>
      <c r="C62" s="282">
        <f>K19</f>
        <v>50000</v>
      </c>
      <c r="D62" s="283">
        <f>K36</f>
        <v>1</v>
      </c>
      <c r="E62" s="28">
        <f>C62*D62</f>
        <v>50000</v>
      </c>
      <c r="F62" s="424"/>
      <c r="H62" s="54" t="s">
        <v>117</v>
      </c>
    </row>
    <row r="63" spans="1:12" ht="13.15" x14ac:dyDescent="0.25">
      <c r="A63" s="2" t="s">
        <v>5</v>
      </c>
      <c r="C63" s="282"/>
      <c r="D63" s="283"/>
      <c r="E63" s="28"/>
      <c r="F63" s="424"/>
    </row>
    <row r="64" spans="1:12" ht="13.15" x14ac:dyDescent="0.25">
      <c r="A64" s="3" t="s">
        <v>59</v>
      </c>
      <c r="C64" s="282">
        <f>K22</f>
        <v>42189.221412467887</v>
      </c>
      <c r="D64" s="283">
        <f>K39</f>
        <v>0.5</v>
      </c>
      <c r="E64" s="28">
        <f>C64*D64</f>
        <v>21094.610706233943</v>
      </c>
      <c r="F64" s="424"/>
      <c r="H64" s="55" t="s">
        <v>49</v>
      </c>
    </row>
    <row r="65" spans="1:17" ht="13.15" x14ac:dyDescent="0.25">
      <c r="A65" s="3" t="s">
        <v>30</v>
      </c>
      <c r="C65" s="282">
        <f>K23</f>
        <v>28500</v>
      </c>
      <c r="D65" s="283">
        <v>16.399999999999999</v>
      </c>
      <c r="E65" s="28">
        <f>C65*D65</f>
        <v>467399.99999999994</v>
      </c>
      <c r="F65" s="424"/>
      <c r="H65" s="177" t="s">
        <v>267</v>
      </c>
    </row>
    <row r="66" spans="1:17" ht="13.15" x14ac:dyDescent="0.25">
      <c r="A66" s="4" t="s">
        <v>31</v>
      </c>
      <c r="C66" s="282">
        <f>K24</f>
        <v>28500</v>
      </c>
      <c r="D66" s="283">
        <f>K41</f>
        <v>2.0815384615384613</v>
      </c>
      <c r="E66" s="28">
        <f>C66*D66</f>
        <v>59323.846153846149</v>
      </c>
      <c r="F66" s="424"/>
      <c r="H66" s="23" t="s">
        <v>113</v>
      </c>
    </row>
    <row r="67" spans="1:17" x14ac:dyDescent="0.2">
      <c r="A67" s="2" t="s">
        <v>6</v>
      </c>
      <c r="C67" s="282"/>
      <c r="D67" s="283"/>
      <c r="E67" s="28"/>
      <c r="F67" s="424"/>
      <c r="H67" s="181" t="s">
        <v>194</v>
      </c>
    </row>
    <row r="68" spans="1:17" x14ac:dyDescent="0.2">
      <c r="A68" s="3" t="s">
        <v>32</v>
      </c>
      <c r="C68" s="30">
        <f>K26</f>
        <v>28500</v>
      </c>
      <c r="D68" s="35">
        <f>K43</f>
        <v>0.25</v>
      </c>
      <c r="E68" s="28">
        <f>C68*D68</f>
        <v>7125</v>
      </c>
      <c r="F68" s="424"/>
      <c r="H68" s="100" t="s">
        <v>114</v>
      </c>
    </row>
    <row r="69" spans="1:17" x14ac:dyDescent="0.2">
      <c r="A69" s="31" t="s">
        <v>7</v>
      </c>
      <c r="B69" s="31"/>
      <c r="C69" s="31"/>
      <c r="D69" s="32">
        <f>SUM(D57:D68)</f>
        <v>22.831538461538461</v>
      </c>
      <c r="E69" s="33">
        <f>SUM(E57:E68)</f>
        <v>763521.16130399448</v>
      </c>
      <c r="F69" s="424"/>
      <c r="H69" s="121" t="s">
        <v>115</v>
      </c>
    </row>
    <row r="70" spans="1:17" x14ac:dyDescent="0.2">
      <c r="F70" s="424"/>
      <c r="H70" s="94" t="s">
        <v>116</v>
      </c>
    </row>
    <row r="71" spans="1:17" x14ac:dyDescent="0.2">
      <c r="A71" s="25" t="s">
        <v>21</v>
      </c>
      <c r="D71" s="25" t="s">
        <v>20</v>
      </c>
      <c r="F71" s="424"/>
      <c r="H71" s="94" t="s">
        <v>118</v>
      </c>
    </row>
    <row r="72" spans="1:17" x14ac:dyDescent="0.2">
      <c r="A72" s="23" t="s">
        <v>22</v>
      </c>
      <c r="C72" s="97">
        <f>$J$46</f>
        <v>0.23424901786252411</v>
      </c>
      <c r="E72" s="28">
        <f>C72*E69</f>
        <v>178854.08215271455</v>
      </c>
      <c r="F72" s="425"/>
    </row>
    <row r="73" spans="1:17" x14ac:dyDescent="0.2">
      <c r="A73" s="31" t="s">
        <v>51</v>
      </c>
      <c r="B73" s="31"/>
      <c r="C73" s="31"/>
      <c r="D73" s="70">
        <f>E73/E54</f>
        <v>215.15416517276461</v>
      </c>
      <c r="E73" s="33">
        <f>E72+E69</f>
        <v>942375.24345670897</v>
      </c>
      <c r="F73" s="424"/>
      <c r="H73" s="109"/>
    </row>
    <row r="74" spans="1:17" x14ac:dyDescent="0.2">
      <c r="F74" s="425"/>
    </row>
    <row r="75" spans="1:17" x14ac:dyDescent="0.2">
      <c r="A75" s="23" t="s">
        <v>39</v>
      </c>
      <c r="D75" s="71">
        <f>$K$50</f>
        <v>20.4634671275006</v>
      </c>
      <c r="E75" s="105">
        <f>D75*E54</f>
        <v>89629.986018452633</v>
      </c>
      <c r="F75" s="425"/>
      <c r="H75" s="109"/>
    </row>
    <row r="76" spans="1:17" ht="13.5" thickBot="1" x14ac:dyDescent="0.25">
      <c r="A76" s="29" t="s">
        <v>40</v>
      </c>
      <c r="D76" s="71">
        <f>$K$51</f>
        <v>16.648815707573558</v>
      </c>
      <c r="E76" s="105">
        <f>D76*E54</f>
        <v>72921.812799172185</v>
      </c>
      <c r="F76" s="425"/>
      <c r="H76" s="131"/>
      <c r="I76" s="29"/>
      <c r="J76" s="29"/>
      <c r="K76" s="29"/>
      <c r="L76" s="29"/>
      <c r="M76" s="29"/>
      <c r="N76" s="29"/>
      <c r="O76" s="29"/>
      <c r="P76" s="29"/>
      <c r="Q76" s="130"/>
    </row>
    <row r="77" spans="1:17" x14ac:dyDescent="0.2">
      <c r="A77" s="29" t="s">
        <v>42</v>
      </c>
      <c r="D77" s="71">
        <f>$K$53</f>
        <v>-1.9951315068493152</v>
      </c>
      <c r="E77" s="105">
        <f>D77*E54</f>
        <v>-8738.6760000000013</v>
      </c>
      <c r="F77" s="424"/>
      <c r="H77" s="248" t="s">
        <v>133</v>
      </c>
      <c r="I77" s="249"/>
      <c r="J77" s="249"/>
      <c r="K77" s="249"/>
      <c r="L77" s="249"/>
      <c r="M77" s="249"/>
      <c r="N77" s="249"/>
      <c r="O77" s="249"/>
      <c r="P77" s="249"/>
      <c r="Q77" s="250"/>
    </row>
    <row r="78" spans="1:17" x14ac:dyDescent="0.2">
      <c r="D78" s="72">
        <f>SUM(D75:D77)</f>
        <v>35.117151328224836</v>
      </c>
      <c r="F78" s="424"/>
      <c r="H78" s="251"/>
      <c r="I78" s="29"/>
      <c r="J78" s="29"/>
      <c r="K78" s="29"/>
      <c r="L78" s="29"/>
      <c r="M78" s="29"/>
      <c r="N78" s="29"/>
      <c r="O78" s="29"/>
      <c r="P78" s="29"/>
      <c r="Q78" s="252"/>
    </row>
    <row r="79" spans="1:17" x14ac:dyDescent="0.2">
      <c r="F79" s="425"/>
      <c r="H79" s="253" t="s">
        <v>122</v>
      </c>
      <c r="I79" s="124" t="s">
        <v>123</v>
      </c>
      <c r="J79" s="57" t="s">
        <v>129</v>
      </c>
      <c r="K79" s="57" t="s">
        <v>130</v>
      </c>
      <c r="L79" s="57" t="s">
        <v>131</v>
      </c>
      <c r="M79" s="57" t="s">
        <v>132</v>
      </c>
      <c r="N79" s="57"/>
      <c r="O79" s="57" t="s">
        <v>124</v>
      </c>
      <c r="P79" s="57"/>
      <c r="Q79" s="254" t="s">
        <v>128</v>
      </c>
    </row>
    <row r="80" spans="1:17" x14ac:dyDescent="0.2">
      <c r="A80" s="31" t="s">
        <v>43</v>
      </c>
      <c r="B80" s="31"/>
      <c r="C80" s="31"/>
      <c r="D80" s="31"/>
      <c r="E80" s="33">
        <f>SUM(E73:E77)</f>
        <v>1096188.3662743338</v>
      </c>
      <c r="F80" s="424"/>
      <c r="H80" s="255" t="s">
        <v>247</v>
      </c>
      <c r="I80" s="125">
        <v>1</v>
      </c>
      <c r="J80" s="127">
        <v>12</v>
      </c>
      <c r="K80" s="127"/>
      <c r="L80" s="127"/>
      <c r="M80" s="127"/>
      <c r="N80" s="127"/>
      <c r="O80" s="127">
        <v>30</v>
      </c>
      <c r="P80" s="127"/>
      <c r="Q80" s="256">
        <f>O80</f>
        <v>30</v>
      </c>
    </row>
    <row r="81" spans="1:17" x14ac:dyDescent="0.2">
      <c r="F81" s="425"/>
      <c r="H81" s="255" t="s">
        <v>125</v>
      </c>
      <c r="I81" s="129">
        <v>100</v>
      </c>
      <c r="J81" s="132">
        <f>E91</f>
        <v>327.78796655628241</v>
      </c>
      <c r="K81" s="132">
        <f>E133</f>
        <v>249.55637503674757</v>
      </c>
      <c r="L81" s="132">
        <f>'Group Home'!E130</f>
        <v>186.61375764818357</v>
      </c>
      <c r="M81" s="132">
        <f>'Group Home'!E167</f>
        <v>101.56129404855095</v>
      </c>
      <c r="N81" s="128"/>
      <c r="O81" s="133">
        <f>E47</f>
        <v>112.62568877780143</v>
      </c>
      <c r="P81" s="128"/>
      <c r="Q81" s="257"/>
    </row>
    <row r="82" spans="1:17" x14ac:dyDescent="0.2">
      <c r="A82" s="23" t="s">
        <v>44</v>
      </c>
      <c r="C82" s="97">
        <f>$J$56</f>
        <v>0.11846733793705286</v>
      </c>
      <c r="E82" s="28">
        <f>C82*E80</f>
        <v>129862.51763008737</v>
      </c>
      <c r="F82" s="424"/>
      <c r="H82" s="255" t="s">
        <v>126</v>
      </c>
      <c r="I82" s="126">
        <f>I81*I80</f>
        <v>100</v>
      </c>
      <c r="J82" s="128">
        <f>J80*J81</f>
        <v>3933.455598675389</v>
      </c>
      <c r="K82" s="128">
        <f>K80*K81</f>
        <v>0</v>
      </c>
      <c r="L82" s="128">
        <f>L80*L81</f>
        <v>0</v>
      </c>
      <c r="M82" s="128">
        <f>M80*M81</f>
        <v>0</v>
      </c>
      <c r="N82" s="128"/>
      <c r="O82" s="128">
        <f>O81*O80</f>
        <v>3378.7706633340431</v>
      </c>
      <c r="P82" s="128"/>
      <c r="Q82" s="257">
        <f>SUM(I82:O82)</f>
        <v>7412.2262620094316</v>
      </c>
    </row>
    <row r="83" spans="1:17" x14ac:dyDescent="0.2">
      <c r="F83" s="425"/>
      <c r="H83" s="251"/>
      <c r="I83" s="127"/>
      <c r="J83" s="127"/>
      <c r="K83" s="127"/>
      <c r="L83" s="127"/>
      <c r="M83" s="127"/>
      <c r="N83" s="127"/>
      <c r="O83" s="29"/>
      <c r="P83" s="29"/>
      <c r="Q83" s="252"/>
    </row>
    <row r="84" spans="1:17" ht="13.5" thickBot="1" x14ac:dyDescent="0.25">
      <c r="A84" s="73" t="s">
        <v>52</v>
      </c>
      <c r="B84" s="74"/>
      <c r="C84" s="74"/>
      <c r="D84" s="74"/>
      <c r="E84" s="75">
        <f>SUM(E80:E82)</f>
        <v>1226050.8839044212</v>
      </c>
      <c r="F84" s="424"/>
      <c r="H84" s="251"/>
      <c r="I84" s="127"/>
      <c r="J84" s="127"/>
      <c r="K84" s="127"/>
      <c r="L84" s="29"/>
      <c r="M84" s="127"/>
      <c r="N84" s="29"/>
      <c r="O84" s="134" t="s">
        <v>127</v>
      </c>
      <c r="P84" s="29"/>
      <c r="Q84" s="258">
        <f>Q82/Q80</f>
        <v>247.07420873364771</v>
      </c>
    </row>
    <row r="85" spans="1:17" ht="13.5" thickTop="1" x14ac:dyDescent="0.2">
      <c r="F85" s="424"/>
      <c r="H85" s="251"/>
      <c r="I85" s="127"/>
      <c r="J85" s="127"/>
      <c r="K85" s="127"/>
      <c r="L85" s="29"/>
      <c r="M85" s="127"/>
      <c r="N85" s="29"/>
      <c r="O85" s="134" t="s">
        <v>121</v>
      </c>
      <c r="P85" s="29"/>
      <c r="Q85" s="257">
        <f>Q82*365</f>
        <v>2705462.5856334427</v>
      </c>
    </row>
    <row r="86" spans="1:17" x14ac:dyDescent="0.2">
      <c r="A86" s="23" t="s">
        <v>53</v>
      </c>
      <c r="C86" s="98">
        <f>$J$58</f>
        <v>5.3904190379097106E-2</v>
      </c>
      <c r="E86" s="77">
        <f>E84*(1+C86)</f>
        <v>1292140.1641648654</v>
      </c>
      <c r="F86" s="424"/>
      <c r="H86" s="251"/>
      <c r="I86" s="127"/>
      <c r="J86" s="127"/>
      <c r="K86" s="127"/>
      <c r="L86" s="29"/>
      <c r="M86" s="127"/>
      <c r="N86" s="29"/>
      <c r="O86" s="134" t="s">
        <v>248</v>
      </c>
      <c r="P86" s="29"/>
      <c r="Q86" s="257">
        <f>Q84*365</f>
        <v>90182.086187781417</v>
      </c>
    </row>
    <row r="87" spans="1:17" x14ac:dyDescent="0.2">
      <c r="F87" s="424"/>
      <c r="H87" s="251"/>
      <c r="I87" s="29"/>
      <c r="J87" s="29"/>
      <c r="K87" s="29"/>
      <c r="L87" s="29"/>
      <c r="M87" s="29"/>
      <c r="N87" s="29"/>
      <c r="O87" s="29"/>
      <c r="P87" s="29"/>
      <c r="Q87" s="252"/>
    </row>
    <row r="88" spans="1:17" x14ac:dyDescent="0.2">
      <c r="E88" s="92" t="s">
        <v>56</v>
      </c>
      <c r="F88" s="424"/>
      <c r="H88" s="251"/>
      <c r="I88" s="29"/>
      <c r="J88" s="29"/>
      <c r="K88" s="29"/>
      <c r="L88" s="29"/>
      <c r="M88" s="29"/>
      <c r="N88" s="29"/>
      <c r="O88" s="29"/>
      <c r="P88" s="29"/>
      <c r="Q88" s="252"/>
    </row>
    <row r="89" spans="1:17" x14ac:dyDescent="0.2">
      <c r="A89" s="23" t="s">
        <v>55</v>
      </c>
      <c r="D89" s="76">
        <f>E84/E54</f>
        <v>279.92029312886331</v>
      </c>
      <c r="E89" s="76">
        <f>D89*(1+C86)</f>
        <v>295.00916990065423</v>
      </c>
      <c r="F89" s="424"/>
      <c r="H89" s="251"/>
      <c r="I89" s="29"/>
      <c r="J89" s="29"/>
      <c r="K89" s="29"/>
      <c r="L89" s="29"/>
      <c r="M89" s="29"/>
      <c r="N89" s="29"/>
      <c r="O89" s="29"/>
      <c r="P89" s="29"/>
      <c r="Q89" s="252"/>
    </row>
    <row r="90" spans="1:17" x14ac:dyDescent="0.2">
      <c r="A90" s="377" t="s">
        <v>455</v>
      </c>
      <c r="B90" s="378"/>
      <c r="C90" s="379">
        <f>'CAF Spring 2015'!BC24</f>
        <v>2.0354406130268236E-2</v>
      </c>
      <c r="D90" s="380"/>
      <c r="E90" s="380"/>
      <c r="F90" s="664">
        <f>E89*(1+C90)</f>
        <v>301.01390635696544</v>
      </c>
      <c r="H90" s="251"/>
      <c r="I90" s="29"/>
      <c r="J90" s="29"/>
      <c r="K90" s="29"/>
      <c r="L90" s="29"/>
      <c r="M90" s="29"/>
      <c r="N90" s="29"/>
      <c r="O90" s="44" t="s">
        <v>134</v>
      </c>
      <c r="P90" s="29"/>
      <c r="Q90" s="259" t="s">
        <v>135</v>
      </c>
    </row>
    <row r="91" spans="1:17" x14ac:dyDescent="0.2">
      <c r="A91" s="78" t="s">
        <v>54</v>
      </c>
      <c r="B91" s="79">
        <v>0.9</v>
      </c>
      <c r="C91" s="80"/>
      <c r="D91" s="86">
        <f>E84/(E54*B91)</f>
        <v>311.0225479209592</v>
      </c>
      <c r="E91" s="345">
        <f>D91*(1+C86)</f>
        <v>327.78796655628241</v>
      </c>
      <c r="F91" s="665">
        <f>$F$90/B91</f>
        <v>334.45989595218379</v>
      </c>
      <c r="H91" s="251"/>
      <c r="I91" s="29" t="s">
        <v>249</v>
      </c>
      <c r="J91" s="29"/>
      <c r="K91" s="29"/>
      <c r="L91" s="29"/>
      <c r="M91" s="29"/>
      <c r="N91" s="29"/>
      <c r="O91" s="135">
        <v>208.59</v>
      </c>
      <c r="P91" s="29"/>
      <c r="Q91" s="262">
        <v>231.39</v>
      </c>
    </row>
    <row r="92" spans="1:17" x14ac:dyDescent="0.2">
      <c r="A92" s="81"/>
      <c r="B92" s="82">
        <v>0.85</v>
      </c>
      <c r="C92" s="83"/>
      <c r="D92" s="88">
        <f>E84/(E54*B92)</f>
        <v>329.31799191630978</v>
      </c>
      <c r="E92" s="89">
        <f>D92*(1+C86)</f>
        <v>347.06961164782848</v>
      </c>
      <c r="F92" s="421"/>
      <c r="H92" s="251"/>
      <c r="I92" s="29" t="s">
        <v>250</v>
      </c>
      <c r="J92" s="29"/>
      <c r="K92" s="29"/>
      <c r="L92" s="29"/>
      <c r="M92" s="29"/>
      <c r="N92" s="29"/>
      <c r="O92" s="135">
        <v>193.18</v>
      </c>
      <c r="P92" s="29"/>
      <c r="Q92" s="262">
        <v>214.28</v>
      </c>
    </row>
    <row r="93" spans="1:17" ht="13.5" thickBot="1" x14ac:dyDescent="0.25">
      <c r="A93" s="84"/>
      <c r="B93" s="85">
        <v>0.8</v>
      </c>
      <c r="C93" s="34"/>
      <c r="D93" s="90">
        <f>E84/(E54*B93)</f>
        <v>349.90036641107912</v>
      </c>
      <c r="E93" s="91">
        <f>D93*(1+C86)</f>
        <v>368.76146237581776</v>
      </c>
      <c r="F93" s="421"/>
      <c r="H93" s="251"/>
      <c r="I93" s="29" t="s">
        <v>251</v>
      </c>
      <c r="J93" s="29"/>
      <c r="K93" s="29"/>
      <c r="L93" s="29"/>
      <c r="M93" s="29"/>
      <c r="N93" s="29"/>
      <c r="O93" s="135">
        <v>170.23</v>
      </c>
      <c r="P93" s="29"/>
      <c r="Q93" s="262">
        <v>189.48</v>
      </c>
    </row>
    <row r="94" spans="1:17" ht="13.5" thickBot="1" x14ac:dyDescent="0.25">
      <c r="D94" s="681" t="s">
        <v>566</v>
      </c>
      <c r="E94" s="71">
        <f>'Group Home'!E46</f>
        <v>324.69932507240469</v>
      </c>
      <c r="F94" s="688">
        <f>'Group Home'!F46</f>
        <v>331.30838700515244</v>
      </c>
      <c r="G94" s="689">
        <f>'Group Home (rebased)'!L46</f>
        <v>335.73658395920756</v>
      </c>
      <c r="H94" s="260"/>
      <c r="I94" s="260" t="s">
        <v>252</v>
      </c>
      <c r="J94" s="260"/>
      <c r="K94" s="260"/>
      <c r="L94" s="260"/>
      <c r="M94" s="260"/>
      <c r="N94" s="260"/>
      <c r="O94" s="261">
        <v>139.82</v>
      </c>
      <c r="P94" s="260"/>
      <c r="Q94" s="263">
        <v>155.69</v>
      </c>
    </row>
    <row r="95" spans="1:17" x14ac:dyDescent="0.2">
      <c r="H95" s="131"/>
      <c r="I95" s="29" t="s">
        <v>253</v>
      </c>
      <c r="J95" s="29"/>
      <c r="K95" s="29"/>
      <c r="L95" s="29"/>
      <c r="M95" s="29"/>
      <c r="N95" s="29"/>
      <c r="O95" s="135">
        <v>223.88</v>
      </c>
      <c r="P95" s="29"/>
      <c r="Q95" s="136">
        <v>248.53</v>
      </c>
    </row>
    <row r="96" spans="1:17" x14ac:dyDescent="0.2">
      <c r="F96" s="1433" t="s">
        <v>460</v>
      </c>
    </row>
    <row r="97" spans="1:6" ht="13.5" thickBot="1" x14ac:dyDescent="0.25">
      <c r="A97" s="1474" t="s">
        <v>120</v>
      </c>
      <c r="B97" s="1474"/>
      <c r="C97" s="1474"/>
      <c r="D97" s="1474"/>
      <c r="E97" s="1474"/>
      <c r="F97" s="1434"/>
    </row>
    <row r="98" spans="1:6" x14ac:dyDescent="0.2">
      <c r="A98" s="25" t="s">
        <v>0</v>
      </c>
      <c r="B98" s="69">
        <f>L$30</f>
        <v>12</v>
      </c>
      <c r="C98" s="25"/>
      <c r="D98" s="25" t="s">
        <v>1</v>
      </c>
      <c r="E98" s="68">
        <f>B98*365</f>
        <v>4380</v>
      </c>
      <c r="F98" s="423"/>
    </row>
    <row r="99" spans="1:6" x14ac:dyDescent="0.2">
      <c r="F99" s="424"/>
    </row>
    <row r="100" spans="1:6" x14ac:dyDescent="0.2">
      <c r="A100" s="26"/>
      <c r="B100" s="26"/>
      <c r="C100" s="27" t="s">
        <v>2</v>
      </c>
      <c r="D100" s="27" t="s">
        <v>3</v>
      </c>
      <c r="E100" s="27" t="s">
        <v>4</v>
      </c>
      <c r="F100" s="424"/>
    </row>
    <row r="101" spans="1:6" x14ac:dyDescent="0.2">
      <c r="A101" s="1" t="s">
        <v>19</v>
      </c>
      <c r="C101" s="30">
        <f>K14</f>
        <v>52305.406251052875</v>
      </c>
      <c r="D101" s="35">
        <f>L31</f>
        <v>1.75</v>
      </c>
      <c r="E101" s="28">
        <f>C101*D101</f>
        <v>91534.460939342534</v>
      </c>
      <c r="F101" s="424"/>
    </row>
    <row r="102" spans="1:6" x14ac:dyDescent="0.2">
      <c r="A102" s="2" t="s">
        <v>227</v>
      </c>
      <c r="C102" s="30"/>
      <c r="D102" s="35"/>
      <c r="E102" s="28"/>
      <c r="F102" s="424"/>
    </row>
    <row r="103" spans="1:6" x14ac:dyDescent="0.2">
      <c r="A103" s="3" t="s">
        <v>24</v>
      </c>
      <c r="C103" s="30">
        <f>K17</f>
        <v>64673.926018287602</v>
      </c>
      <c r="D103" s="35">
        <f>L34</f>
        <v>0.25</v>
      </c>
      <c r="E103" s="28">
        <f>C103*D103</f>
        <v>16168.481504571901</v>
      </c>
      <c r="F103" s="424"/>
    </row>
    <row r="104" spans="1:6" x14ac:dyDescent="0.2">
      <c r="A104" s="3" t="s">
        <v>26</v>
      </c>
      <c r="C104" s="282">
        <f>K19</f>
        <v>50000</v>
      </c>
      <c r="D104" s="35">
        <f>L36</f>
        <v>0.5</v>
      </c>
      <c r="E104" s="28">
        <f>C104*D104</f>
        <v>25000</v>
      </c>
      <c r="F104" s="424"/>
    </row>
    <row r="105" spans="1:6" x14ac:dyDescent="0.2">
      <c r="A105" s="2" t="s">
        <v>5</v>
      </c>
      <c r="C105" s="30"/>
      <c r="D105" s="35"/>
      <c r="E105" s="28"/>
      <c r="F105" s="424"/>
    </row>
    <row r="106" spans="1:6" x14ac:dyDescent="0.2">
      <c r="A106" s="3" t="s">
        <v>59</v>
      </c>
      <c r="C106" s="30">
        <f>K22</f>
        <v>42189.221412467887</v>
      </c>
      <c r="D106" s="35">
        <f>L39</f>
        <v>1</v>
      </c>
      <c r="E106" s="28">
        <f>C106*D106</f>
        <v>42189.221412467887</v>
      </c>
      <c r="F106" s="424"/>
    </row>
    <row r="107" spans="1:6" x14ac:dyDescent="0.2">
      <c r="A107" s="3" t="s">
        <v>30</v>
      </c>
      <c r="C107" s="30">
        <f>K23</f>
        <v>28500</v>
      </c>
      <c r="D107" s="35">
        <f>L40</f>
        <v>11.2</v>
      </c>
      <c r="E107" s="28">
        <f>C107*D107</f>
        <v>319200</v>
      </c>
      <c r="F107" s="424"/>
    </row>
    <row r="108" spans="1:6" x14ac:dyDescent="0.2">
      <c r="A108" s="4" t="s">
        <v>31</v>
      </c>
      <c r="C108" s="30">
        <f>K24</f>
        <v>28500</v>
      </c>
      <c r="D108" s="35">
        <f>L41</f>
        <v>1.766153846153846</v>
      </c>
      <c r="E108" s="28">
        <f>C108*D108</f>
        <v>50335.38461538461</v>
      </c>
      <c r="F108" s="424"/>
    </row>
    <row r="109" spans="1:6" x14ac:dyDescent="0.2">
      <c r="A109" s="2" t="s">
        <v>6</v>
      </c>
      <c r="C109" s="30"/>
      <c r="D109" s="35"/>
      <c r="E109" s="28"/>
      <c r="F109" s="424"/>
    </row>
    <row r="110" spans="1:6" x14ac:dyDescent="0.2">
      <c r="A110" s="3" t="s">
        <v>32</v>
      </c>
      <c r="C110" s="30">
        <f>K26</f>
        <v>28500</v>
      </c>
      <c r="D110" s="35">
        <f>L43</f>
        <v>0.25</v>
      </c>
      <c r="E110" s="28">
        <f>C110*D110</f>
        <v>7125</v>
      </c>
      <c r="F110" s="424"/>
    </row>
    <row r="111" spans="1:6" x14ac:dyDescent="0.2">
      <c r="A111" s="31" t="s">
        <v>7</v>
      </c>
      <c r="B111" s="31"/>
      <c r="C111" s="31"/>
      <c r="D111" s="32">
        <f>SUM(D101:D110)</f>
        <v>16.716153846153844</v>
      </c>
      <c r="E111" s="33">
        <f>SUM(E101:E110)</f>
        <v>551552.54847176687</v>
      </c>
      <c r="F111" s="424"/>
    </row>
    <row r="112" spans="1:6" x14ac:dyDescent="0.2">
      <c r="F112" s="424"/>
    </row>
    <row r="113" spans="1:6" x14ac:dyDescent="0.2">
      <c r="A113" s="25" t="s">
        <v>21</v>
      </c>
      <c r="D113" s="25" t="s">
        <v>20</v>
      </c>
      <c r="F113" s="425"/>
    </row>
    <row r="114" spans="1:6" x14ac:dyDescent="0.2">
      <c r="A114" s="23" t="s">
        <v>22</v>
      </c>
      <c r="C114" s="97">
        <f>$J$46</f>
        <v>0.23424901786252411</v>
      </c>
      <c r="E114" s="28">
        <f>C114*E111</f>
        <v>129200.64277908362</v>
      </c>
      <c r="F114" s="424"/>
    </row>
    <row r="115" spans="1:6" x14ac:dyDescent="0.2">
      <c r="A115" s="31" t="s">
        <v>51</v>
      </c>
      <c r="B115" s="31"/>
      <c r="C115" s="31"/>
      <c r="D115" s="70">
        <f>E115/E98</f>
        <v>155.42310302530831</v>
      </c>
      <c r="E115" s="33">
        <f>E114+E111</f>
        <v>680753.19125085045</v>
      </c>
      <c r="F115" s="425"/>
    </row>
    <row r="116" spans="1:6" x14ac:dyDescent="0.2">
      <c r="F116" s="425"/>
    </row>
    <row r="117" spans="1:6" x14ac:dyDescent="0.2">
      <c r="A117" s="23" t="s">
        <v>39</v>
      </c>
      <c r="D117" s="71">
        <f>$K$50</f>
        <v>20.4634671275006</v>
      </c>
      <c r="E117" s="105">
        <f>D117*E98</f>
        <v>89629.986018452633</v>
      </c>
      <c r="F117" s="425"/>
    </row>
    <row r="118" spans="1:6" x14ac:dyDescent="0.2">
      <c r="A118" s="29" t="s">
        <v>40</v>
      </c>
      <c r="D118" s="71">
        <f>$K$51</f>
        <v>16.648815707573558</v>
      </c>
      <c r="E118" s="105">
        <f>D118*E98</f>
        <v>72921.812799172185</v>
      </c>
      <c r="F118" s="424"/>
    </row>
    <row r="119" spans="1:6" x14ac:dyDescent="0.2">
      <c r="A119" s="29" t="s">
        <v>42</v>
      </c>
      <c r="D119" s="71">
        <f>$K$53</f>
        <v>-1.9951315068493152</v>
      </c>
      <c r="E119" s="105">
        <f>D119*E98</f>
        <v>-8738.6760000000013</v>
      </c>
      <c r="F119" s="424"/>
    </row>
    <row r="120" spans="1:6" x14ac:dyDescent="0.2">
      <c r="D120" s="72">
        <f>SUM(D117:D119)</f>
        <v>35.117151328224836</v>
      </c>
      <c r="F120" s="425"/>
    </row>
    <row r="121" spans="1:6" x14ac:dyDescent="0.2">
      <c r="F121" s="424"/>
    </row>
    <row r="122" spans="1:6" x14ac:dyDescent="0.2">
      <c r="A122" s="31" t="s">
        <v>43</v>
      </c>
      <c r="B122" s="31"/>
      <c r="C122" s="31"/>
      <c r="D122" s="31"/>
      <c r="E122" s="33">
        <f>SUM(E115:E119)</f>
        <v>834566.31406847527</v>
      </c>
      <c r="F122" s="425"/>
    </row>
    <row r="123" spans="1:6" x14ac:dyDescent="0.2">
      <c r="F123" s="424"/>
    </row>
    <row r="124" spans="1:6" x14ac:dyDescent="0.2">
      <c r="A124" s="23" t="s">
        <v>44</v>
      </c>
      <c r="C124" s="97">
        <f>$J$56</f>
        <v>0.11846733793705286</v>
      </c>
      <c r="E124" s="28">
        <f>C124*E122</f>
        <v>98868.849559630646</v>
      </c>
      <c r="F124" s="425"/>
    </row>
    <row r="125" spans="1:6" x14ac:dyDescent="0.2">
      <c r="F125" s="424"/>
    </row>
    <row r="126" spans="1:6" ht="13.5" thickBot="1" x14ac:dyDescent="0.25">
      <c r="A126" s="73" t="s">
        <v>52</v>
      </c>
      <c r="B126" s="74"/>
      <c r="C126" s="74"/>
      <c r="D126" s="74"/>
      <c r="E126" s="75">
        <f>SUM(E122:E124)</f>
        <v>933435.16362810589</v>
      </c>
      <c r="F126" s="424"/>
    </row>
    <row r="127" spans="1:6" ht="13.5" thickTop="1" x14ac:dyDescent="0.2">
      <c r="F127" s="424"/>
    </row>
    <row r="128" spans="1:6" x14ac:dyDescent="0.2">
      <c r="A128" s="23" t="s">
        <v>53</v>
      </c>
      <c r="C128" s="98">
        <f>$J$58</f>
        <v>5.3904190379097106E-2</v>
      </c>
      <c r="E128" s="77">
        <f>E126*(1+C128)</f>
        <v>983751.23039485898</v>
      </c>
      <c r="F128" s="424"/>
    </row>
    <row r="129" spans="1:7" x14ac:dyDescent="0.2">
      <c r="F129" s="424"/>
    </row>
    <row r="130" spans="1:7" x14ac:dyDescent="0.2">
      <c r="E130" s="92" t="s">
        <v>56</v>
      </c>
      <c r="F130" s="424"/>
    </row>
    <row r="131" spans="1:7" x14ac:dyDescent="0.2">
      <c r="A131" s="23" t="s">
        <v>55</v>
      </c>
      <c r="D131" s="76">
        <f>E126/E98</f>
        <v>213.11305105664519</v>
      </c>
      <c r="E131" s="76">
        <f>D131*(1+C128)</f>
        <v>224.60073753307285</v>
      </c>
      <c r="F131" s="424"/>
    </row>
    <row r="132" spans="1:7" x14ac:dyDescent="0.2">
      <c r="A132" s="377" t="s">
        <v>455</v>
      </c>
      <c r="B132" s="378"/>
      <c r="C132" s="379">
        <f>'CAF Spring 2015'!BC24</f>
        <v>2.0354406130268236E-2</v>
      </c>
      <c r="D132" s="380"/>
      <c r="E132" s="380"/>
      <c r="F132" s="664">
        <f>E131*(1+C132)</f>
        <v>229.17235216197881</v>
      </c>
    </row>
    <row r="133" spans="1:7" x14ac:dyDescent="0.2">
      <c r="A133" s="78" t="s">
        <v>54</v>
      </c>
      <c r="B133" s="79">
        <v>0.9</v>
      </c>
      <c r="C133" s="80"/>
      <c r="D133" s="86">
        <f>E126/(E98*B133)</f>
        <v>236.79227895182797</v>
      </c>
      <c r="E133" s="345">
        <f>D133*(1+C128)</f>
        <v>249.55637503674757</v>
      </c>
      <c r="F133" s="665">
        <f>$F$132/B133</f>
        <v>254.63594684664312</v>
      </c>
    </row>
    <row r="134" spans="1:7" x14ac:dyDescent="0.2">
      <c r="A134" s="81"/>
      <c r="B134" s="82">
        <v>0.85</v>
      </c>
      <c r="C134" s="83"/>
      <c r="D134" s="88">
        <f>E126/(E98*B134)</f>
        <v>250.72123653722963</v>
      </c>
      <c r="E134" s="89">
        <f>D134*(1+C128)</f>
        <v>264.23616180361512</v>
      </c>
      <c r="F134" s="421"/>
    </row>
    <row r="135" spans="1:7" ht="13.5" thickBot="1" x14ac:dyDescent="0.25">
      <c r="A135" s="84"/>
      <c r="B135" s="85">
        <v>0.8</v>
      </c>
      <c r="C135" s="34"/>
      <c r="D135" s="90">
        <f>E126/(E98*B135)</f>
        <v>266.39131382080649</v>
      </c>
      <c r="E135" s="91">
        <f>D135*(1+C128)</f>
        <v>280.75092191634104</v>
      </c>
      <c r="F135" s="421"/>
    </row>
    <row r="136" spans="1:7" ht="13.5" thickBot="1" x14ac:dyDescent="0.25">
      <c r="D136" s="681" t="s">
        <v>565</v>
      </c>
      <c r="E136" s="71">
        <f>'Group Home'!E89</f>
        <v>272.34164056800336</v>
      </c>
      <c r="F136" s="688">
        <f>'Group Home'!F89</f>
        <v>277.88499292630797</v>
      </c>
      <c r="G136" s="689">
        <f>'Group Home (rebased)'!L89</f>
        <v>282.31260516675383</v>
      </c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selection activeCell="I16" sqref="I16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8">
    <mergeCell ref="A97:E97"/>
    <mergeCell ref="H1:K1"/>
    <mergeCell ref="I3:J3"/>
    <mergeCell ref="A7:E7"/>
    <mergeCell ref="A53:E53"/>
    <mergeCell ref="F6:F7"/>
    <mergeCell ref="F52:F53"/>
    <mergeCell ref="F96:F97"/>
  </mergeCells>
  <phoneticPr fontId="29" type="noConversion"/>
  <pageMargins left="0.7" right="0.7" top="0.75" bottom="0.75" header="0.3" footer="0.3"/>
  <pageSetup fitToHeight="0" orientation="portrait" r:id="rId5"/>
  <headerFooter>
    <oddFooter>&amp;R2016-04-12
&amp;A
Caring Together rate review</oddFooter>
  </headerFooter>
  <rowBreaks count="2" manualBreakCount="2">
    <brk id="51" max="5" man="1"/>
    <brk id="95" max="5" man="1"/>
  </rowBreaks>
  <legacyDrawing r:id="rId6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2:M78"/>
  <sheetViews>
    <sheetView zoomScale="80" zoomScaleNormal="80" workbookViewId="0">
      <selection activeCell="C19" sqref="C19"/>
    </sheetView>
  </sheetViews>
  <sheetFormatPr defaultRowHeight="15" x14ac:dyDescent="0.25"/>
  <cols>
    <col min="1" max="1" width="30.42578125" customWidth="1"/>
    <col min="3" max="3" width="18.5703125" customWidth="1"/>
    <col min="4" max="4" width="11.85546875" customWidth="1"/>
    <col min="5" max="6" width="12" customWidth="1"/>
    <col min="8" max="8" width="31.5703125" customWidth="1"/>
    <col min="10" max="10" width="12" customWidth="1"/>
  </cols>
  <sheetData>
    <row r="2" spans="1:13" thickBot="1" x14ac:dyDescent="0.35">
      <c r="H2" s="1431" t="s">
        <v>8</v>
      </c>
      <c r="I2" s="1431"/>
      <c r="J2" s="1431"/>
      <c r="K2" s="1431"/>
      <c r="L2" s="23"/>
      <c r="M2" s="23"/>
    </row>
    <row r="3" spans="1:13" thickBot="1" x14ac:dyDescent="0.35">
      <c r="H3" s="23"/>
      <c r="I3" s="23"/>
      <c r="J3" s="23"/>
      <c r="K3" s="23"/>
      <c r="L3" s="23"/>
      <c r="M3" s="23"/>
    </row>
    <row r="4" spans="1:13" ht="14.45" x14ac:dyDescent="0.3">
      <c r="H4" s="5" t="s">
        <v>9</v>
      </c>
      <c r="I4" s="1432" t="s">
        <v>10</v>
      </c>
      <c r="J4" s="1432"/>
      <c r="K4" s="6"/>
      <c r="L4" s="24"/>
      <c r="M4" s="24"/>
    </row>
    <row r="5" spans="1:13" ht="14.45" x14ac:dyDescent="0.3">
      <c r="H5" s="7"/>
      <c r="I5" s="8" t="s">
        <v>11</v>
      </c>
      <c r="J5" s="9" t="s">
        <v>12</v>
      </c>
      <c r="K5" s="10"/>
      <c r="L5" s="24"/>
      <c r="M5" s="24"/>
    </row>
    <row r="6" spans="1:13" x14ac:dyDescent="0.25">
      <c r="F6" s="1532" t="s">
        <v>490</v>
      </c>
      <c r="H6" s="11" t="s">
        <v>13</v>
      </c>
      <c r="I6" s="12">
        <v>13</v>
      </c>
      <c r="J6" s="13">
        <f>I6*8</f>
        <v>104</v>
      </c>
      <c r="K6" s="10"/>
      <c r="L6" s="24"/>
      <c r="M6" s="24"/>
    </row>
    <row r="7" spans="1:13" ht="15.75" thickBot="1" x14ac:dyDescent="0.3">
      <c r="A7" s="1523" t="s">
        <v>297</v>
      </c>
      <c r="B7" s="1474"/>
      <c r="C7" s="1474"/>
      <c r="D7" s="1474"/>
      <c r="E7" s="1474"/>
      <c r="F7" s="1533"/>
      <c r="H7" s="11" t="s">
        <v>14</v>
      </c>
      <c r="I7" s="12">
        <v>10</v>
      </c>
      <c r="J7" s="13">
        <f>I7*8</f>
        <v>80</v>
      </c>
      <c r="K7" s="10"/>
      <c r="L7" s="24"/>
      <c r="M7" s="24"/>
    </row>
    <row r="8" spans="1:13" ht="14.45" x14ac:dyDescent="0.3">
      <c r="A8" s="25" t="s">
        <v>0</v>
      </c>
      <c r="B8" s="69">
        <f>J34</f>
        <v>12</v>
      </c>
      <c r="C8" s="25"/>
      <c r="D8" s="25" t="s">
        <v>1</v>
      </c>
      <c r="E8" s="68">
        <f>B8*365</f>
        <v>4380</v>
      </c>
      <c r="F8" s="466"/>
      <c r="H8" s="11" t="s">
        <v>15</v>
      </c>
      <c r="I8" s="12">
        <v>11</v>
      </c>
      <c r="J8" s="13">
        <f>I8*8</f>
        <v>88</v>
      </c>
      <c r="K8" s="10"/>
      <c r="L8" s="24"/>
      <c r="M8" s="24"/>
    </row>
    <row r="9" spans="1:13" ht="14.45" x14ac:dyDescent="0.3">
      <c r="A9" s="23"/>
      <c r="B9" s="23"/>
      <c r="C9" s="23"/>
      <c r="D9" s="23"/>
      <c r="E9" s="23"/>
      <c r="F9" s="466"/>
      <c r="H9" s="433" t="s">
        <v>16</v>
      </c>
      <c r="I9" s="15">
        <v>7</v>
      </c>
      <c r="J9" s="16">
        <f>I9*8</f>
        <v>56</v>
      </c>
      <c r="K9" s="17"/>
      <c r="L9" s="24"/>
      <c r="M9" s="24"/>
    </row>
    <row r="10" spans="1:13" ht="14.45" x14ac:dyDescent="0.3">
      <c r="A10" s="26"/>
      <c r="B10" s="26"/>
      <c r="C10" s="27" t="s">
        <v>2</v>
      </c>
      <c r="D10" s="27" t="s">
        <v>3</v>
      </c>
      <c r="E10" s="27" t="s">
        <v>4</v>
      </c>
      <c r="F10" s="466"/>
      <c r="H10" s="434"/>
      <c r="I10" s="18" t="s">
        <v>17</v>
      </c>
      <c r="J10" s="13">
        <f>SUM(J6:J9)</f>
        <v>328</v>
      </c>
      <c r="K10" s="19"/>
      <c r="L10" s="24"/>
      <c r="M10" s="24"/>
    </row>
    <row r="11" spans="1:13" thickBot="1" x14ac:dyDescent="0.35">
      <c r="A11" s="1" t="s">
        <v>19</v>
      </c>
      <c r="B11" s="23"/>
      <c r="C11" s="30">
        <f>J14</f>
        <v>52305.406251052875</v>
      </c>
      <c r="D11" s="35">
        <f>J35</f>
        <v>1.75</v>
      </c>
      <c r="E11" s="28">
        <f>C11*D11</f>
        <v>91534.460939342534</v>
      </c>
      <c r="F11" s="466"/>
      <c r="H11" s="435"/>
      <c r="I11" s="21" t="s">
        <v>18</v>
      </c>
      <c r="J11" s="22">
        <f>J10/(52*40)</f>
        <v>0.15769230769230769</v>
      </c>
      <c r="K11" s="56"/>
      <c r="L11" s="23"/>
      <c r="M11" s="23"/>
    </row>
    <row r="12" spans="1:13" thickBot="1" x14ac:dyDescent="0.35">
      <c r="A12" s="2" t="s">
        <v>227</v>
      </c>
      <c r="B12" s="23"/>
      <c r="C12" s="30"/>
      <c r="D12" s="35"/>
      <c r="E12" s="28"/>
      <c r="F12" s="466"/>
      <c r="H12" s="281"/>
      <c r="I12" s="281"/>
      <c r="J12" s="281"/>
      <c r="K12" s="281"/>
      <c r="L12" s="23"/>
      <c r="M12" s="23"/>
    </row>
    <row r="13" spans="1:13" ht="14.45" x14ac:dyDescent="0.3">
      <c r="A13" s="3" t="s">
        <v>23</v>
      </c>
      <c r="B13" s="23"/>
      <c r="C13" s="282">
        <f>J16</f>
        <v>200122.62</v>
      </c>
      <c r="D13" s="35">
        <f>J37</f>
        <v>0.1</v>
      </c>
      <c r="E13" s="28">
        <f t="shared" ref="E13:E23" si="0">C13*D13</f>
        <v>20012.262000000002</v>
      </c>
      <c r="F13" s="466"/>
      <c r="H13" s="436"/>
      <c r="I13" s="437"/>
      <c r="J13" s="438" t="s">
        <v>75</v>
      </c>
      <c r="K13" s="439"/>
      <c r="L13" s="23"/>
    </row>
    <row r="14" spans="1:13" ht="14.45" x14ac:dyDescent="0.3">
      <c r="A14" s="3" t="s">
        <v>24</v>
      </c>
      <c r="B14" s="23"/>
      <c r="C14" s="282">
        <f>J17</f>
        <v>64673.926018287602</v>
      </c>
      <c r="D14" s="35">
        <f>J38</f>
        <v>1</v>
      </c>
      <c r="E14" s="28">
        <f t="shared" si="0"/>
        <v>64673.926018287602</v>
      </c>
      <c r="F14" s="466"/>
      <c r="H14" s="440" t="s">
        <v>19</v>
      </c>
      <c r="I14" s="162"/>
      <c r="J14" s="280">
        <f>[10]Summary!$C$4</f>
        <v>52305.406251052875</v>
      </c>
      <c r="K14" s="441"/>
      <c r="L14" s="23"/>
    </row>
    <row r="15" spans="1:13" ht="14.45" x14ac:dyDescent="0.3">
      <c r="A15" s="173" t="s">
        <v>164</v>
      </c>
      <c r="B15" s="281"/>
      <c r="C15" s="282">
        <f>J18</f>
        <v>45651.333333333336</v>
      </c>
      <c r="D15" s="283">
        <f>J39</f>
        <v>1.5</v>
      </c>
      <c r="E15" s="284">
        <f>C15*D15</f>
        <v>68477</v>
      </c>
      <c r="F15" s="466"/>
      <c r="H15" s="440" t="s">
        <v>227</v>
      </c>
      <c r="I15" s="162"/>
      <c r="J15" s="280"/>
      <c r="K15" s="441"/>
      <c r="L15" s="23"/>
    </row>
    <row r="16" spans="1:13" ht="14.45" x14ac:dyDescent="0.3">
      <c r="A16" s="173" t="s">
        <v>25</v>
      </c>
      <c r="B16" s="281"/>
      <c r="C16" s="282">
        <f>J19</f>
        <v>61725</v>
      </c>
      <c r="D16" s="283">
        <f>J40</f>
        <v>0.5</v>
      </c>
      <c r="E16" s="284">
        <f t="shared" si="0"/>
        <v>30862.5</v>
      </c>
      <c r="F16" s="466"/>
      <c r="H16" s="434" t="s">
        <v>23</v>
      </c>
      <c r="I16" s="162"/>
      <c r="J16" s="280">
        <f>IRTP!X15</f>
        <v>200122.62</v>
      </c>
      <c r="K16" s="442" t="s">
        <v>84</v>
      </c>
      <c r="L16" s="23"/>
    </row>
    <row r="17" spans="1:12" ht="14.45" x14ac:dyDescent="0.3">
      <c r="A17" s="173" t="s">
        <v>26</v>
      </c>
      <c r="B17" s="281"/>
      <c r="C17" s="282">
        <f>J20</f>
        <v>50000</v>
      </c>
      <c r="D17" s="283">
        <f>J41</f>
        <v>1</v>
      </c>
      <c r="E17" s="284">
        <f t="shared" si="0"/>
        <v>50000</v>
      </c>
      <c r="F17" s="466"/>
      <c r="H17" s="434" t="s">
        <v>24</v>
      </c>
      <c r="I17" s="162"/>
      <c r="J17" s="280">
        <f>IRTP!X17</f>
        <v>64673.926018287602</v>
      </c>
      <c r="K17" s="442" t="s">
        <v>69</v>
      </c>
      <c r="L17" s="23"/>
    </row>
    <row r="18" spans="1:12" ht="14.45" x14ac:dyDescent="0.3">
      <c r="A18" s="285" t="s">
        <v>5</v>
      </c>
      <c r="B18" s="281"/>
      <c r="C18" s="282"/>
      <c r="D18" s="283"/>
      <c r="E18" s="284"/>
      <c r="F18" s="466"/>
      <c r="H18" s="434" t="s">
        <v>164</v>
      </c>
      <c r="I18" s="162"/>
      <c r="J18" s="280">
        <f>[15]Farr!$J$14</f>
        <v>45651.333333333336</v>
      </c>
      <c r="K18" s="442"/>
      <c r="L18" s="23"/>
    </row>
    <row r="19" spans="1:12" ht="14.45" x14ac:dyDescent="0.3">
      <c r="A19" s="173" t="s">
        <v>59</v>
      </c>
      <c r="B19" s="281"/>
      <c r="C19" s="282">
        <f>J23</f>
        <v>42189.221412467887</v>
      </c>
      <c r="D19" s="283">
        <f>J44</f>
        <v>1</v>
      </c>
      <c r="E19" s="284">
        <f t="shared" si="0"/>
        <v>42189.221412467887</v>
      </c>
      <c r="F19" s="466"/>
      <c r="H19" s="434" t="s">
        <v>25</v>
      </c>
      <c r="I19" s="162"/>
      <c r="J19" s="280">
        <f>IRTP!X18</f>
        <v>61725</v>
      </c>
      <c r="K19" s="442" t="s">
        <v>82</v>
      </c>
      <c r="L19" s="23"/>
    </row>
    <row r="20" spans="1:12" ht="14.45" x14ac:dyDescent="0.3">
      <c r="A20" s="173" t="s">
        <v>30</v>
      </c>
      <c r="B20" s="281"/>
      <c r="C20" s="282">
        <f>J25</f>
        <v>28500</v>
      </c>
      <c r="D20" s="283">
        <f>J46</f>
        <v>15</v>
      </c>
      <c r="E20" s="284">
        <f t="shared" si="0"/>
        <v>427500</v>
      </c>
      <c r="F20" s="466"/>
      <c r="H20" s="434" t="s">
        <v>26</v>
      </c>
      <c r="I20" s="162"/>
      <c r="J20" s="280">
        <f>IRTP!X19</f>
        <v>50000</v>
      </c>
      <c r="K20" s="442"/>
      <c r="L20" s="23"/>
    </row>
    <row r="21" spans="1:12" ht="14.45" x14ac:dyDescent="0.3">
      <c r="A21" s="286" t="s">
        <v>31</v>
      </c>
      <c r="B21" s="281"/>
      <c r="C21" s="282">
        <f>J25</f>
        <v>28500</v>
      </c>
      <c r="D21" s="283">
        <f>J47</f>
        <v>2.3653846153846154</v>
      </c>
      <c r="E21" s="284">
        <f>C21*D21</f>
        <v>67413.461538461546</v>
      </c>
      <c r="F21" s="466"/>
      <c r="H21" s="440" t="s">
        <v>5</v>
      </c>
      <c r="I21" s="162"/>
      <c r="J21" s="280"/>
      <c r="K21" s="442"/>
      <c r="L21" s="177"/>
    </row>
    <row r="22" spans="1:12" ht="14.45" x14ac:dyDescent="0.3">
      <c r="A22" s="285" t="s">
        <v>6</v>
      </c>
      <c r="B22" s="281"/>
      <c r="C22" s="282"/>
      <c r="D22" s="283"/>
      <c r="E22" s="284"/>
      <c r="F22" s="466"/>
      <c r="H22" s="434" t="s">
        <v>85</v>
      </c>
      <c r="I22" s="162"/>
      <c r="J22" s="280">
        <f>11*2080</f>
        <v>22880</v>
      </c>
      <c r="K22" s="442"/>
      <c r="L22" s="23"/>
    </row>
    <row r="23" spans="1:12" ht="14.45" x14ac:dyDescent="0.3">
      <c r="A23" s="173" t="s">
        <v>32</v>
      </c>
      <c r="B23" s="281"/>
      <c r="C23" s="282">
        <f>J28</f>
        <v>28500</v>
      </c>
      <c r="D23" s="283">
        <f>J49</f>
        <v>0.25</v>
      </c>
      <c r="E23" s="284">
        <f t="shared" si="0"/>
        <v>7125</v>
      </c>
      <c r="F23" s="466"/>
      <c r="H23" s="434" t="s">
        <v>59</v>
      </c>
      <c r="I23" s="162"/>
      <c r="J23" s="280">
        <f>[10]Summary!$C$11</f>
        <v>42189.221412467887</v>
      </c>
      <c r="K23" s="442"/>
      <c r="L23" s="23"/>
    </row>
    <row r="24" spans="1:12" ht="14.45" x14ac:dyDescent="0.3">
      <c r="A24" s="173" t="s">
        <v>295</v>
      </c>
      <c r="B24" s="281"/>
      <c r="C24" s="431">
        <f>J29</f>
        <v>28500</v>
      </c>
      <c r="D24" s="283">
        <f>J50</f>
        <v>0.5</v>
      </c>
      <c r="E24" s="284">
        <f>C24*D24</f>
        <v>14250</v>
      </c>
      <c r="F24" s="466"/>
      <c r="H24" s="434" t="s">
        <v>60</v>
      </c>
      <c r="I24" s="162"/>
      <c r="J24" s="280">
        <f>[10]Summary!$C$12</f>
        <v>36304.547622226877</v>
      </c>
      <c r="K24" s="442"/>
      <c r="L24" s="23"/>
    </row>
    <row r="25" spans="1:12" ht="14.45" x14ac:dyDescent="0.3">
      <c r="A25" s="173" t="s">
        <v>296</v>
      </c>
      <c r="B25" s="281"/>
      <c r="C25" s="432">
        <f>J30</f>
        <v>30381.418803418801</v>
      </c>
      <c r="D25" s="283">
        <f>J51</f>
        <v>0.5</v>
      </c>
      <c r="E25" s="284">
        <f>C25*D25</f>
        <v>15190.7094017094</v>
      </c>
      <c r="F25" s="466"/>
      <c r="H25" s="434" t="s">
        <v>30</v>
      </c>
      <c r="I25" s="162"/>
      <c r="J25" s="280">
        <f>'[9]Rate Options'!$J$21</f>
        <v>28500</v>
      </c>
      <c r="K25" s="442" t="s">
        <v>86</v>
      </c>
      <c r="L25" s="23"/>
    </row>
    <row r="26" spans="1:12" ht="14.45" x14ac:dyDescent="0.3">
      <c r="A26" s="31" t="s">
        <v>7</v>
      </c>
      <c r="B26" s="31"/>
      <c r="C26" s="31"/>
      <c r="D26" s="32">
        <f>SUM(D11:D25)</f>
        <v>25.465384615384618</v>
      </c>
      <c r="E26" s="33">
        <f>SUM(E11:E25)</f>
        <v>899228.54131026892</v>
      </c>
      <c r="F26" s="466"/>
      <c r="H26" s="443" t="s">
        <v>31</v>
      </c>
      <c r="I26" s="162"/>
      <c r="J26" s="444">
        <f>J25</f>
        <v>28500</v>
      </c>
      <c r="K26" s="442"/>
      <c r="L26" s="23"/>
    </row>
    <row r="27" spans="1:12" ht="14.45" x14ac:dyDescent="0.3">
      <c r="A27" s="23"/>
      <c r="B27" s="23"/>
      <c r="C27" s="23"/>
      <c r="D27" s="23"/>
      <c r="E27" s="23"/>
      <c r="F27" s="466"/>
      <c r="H27" s="440" t="s">
        <v>6</v>
      </c>
      <c r="I27" s="162"/>
      <c r="J27" s="280"/>
      <c r="K27" s="442"/>
      <c r="L27" s="23"/>
    </row>
    <row r="28" spans="1:12" ht="14.45" x14ac:dyDescent="0.3">
      <c r="A28" s="25" t="s">
        <v>21</v>
      </c>
      <c r="B28" s="23"/>
      <c r="C28" s="23"/>
      <c r="D28" s="25" t="s">
        <v>20</v>
      </c>
      <c r="E28" s="23"/>
      <c r="F28" s="466"/>
      <c r="H28" s="434" t="s">
        <v>32</v>
      </c>
      <c r="I28" s="162"/>
      <c r="J28" s="280">
        <f>IF('[9]Avg Salary'!$J$44&gt;J25,J25,'[9]Avg Salary'!$J$44)</f>
        <v>28500</v>
      </c>
      <c r="K28" s="442" t="s">
        <v>70</v>
      </c>
      <c r="L28" s="23"/>
    </row>
    <row r="29" spans="1:12" ht="15.75" x14ac:dyDescent="0.25">
      <c r="A29" s="23" t="s">
        <v>22</v>
      </c>
      <c r="B29" s="23"/>
      <c r="C29" s="97">
        <f>J54</f>
        <v>0.23424901786252411</v>
      </c>
      <c r="D29" s="23"/>
      <c r="E29" s="28">
        <f>C29*E26</f>
        <v>210643.40263588069</v>
      </c>
      <c r="F29" s="466"/>
      <c r="H29" s="445" t="s">
        <v>295</v>
      </c>
      <c r="I29" s="189"/>
      <c r="J29" s="446">
        <f>J25</f>
        <v>28500</v>
      </c>
      <c r="K29" s="447" t="s">
        <v>298</v>
      </c>
      <c r="L29" s="23"/>
    </row>
    <row r="30" spans="1:12" ht="15.75" x14ac:dyDescent="0.25">
      <c r="A30" s="31" t="s">
        <v>51</v>
      </c>
      <c r="B30" s="31"/>
      <c r="C30" s="31"/>
      <c r="D30" s="70">
        <f>E30/E8</f>
        <v>253.39542099227162</v>
      </c>
      <c r="E30" s="33">
        <f>E29+E26</f>
        <v>1109871.9439461497</v>
      </c>
      <c r="F30" s="466"/>
      <c r="H30" s="445" t="s">
        <v>296</v>
      </c>
      <c r="I30" s="189"/>
      <c r="J30" s="446">
        <f>CIRT!C25</f>
        <v>30381.418803418801</v>
      </c>
      <c r="K30" s="447" t="s">
        <v>298</v>
      </c>
      <c r="L30" s="23"/>
    </row>
    <row r="31" spans="1:12" ht="14.45" x14ac:dyDescent="0.3">
      <c r="A31" s="23"/>
      <c r="B31" s="23"/>
      <c r="C31" s="23"/>
      <c r="D31" s="23"/>
      <c r="E31" s="23"/>
      <c r="F31" s="466"/>
      <c r="H31" s="434"/>
      <c r="I31" s="162"/>
      <c r="J31" s="280"/>
      <c r="K31" s="441"/>
      <c r="L31" s="23"/>
    </row>
    <row r="32" spans="1:12" ht="14.45" x14ac:dyDescent="0.3">
      <c r="A32" s="23" t="s">
        <v>39</v>
      </c>
      <c r="B32" s="23"/>
      <c r="C32" s="23"/>
      <c r="D32" s="71">
        <f>J56</f>
        <v>20.4634671275006</v>
      </c>
      <c r="E32" s="105">
        <f>D32*E8</f>
        <v>89629.986018452633</v>
      </c>
      <c r="F32" s="466"/>
      <c r="H32" s="448"/>
      <c r="I32" s="162"/>
      <c r="J32" s="449" t="s">
        <v>37</v>
      </c>
      <c r="K32" s="450"/>
      <c r="L32" s="23"/>
    </row>
    <row r="33" spans="1:12" ht="14.45" x14ac:dyDescent="0.3">
      <c r="A33" s="29" t="s">
        <v>40</v>
      </c>
      <c r="B33" s="23"/>
      <c r="C33" s="23"/>
      <c r="D33" s="71">
        <f>J57</f>
        <v>16.648815707573558</v>
      </c>
      <c r="E33" s="105">
        <f>D33*E8</f>
        <v>72921.812799172185</v>
      </c>
      <c r="F33" s="466"/>
      <c r="H33" s="448" t="s">
        <v>35</v>
      </c>
      <c r="I33" s="451"/>
      <c r="J33" s="451" t="s">
        <v>98</v>
      </c>
      <c r="K33" s="452"/>
      <c r="L33" s="23"/>
    </row>
    <row r="34" spans="1:12" ht="14.45" x14ac:dyDescent="0.3">
      <c r="A34" s="29" t="s">
        <v>41</v>
      </c>
      <c r="B34" s="23"/>
      <c r="C34" s="23"/>
      <c r="D34" s="71">
        <f>J58</f>
        <v>0.66139269406392698</v>
      </c>
      <c r="E34" s="105">
        <f>D34*E8</f>
        <v>2896.9</v>
      </c>
      <c r="F34" s="466"/>
      <c r="H34" s="448" t="s">
        <v>36</v>
      </c>
      <c r="I34" s="453"/>
      <c r="J34" s="453">
        <v>12</v>
      </c>
      <c r="K34" s="454"/>
      <c r="L34" s="23"/>
    </row>
    <row r="35" spans="1:12" ht="14.45" x14ac:dyDescent="0.3">
      <c r="A35" s="29" t="s">
        <v>42</v>
      </c>
      <c r="B35" s="23"/>
      <c r="C35" s="23"/>
      <c r="D35" s="71">
        <f>J59</f>
        <v>-1.9951315068493152</v>
      </c>
      <c r="E35" s="105">
        <f>D35*E8</f>
        <v>-8738.6760000000013</v>
      </c>
      <c r="F35" s="466"/>
      <c r="H35" s="440" t="s">
        <v>19</v>
      </c>
      <c r="I35" s="189"/>
      <c r="J35" s="189">
        <f>'Group Home'!P31</f>
        <v>1.75</v>
      </c>
      <c r="K35" s="190"/>
      <c r="L35" s="23"/>
    </row>
    <row r="36" spans="1:12" ht="14.45" x14ac:dyDescent="0.3">
      <c r="A36" s="23"/>
      <c r="B36" s="23"/>
      <c r="C36" s="23"/>
      <c r="D36" s="72">
        <f>SUM(D32:D35)</f>
        <v>35.77854402228877</v>
      </c>
      <c r="E36" s="23"/>
      <c r="F36" s="466"/>
      <c r="H36" s="440" t="s">
        <v>227</v>
      </c>
      <c r="I36" s="189"/>
      <c r="J36" s="189"/>
      <c r="K36" s="190"/>
      <c r="L36" s="23"/>
    </row>
    <row r="37" spans="1:12" ht="14.45" x14ac:dyDescent="0.3">
      <c r="A37" s="23"/>
      <c r="B37" s="23"/>
      <c r="C37" s="23"/>
      <c r="D37" s="23"/>
      <c r="E37" s="23"/>
      <c r="F37" s="466"/>
      <c r="H37" s="434" t="s">
        <v>23</v>
      </c>
      <c r="I37" s="189"/>
      <c r="J37" s="189">
        <f>'Group Home'!P33</f>
        <v>0.1</v>
      </c>
      <c r="K37" s="190"/>
      <c r="L37" s="23"/>
    </row>
    <row r="38" spans="1:12" ht="14.45" x14ac:dyDescent="0.3">
      <c r="A38" s="31" t="s">
        <v>43</v>
      </c>
      <c r="B38" s="31"/>
      <c r="C38" s="31"/>
      <c r="D38" s="31"/>
      <c r="E38" s="33">
        <f>SUM(E30:E35)</f>
        <v>1266581.9667637744</v>
      </c>
      <c r="F38" s="466"/>
      <c r="H38" s="434" t="s">
        <v>24</v>
      </c>
      <c r="I38" s="189"/>
      <c r="J38" s="189">
        <f>[15]Farr!$J$21</f>
        <v>1</v>
      </c>
      <c r="K38" s="190"/>
      <c r="L38" s="23"/>
    </row>
    <row r="39" spans="1:12" ht="14.45" x14ac:dyDescent="0.3">
      <c r="A39" s="23"/>
      <c r="B39" s="23"/>
      <c r="C39" s="23"/>
      <c r="D39" s="23"/>
      <c r="E39" s="23"/>
      <c r="F39" s="466"/>
      <c r="H39" s="434" t="s">
        <v>164</v>
      </c>
      <c r="I39" s="189"/>
      <c r="J39" s="189">
        <f>[15]Farr!$J$22</f>
        <v>1.5</v>
      </c>
      <c r="K39" s="190"/>
      <c r="L39" s="23"/>
    </row>
    <row r="40" spans="1:12" ht="14.45" x14ac:dyDescent="0.3">
      <c r="A40" s="23" t="s">
        <v>44</v>
      </c>
      <c r="B40" s="23"/>
      <c r="C40" s="97">
        <f>J62</f>
        <v>0.11846733793705286</v>
      </c>
      <c r="D40" s="23"/>
      <c r="E40" s="28">
        <f>C40*E38</f>
        <v>150048.59388158112</v>
      </c>
      <c r="F40" s="466"/>
      <c r="H40" s="434" t="s">
        <v>25</v>
      </c>
      <c r="I40" s="189"/>
      <c r="J40" s="189">
        <f>'[9]Rate Options'!J35</f>
        <v>0.5</v>
      </c>
      <c r="K40" s="190"/>
      <c r="L40" s="23"/>
    </row>
    <row r="41" spans="1:12" ht="14.45" x14ac:dyDescent="0.3">
      <c r="A41" s="23"/>
      <c r="B41" s="23"/>
      <c r="C41" s="23"/>
      <c r="D41" s="23"/>
      <c r="E41" s="23"/>
      <c r="F41" s="466"/>
      <c r="H41" s="434" t="s">
        <v>26</v>
      </c>
      <c r="I41" s="189"/>
      <c r="J41" s="189">
        <f>'Group Home'!P36</f>
        <v>1</v>
      </c>
      <c r="K41" s="190"/>
      <c r="L41" s="23"/>
    </row>
    <row r="42" spans="1:12" ht="15.75" thickBot="1" x14ac:dyDescent="0.3">
      <c r="A42" s="73" t="s">
        <v>52</v>
      </c>
      <c r="B42" s="74"/>
      <c r="C42" s="74"/>
      <c r="D42" s="74"/>
      <c r="E42" s="75">
        <f>SUM(E38:E40)</f>
        <v>1416630.5606453556</v>
      </c>
      <c r="F42" s="466"/>
      <c r="H42" s="440" t="s">
        <v>5</v>
      </c>
      <c r="I42" s="189"/>
      <c r="J42" s="189"/>
      <c r="K42" s="190"/>
      <c r="L42" s="243" t="s">
        <v>92</v>
      </c>
    </row>
    <row r="43" spans="1:12" thickTop="1" x14ac:dyDescent="0.3">
      <c r="A43" s="23"/>
      <c r="B43" s="23"/>
      <c r="C43" s="23"/>
      <c r="D43" s="23"/>
      <c r="E43" s="23"/>
      <c r="F43" s="466"/>
      <c r="H43" s="434" t="s">
        <v>85</v>
      </c>
      <c r="I43" s="189"/>
      <c r="J43" s="189"/>
      <c r="K43" s="190"/>
      <c r="L43" s="23"/>
    </row>
    <row r="44" spans="1:12" ht="14.45" x14ac:dyDescent="0.3">
      <c r="A44" s="23" t="s">
        <v>53</v>
      </c>
      <c r="B44" s="23"/>
      <c r="C44" s="98">
        <f>J64</f>
        <v>5.3904190379097106E-2</v>
      </c>
      <c r="D44" s="23"/>
      <c r="E44" s="77">
        <f>E42*(1+C44)</f>
        <v>1492992.8840832298</v>
      </c>
      <c r="F44" s="466"/>
      <c r="H44" s="434" t="s">
        <v>59</v>
      </c>
      <c r="I44" s="189"/>
      <c r="J44" s="189">
        <f>'Group Home'!P39</f>
        <v>1</v>
      </c>
      <c r="K44" s="190"/>
      <c r="L44" s="23"/>
    </row>
    <row r="45" spans="1:12" ht="14.45" x14ac:dyDescent="0.3">
      <c r="A45" s="23"/>
      <c r="B45" s="23"/>
      <c r="C45" s="23"/>
      <c r="D45" s="23"/>
      <c r="E45" s="23"/>
      <c r="F45" s="466"/>
      <c r="H45" s="434" t="s">
        <v>60</v>
      </c>
      <c r="I45" s="189"/>
      <c r="J45" s="189"/>
      <c r="K45" s="190"/>
      <c r="L45" s="23"/>
    </row>
    <row r="46" spans="1:12" ht="14.45" x14ac:dyDescent="0.3">
      <c r="A46" s="23"/>
      <c r="B46" s="23"/>
      <c r="C46" s="23"/>
      <c r="D46" s="23"/>
      <c r="E46" s="92" t="s">
        <v>56</v>
      </c>
      <c r="F46" s="466"/>
      <c r="H46" s="434" t="s">
        <v>30</v>
      </c>
      <c r="I46" s="189"/>
      <c r="J46" s="189">
        <f>'Group Home'!P41</f>
        <v>15</v>
      </c>
      <c r="K46" s="190"/>
      <c r="L46" s="23"/>
    </row>
    <row r="47" spans="1:12" ht="14.45" x14ac:dyDescent="0.3">
      <c r="A47" s="23" t="s">
        <v>55</v>
      </c>
      <c r="B47" s="23"/>
      <c r="C47" s="23"/>
      <c r="D47" s="76">
        <f>E42/E8</f>
        <v>323.43163485053782</v>
      </c>
      <c r="E47" s="76">
        <f>D47*(1+C44)</f>
        <v>340.86595527014384</v>
      </c>
      <c r="F47" s="466"/>
      <c r="H47" s="443" t="s">
        <v>31</v>
      </c>
      <c r="I47" s="187"/>
      <c r="J47" s="187">
        <f>J46*J11</f>
        <v>2.3653846153846154</v>
      </c>
      <c r="K47" s="188"/>
      <c r="L47" s="23"/>
    </row>
    <row r="48" spans="1:12" thickBot="1" x14ac:dyDescent="0.35">
      <c r="A48" s="377" t="s">
        <v>455</v>
      </c>
      <c r="B48" s="378"/>
      <c r="C48" s="379">
        <f>'CAF Spring 2015'!BC24</f>
        <v>2.0354406130268236E-2</v>
      </c>
      <c r="D48" s="380"/>
      <c r="E48" s="380"/>
      <c r="F48" s="467">
        <f>E47*(1+C48)</f>
        <v>347.80407935969424</v>
      </c>
      <c r="H48" s="440" t="s">
        <v>6</v>
      </c>
      <c r="I48" s="189"/>
      <c r="J48" s="189"/>
      <c r="K48" s="190"/>
      <c r="L48" s="177"/>
    </row>
    <row r="49" spans="1:13" thickBot="1" x14ac:dyDescent="0.35">
      <c r="A49" s="78" t="s">
        <v>54</v>
      </c>
      <c r="B49" s="79">
        <v>0.9</v>
      </c>
      <c r="C49" s="80"/>
      <c r="D49" s="86">
        <f>E42/(E8*B49)</f>
        <v>359.36848316726423</v>
      </c>
      <c r="E49" s="384">
        <f>D49*(1+C44)</f>
        <v>378.73995030015982</v>
      </c>
      <c r="F49" s="690">
        <f>$F$48/B49</f>
        <v>386.4489770663269</v>
      </c>
      <c r="H49" s="434" t="s">
        <v>32</v>
      </c>
      <c r="I49" s="189"/>
      <c r="J49" s="189">
        <f>'Group Home'!P44</f>
        <v>0.25</v>
      </c>
      <c r="K49" s="190"/>
      <c r="L49" s="23"/>
    </row>
    <row r="50" spans="1:13" ht="14.45" x14ac:dyDescent="0.3">
      <c r="A50" s="81"/>
      <c r="B50" s="82">
        <v>0.85</v>
      </c>
      <c r="C50" s="83"/>
      <c r="D50" s="88">
        <f>E42/(E8*B50)</f>
        <v>380.50780570651506</v>
      </c>
      <c r="E50" s="89">
        <f>D50*(1+C44)</f>
        <v>401.01877090605154</v>
      </c>
      <c r="F50" s="467"/>
      <c r="H50" s="445" t="s">
        <v>295</v>
      </c>
      <c r="I50" s="189"/>
      <c r="J50" s="189">
        <v>0.5</v>
      </c>
      <c r="K50" s="190"/>
      <c r="L50" s="23"/>
    </row>
    <row r="51" spans="1:13" ht="14.45" x14ac:dyDescent="0.3">
      <c r="A51" s="84"/>
      <c r="B51" s="85">
        <v>0.8</v>
      </c>
      <c r="C51" s="34"/>
      <c r="D51" s="90">
        <f>E42/(E8*B51)</f>
        <v>404.28954356317229</v>
      </c>
      <c r="E51" s="91">
        <f>D51*(1+C44)</f>
        <v>426.08244408767979</v>
      </c>
      <c r="F51" s="468"/>
      <c r="H51" s="445" t="s">
        <v>296</v>
      </c>
      <c r="I51" s="189"/>
      <c r="J51" s="189">
        <v>0.5</v>
      </c>
      <c r="K51" s="190"/>
      <c r="L51" s="23"/>
    </row>
    <row r="52" spans="1:13" ht="14.45" x14ac:dyDescent="0.3">
      <c r="A52" s="23"/>
      <c r="B52" s="23"/>
      <c r="C52" s="23"/>
      <c r="D52" s="23"/>
      <c r="E52" s="23"/>
      <c r="H52" s="448"/>
      <c r="I52" s="162"/>
      <c r="J52" s="162"/>
      <c r="K52" s="455"/>
      <c r="L52" s="23"/>
    </row>
    <row r="53" spans="1:13" ht="14.45" x14ac:dyDescent="0.3">
      <c r="H53" s="448"/>
      <c r="I53" s="162"/>
      <c r="J53" s="449" t="s">
        <v>38</v>
      </c>
      <c r="K53" s="450"/>
      <c r="L53" s="23"/>
    </row>
    <row r="54" spans="1:13" ht="14.45" x14ac:dyDescent="0.3">
      <c r="A54" s="562"/>
      <c r="H54" s="448" t="s">
        <v>22</v>
      </c>
      <c r="I54" s="162"/>
      <c r="J54" s="456">
        <f>[10]Summary!$C$18</f>
        <v>0.23424901786252411</v>
      </c>
      <c r="K54" s="457" t="s">
        <v>68</v>
      </c>
      <c r="L54" s="23"/>
    </row>
    <row r="55" spans="1:13" ht="14.45" x14ac:dyDescent="0.3">
      <c r="A55" s="560"/>
      <c r="B55" s="561"/>
      <c r="H55" s="448"/>
      <c r="I55" s="162"/>
      <c r="J55" s="458"/>
      <c r="K55" s="459"/>
      <c r="L55" s="23"/>
    </row>
    <row r="56" spans="1:13" ht="14.45" x14ac:dyDescent="0.3">
      <c r="A56" s="560"/>
      <c r="B56" s="561"/>
      <c r="H56" s="448" t="s">
        <v>39</v>
      </c>
      <c r="I56" s="162"/>
      <c r="J56" s="460">
        <f>'[9]Avg Expenses'!$H$5</f>
        <v>20.4634671275006</v>
      </c>
      <c r="K56" s="461"/>
      <c r="L56" s="23"/>
    </row>
    <row r="57" spans="1:13" ht="14.45" x14ac:dyDescent="0.3">
      <c r="A57" s="560"/>
      <c r="B57" s="561"/>
      <c r="H57" s="448" t="s">
        <v>40</v>
      </c>
      <c r="I57" s="162"/>
      <c r="J57" s="460">
        <f>'[9]Avg Expenses'!$H$11</f>
        <v>16.648815707573558</v>
      </c>
      <c r="K57" s="461"/>
      <c r="L57" s="23"/>
    </row>
    <row r="58" spans="1:13" ht="14.45" x14ac:dyDescent="0.3">
      <c r="A58" s="560"/>
      <c r="B58" s="561"/>
      <c r="H58" s="448" t="s">
        <v>41</v>
      </c>
      <c r="I58" s="162"/>
      <c r="J58" s="460">
        <f>[9]Transportation!$C$21</f>
        <v>0.66139269406392698</v>
      </c>
      <c r="K58" s="461"/>
      <c r="L58" s="23"/>
    </row>
    <row r="59" spans="1:13" ht="14.45" x14ac:dyDescent="0.3">
      <c r="A59" s="560"/>
      <c r="B59" s="561"/>
      <c r="H59" s="448" t="s">
        <v>42</v>
      </c>
      <c r="I59" s="162"/>
      <c r="J59" s="460">
        <f>-1*[11]Sheet1!$F$26</f>
        <v>-1.9951315068493152</v>
      </c>
      <c r="K59" s="461"/>
      <c r="L59" s="23"/>
      <c r="M59" s="23"/>
    </row>
    <row r="60" spans="1:13" ht="14.45" x14ac:dyDescent="0.3">
      <c r="H60" s="462" t="s">
        <v>43</v>
      </c>
      <c r="I60" s="463"/>
      <c r="J60" s="464">
        <f>SUM(J56:J59)</f>
        <v>35.77854402228877</v>
      </c>
      <c r="K60" s="465"/>
      <c r="L60" s="23"/>
      <c r="M60" s="23"/>
    </row>
    <row r="61" spans="1:13" ht="14.45" x14ac:dyDescent="0.3">
      <c r="H61" s="448"/>
      <c r="I61" s="162"/>
      <c r="J61" s="162"/>
      <c r="K61" s="455"/>
      <c r="L61" s="23"/>
      <c r="M61" s="23"/>
    </row>
    <row r="62" spans="1:13" x14ac:dyDescent="0.25">
      <c r="H62" s="448" t="s">
        <v>44</v>
      </c>
      <c r="I62" s="162"/>
      <c r="J62" s="456">
        <f>'Group Home'!Q55</f>
        <v>0.11846733793705286</v>
      </c>
      <c r="K62" s="457" t="s">
        <v>93</v>
      </c>
      <c r="L62" s="23"/>
      <c r="M62" s="23"/>
    </row>
    <row r="63" spans="1:13" x14ac:dyDescent="0.25">
      <c r="H63" s="43"/>
      <c r="I63" s="29"/>
      <c r="J63" s="29"/>
      <c r="K63" s="41"/>
      <c r="L63" s="23"/>
      <c r="M63" s="23"/>
    </row>
    <row r="64" spans="1:13" ht="15.75" thickBot="1" x14ac:dyDescent="0.3">
      <c r="H64" s="51" t="s">
        <v>45</v>
      </c>
      <c r="I64" s="52"/>
      <c r="J64" s="96">
        <f>'[12]Spring 2011 CPI'!$J$28</f>
        <v>5.3904190379097106E-2</v>
      </c>
      <c r="K64" s="143"/>
      <c r="L64" s="23"/>
      <c r="M64" s="23"/>
    </row>
    <row r="65" spans="8:13" x14ac:dyDescent="0.25">
      <c r="H65" s="63" t="s">
        <v>50</v>
      </c>
      <c r="I65" s="64" t="s">
        <v>46</v>
      </c>
      <c r="J65" s="23"/>
      <c r="K65" s="23"/>
      <c r="L65" s="23"/>
      <c r="M65" s="23"/>
    </row>
    <row r="66" spans="8:13" x14ac:dyDescent="0.25">
      <c r="H66" s="24" t="s">
        <v>47</v>
      </c>
      <c r="I66" s="23"/>
      <c r="J66" s="23"/>
      <c r="K66" s="23"/>
      <c r="L66" s="23"/>
      <c r="M66" s="23"/>
    </row>
    <row r="67" spans="8:13" x14ac:dyDescent="0.25">
      <c r="H67" s="23" t="s">
        <v>63</v>
      </c>
      <c r="I67" s="23"/>
      <c r="J67" s="23"/>
      <c r="K67" s="23"/>
      <c r="L67" s="23"/>
      <c r="M67" s="23"/>
    </row>
    <row r="68" spans="8:13" x14ac:dyDescent="0.25">
      <c r="H68" s="54" t="s">
        <v>48</v>
      </c>
      <c r="I68" s="23"/>
      <c r="J68" s="23"/>
      <c r="K68" s="23"/>
      <c r="L68" s="23"/>
      <c r="M68" s="23"/>
    </row>
    <row r="69" spans="8:13" x14ac:dyDescent="0.25">
      <c r="H69" s="23"/>
      <c r="I69" s="23"/>
      <c r="J69" s="23"/>
      <c r="K69" s="23"/>
      <c r="L69" s="23"/>
      <c r="M69" s="23"/>
    </row>
    <row r="70" spans="8:13" x14ac:dyDescent="0.25">
      <c r="H70" s="55" t="s">
        <v>49</v>
      </c>
      <c r="I70" s="23"/>
      <c r="J70" s="23"/>
      <c r="K70" s="23"/>
      <c r="L70" s="23"/>
      <c r="M70" s="23"/>
    </row>
    <row r="71" spans="8:13" x14ac:dyDescent="0.25">
      <c r="H71" s="23" t="s">
        <v>67</v>
      </c>
      <c r="I71" s="23"/>
      <c r="J71" s="23"/>
      <c r="K71" s="23"/>
      <c r="L71" s="23"/>
      <c r="M71" s="23"/>
    </row>
    <row r="72" spans="8:13" x14ac:dyDescent="0.25">
      <c r="H72" s="23" t="s">
        <v>83</v>
      </c>
      <c r="I72" s="23"/>
      <c r="J72" s="23"/>
      <c r="K72" s="23"/>
      <c r="L72" s="23"/>
      <c r="M72" s="23"/>
    </row>
    <row r="73" spans="8:13" x14ac:dyDescent="0.25">
      <c r="H73" s="23" t="s">
        <v>57</v>
      </c>
      <c r="I73" s="23"/>
      <c r="J73" s="23"/>
      <c r="K73" s="23"/>
    </row>
    <row r="74" spans="8:13" x14ac:dyDescent="0.25">
      <c r="H74" s="100" t="s">
        <v>76</v>
      </c>
      <c r="I74" s="23"/>
      <c r="J74" s="23"/>
      <c r="K74" s="23"/>
    </row>
    <row r="75" spans="8:13" x14ac:dyDescent="0.25">
      <c r="H75" s="109" t="s">
        <v>87</v>
      </c>
      <c r="I75" s="23"/>
      <c r="J75" s="23"/>
      <c r="K75" s="23"/>
    </row>
    <row r="76" spans="8:13" x14ac:dyDescent="0.25">
      <c r="H76" s="94" t="s">
        <v>66</v>
      </c>
      <c r="I76" s="23"/>
      <c r="J76" s="23"/>
      <c r="K76" s="23"/>
    </row>
    <row r="77" spans="8:13" x14ac:dyDescent="0.25">
      <c r="H77" s="144" t="s">
        <v>141</v>
      </c>
      <c r="I77" s="23"/>
      <c r="J77" s="23"/>
      <c r="K77" s="23"/>
    </row>
    <row r="78" spans="8:13" x14ac:dyDescent="0.25">
      <c r="H78" s="94" t="s">
        <v>94</v>
      </c>
      <c r="I78" s="23"/>
      <c r="J78" s="23"/>
      <c r="K78" s="23"/>
    </row>
  </sheetData>
  <mergeCells count="4">
    <mergeCell ref="A7:E7"/>
    <mergeCell ref="H2:K2"/>
    <mergeCell ref="I4:J4"/>
    <mergeCell ref="F6:F7"/>
  </mergeCells>
  <phoneticPr fontId="29" type="noConversion"/>
  <pageMargins left="0.7" right="0.7" top="0.75" bottom="0.75" header="0.3" footer="0.3"/>
  <pageSetup scale="96" fitToHeight="0" orientation="portrait" r:id="rId1"/>
  <headerFooter>
    <oddFooter>&amp;R2016-04-12
&amp;A
Caring Together rate review</oddFooter>
  </headerFooter>
  <ignoredErrors>
    <ignoredError sqref="C20" formula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5" zoomScaleNormal="85" workbookViewId="0">
      <selection activeCell="F48" sqref="F48"/>
    </sheetView>
  </sheetViews>
  <sheetFormatPr defaultColWidth="9.140625" defaultRowHeight="12.75" x14ac:dyDescent="0.2"/>
  <cols>
    <col min="1" max="1" width="32.4257812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4.140625" style="23" customWidth="1"/>
    <col min="6" max="6" width="14.140625" style="281" customWidth="1"/>
    <col min="7" max="7" width="9.140625" style="23"/>
    <col min="8" max="8" width="31.85546875" style="23" bestFit="1" customWidth="1"/>
    <col min="9" max="11" width="10.140625" style="23" customWidth="1"/>
    <col min="12" max="12" width="5" style="23" customWidth="1"/>
    <col min="13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A4" s="94"/>
      <c r="B4" s="264"/>
      <c r="C4" s="264"/>
      <c r="D4" s="264"/>
      <c r="E4" s="264"/>
      <c r="F4" s="1211"/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ht="13.15" x14ac:dyDescent="0.25"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9" customHeight="1" thickBot="1" x14ac:dyDescent="0.3">
      <c r="A7" s="1523" t="s">
        <v>290</v>
      </c>
      <c r="B7" s="1474"/>
      <c r="C7" s="1474"/>
      <c r="D7" s="1474"/>
      <c r="E7" s="1474"/>
      <c r="F7" s="1145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25" t="s">
        <v>0</v>
      </c>
      <c r="B8" s="69">
        <f>J$23</f>
        <v>6</v>
      </c>
      <c r="C8" s="25"/>
      <c r="D8" s="25" t="s">
        <v>1</v>
      </c>
      <c r="E8" s="68">
        <f>B8*365</f>
        <v>2190</v>
      </c>
      <c r="F8" s="629"/>
      <c r="H8" s="14" t="s">
        <v>16</v>
      </c>
      <c r="I8" s="15">
        <v>7</v>
      </c>
      <c r="J8" s="16">
        <f>I8*8</f>
        <v>56</v>
      </c>
      <c r="K8" s="17"/>
      <c r="L8" s="24"/>
      <c r="M8" s="24"/>
    </row>
    <row r="9" spans="1:13" ht="13.15" x14ac:dyDescent="0.25">
      <c r="H9" s="11"/>
      <c r="I9" s="18" t="s">
        <v>17</v>
      </c>
      <c r="J9" s="13">
        <f>SUM(J5:J8)</f>
        <v>328</v>
      </c>
      <c r="K9" s="19"/>
      <c r="L9" s="24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1145"/>
      <c r="H10" s="20"/>
      <c r="I10" s="21" t="s">
        <v>18</v>
      </c>
      <c r="J10" s="22">
        <f>J9/(52*40)</f>
        <v>0.15769230769230769</v>
      </c>
      <c r="K10" s="56"/>
    </row>
    <row r="11" spans="1:13" ht="13.9" thickBot="1" x14ac:dyDescent="0.3">
      <c r="A11" s="1" t="s">
        <v>19</v>
      </c>
      <c r="C11" s="30">
        <f>J13</f>
        <v>56249</v>
      </c>
      <c r="D11" s="35">
        <f>J24</f>
        <v>1.4299999999999997</v>
      </c>
      <c r="E11" s="28">
        <f>C11*D11</f>
        <v>80436.069999999978</v>
      </c>
      <c r="F11" s="284"/>
    </row>
    <row r="12" spans="1:13" ht="13.15" x14ac:dyDescent="0.25">
      <c r="A12" s="2" t="s">
        <v>227</v>
      </c>
      <c r="C12" s="30"/>
      <c r="D12" s="35"/>
      <c r="E12" s="28"/>
      <c r="F12" s="284"/>
      <c r="H12" s="36"/>
      <c r="I12" s="37"/>
      <c r="J12" s="38" t="s">
        <v>75</v>
      </c>
      <c r="K12" s="147"/>
    </row>
    <row r="13" spans="1:13" ht="13.15" x14ac:dyDescent="0.25">
      <c r="A13" s="3" t="s">
        <v>24</v>
      </c>
      <c r="C13" s="30">
        <f>J15</f>
        <v>69547</v>
      </c>
      <c r="D13" s="35">
        <f>J26</f>
        <v>0.13</v>
      </c>
      <c r="E13" s="28">
        <f>C13*D13</f>
        <v>9041.11</v>
      </c>
      <c r="F13" s="284"/>
      <c r="H13" s="7" t="s">
        <v>19</v>
      </c>
      <c r="I13" s="29"/>
      <c r="J13" s="40">
        <f>'SpecPgm-1t1 SL (rebased)'!I13</f>
        <v>56249</v>
      </c>
      <c r="K13" s="117"/>
    </row>
    <row r="14" spans="1:13" ht="13.15" x14ac:dyDescent="0.25">
      <c r="A14" s="3" t="s">
        <v>182</v>
      </c>
      <c r="C14" s="30">
        <f>J16</f>
        <v>56010.035283480007</v>
      </c>
      <c r="D14" s="35">
        <f>J27</f>
        <v>0.12</v>
      </c>
      <c r="E14" s="28">
        <f>C14*D14</f>
        <v>6721.2042340176004</v>
      </c>
      <c r="F14" s="284"/>
      <c r="H14" s="7" t="s">
        <v>227</v>
      </c>
      <c r="I14" s="29"/>
      <c r="J14" s="40"/>
      <c r="K14" s="117"/>
    </row>
    <row r="15" spans="1:13" ht="13.15" x14ac:dyDescent="0.25">
      <c r="A15" s="2" t="s">
        <v>5</v>
      </c>
      <c r="C15" s="30"/>
      <c r="D15" s="35"/>
      <c r="E15" s="28"/>
      <c r="F15" s="284"/>
      <c r="H15" s="11" t="s">
        <v>24</v>
      </c>
      <c r="I15" s="29"/>
      <c r="J15" s="40">
        <f>'Group Home (rebased)'!P16</f>
        <v>69547</v>
      </c>
      <c r="K15" s="118" t="s">
        <v>69</v>
      </c>
    </row>
    <row r="16" spans="1:13" ht="13.15" x14ac:dyDescent="0.25">
      <c r="A16" s="3" t="s">
        <v>59</v>
      </c>
      <c r="C16" s="282">
        <f>J18</f>
        <v>47584</v>
      </c>
      <c r="D16" s="35">
        <f>J29</f>
        <v>1.2</v>
      </c>
      <c r="E16" s="28">
        <f>C16*D16</f>
        <v>57100.799999999996</v>
      </c>
      <c r="F16" s="284"/>
      <c r="H16" s="106" t="s">
        <v>182</v>
      </c>
      <c r="I16" s="29"/>
      <c r="J16" s="40">
        <f>52083*(5.39%+1)*(2.04%+1)</f>
        <v>56010.035283480007</v>
      </c>
      <c r="K16" s="118" t="s">
        <v>64</v>
      </c>
    </row>
    <row r="17" spans="1:13" ht="13.15" x14ac:dyDescent="0.25">
      <c r="A17" s="3" t="s">
        <v>30</v>
      </c>
      <c r="C17" s="30">
        <f>J19</f>
        <v>30648</v>
      </c>
      <c r="D17" s="35">
        <f>J30</f>
        <v>8.5</v>
      </c>
      <c r="E17" s="28">
        <f>C17*D17</f>
        <v>260508</v>
      </c>
      <c r="F17" s="284"/>
      <c r="H17" s="7" t="s">
        <v>5</v>
      </c>
      <c r="I17" s="29"/>
      <c r="J17" s="40"/>
      <c r="K17" s="118"/>
    </row>
    <row r="18" spans="1:13" ht="13.15" x14ac:dyDescent="0.25">
      <c r="A18" s="4" t="s">
        <v>31</v>
      </c>
      <c r="C18" s="30">
        <f>J20</f>
        <v>30648</v>
      </c>
      <c r="D18" s="283">
        <f>J31</f>
        <v>1.3403846153846153</v>
      </c>
      <c r="E18" s="28">
        <f>C18*D18</f>
        <v>41080.107692307691</v>
      </c>
      <c r="F18" s="284"/>
      <c r="H18" s="11" t="s">
        <v>59</v>
      </c>
      <c r="I18" s="29"/>
      <c r="J18" s="280">
        <f>'SpecPgm-1t1 SL (rebased)'!I18</f>
        <v>47584</v>
      </c>
      <c r="K18" s="118"/>
    </row>
    <row r="19" spans="1:13" ht="13.15" x14ac:dyDescent="0.25">
      <c r="A19" s="31" t="s">
        <v>7</v>
      </c>
      <c r="B19" s="31"/>
      <c r="C19" s="31"/>
      <c r="D19" s="32">
        <f>SUM(D11:D18)</f>
        <v>12.720384615384614</v>
      </c>
      <c r="E19" s="33">
        <f>SUM(E11:E18)</f>
        <v>454887.29192632524</v>
      </c>
      <c r="F19" s="393"/>
      <c r="H19" s="11" t="s">
        <v>30</v>
      </c>
      <c r="I19" s="29"/>
      <c r="J19" s="40">
        <f>'SpecPgm-1t1 SL (rebased)'!I19</f>
        <v>30648</v>
      </c>
      <c r="K19" s="118"/>
    </row>
    <row r="20" spans="1:13" ht="13.15" x14ac:dyDescent="0.25">
      <c r="H20" s="42" t="s">
        <v>31</v>
      </c>
      <c r="I20" s="29"/>
      <c r="J20" s="40">
        <f>J19</f>
        <v>30648</v>
      </c>
      <c r="K20" s="118"/>
    </row>
    <row r="21" spans="1:13" ht="13.15" x14ac:dyDescent="0.25">
      <c r="A21" s="25" t="s">
        <v>21</v>
      </c>
      <c r="D21" s="25" t="s">
        <v>20</v>
      </c>
      <c r="H21" s="11"/>
      <c r="I21" s="29"/>
      <c r="J21" s="40"/>
      <c r="K21" s="117"/>
    </row>
    <row r="22" spans="1:13" ht="13.15" x14ac:dyDescent="0.25">
      <c r="A22" s="23" t="s">
        <v>22</v>
      </c>
      <c r="C22" s="97">
        <f>$J$34</f>
        <v>0.23424901786252411</v>
      </c>
      <c r="E22" s="28">
        <f>C22*E19</f>
        <v>106556.90137188497</v>
      </c>
      <c r="F22" s="284"/>
      <c r="H22" s="43"/>
      <c r="I22" s="29"/>
      <c r="J22" s="44" t="s">
        <v>37</v>
      </c>
      <c r="K22" s="137"/>
    </row>
    <row r="23" spans="1:13" ht="13.15" x14ac:dyDescent="0.25">
      <c r="A23" s="31" t="s">
        <v>51</v>
      </c>
      <c r="B23" s="31"/>
      <c r="C23" s="31"/>
      <c r="D23" s="70">
        <f>E23/E8</f>
        <v>256.36721155169414</v>
      </c>
      <c r="E23" s="33">
        <f>E22+E19</f>
        <v>561444.19329821016</v>
      </c>
      <c r="F23" s="393"/>
      <c r="H23" s="43" t="s">
        <v>36</v>
      </c>
      <c r="I23" s="34"/>
      <c r="J23" s="158">
        <f>'[15]Seven Hills'!$J$23</f>
        <v>6</v>
      </c>
      <c r="K23" s="67"/>
    </row>
    <row r="24" spans="1:13" x14ac:dyDescent="0.2">
      <c r="H24" s="7" t="s">
        <v>19</v>
      </c>
      <c r="J24" s="148">
        <f>'[15]Seven Hills'!$J$25</f>
        <v>1.4299999999999997</v>
      </c>
      <c r="K24" s="157" t="s">
        <v>92</v>
      </c>
      <c r="M24" s="23" t="s">
        <v>209</v>
      </c>
    </row>
    <row r="25" spans="1:13" ht="13.15" x14ac:dyDescent="0.25">
      <c r="H25" s="7" t="s">
        <v>227</v>
      </c>
      <c r="J25" s="148"/>
      <c r="K25" s="149"/>
    </row>
    <row r="26" spans="1:13" ht="13.15" x14ac:dyDescent="0.25">
      <c r="A26" s="23" t="s">
        <v>185</v>
      </c>
      <c r="C26" s="30">
        <f>J36</f>
        <v>12830</v>
      </c>
      <c r="E26" s="28">
        <f>C26</f>
        <v>12830</v>
      </c>
      <c r="F26" s="284"/>
      <c r="H26" s="11" t="s">
        <v>24</v>
      </c>
      <c r="J26" s="148">
        <f>'[15]Seven Hills'!$J$27</f>
        <v>0.13</v>
      </c>
      <c r="K26" s="149"/>
    </row>
    <row r="27" spans="1:13" ht="13.15" x14ac:dyDescent="0.25">
      <c r="H27" s="106" t="s">
        <v>182</v>
      </c>
      <c r="J27" s="148">
        <f>'[15]Seven Hills'!$J$28</f>
        <v>0.12</v>
      </c>
      <c r="K27" s="149"/>
    </row>
    <row r="28" spans="1:13" ht="13.15" x14ac:dyDescent="0.25">
      <c r="A28" s="23" t="s">
        <v>39</v>
      </c>
      <c r="D28" s="71">
        <f>$J$38</f>
        <v>22.102</v>
      </c>
      <c r="E28" s="105">
        <f>D28*(365*(4+4))</f>
        <v>64537.840000000004</v>
      </c>
      <c r="F28" s="630"/>
      <c r="H28" s="7" t="s">
        <v>5</v>
      </c>
      <c r="J28" s="148"/>
      <c r="K28" s="149"/>
    </row>
    <row r="29" spans="1:13" x14ac:dyDescent="0.2">
      <c r="A29" s="29" t="s">
        <v>40</v>
      </c>
      <c r="D29" s="71">
        <f>$J$39</f>
        <v>17.654</v>
      </c>
      <c r="E29" s="105">
        <f>D29*E8</f>
        <v>38662.26</v>
      </c>
      <c r="F29" s="630"/>
      <c r="H29" s="11" t="s">
        <v>59</v>
      </c>
      <c r="I29" s="29"/>
      <c r="J29" s="148">
        <f>'[15]Seven Hills'!$J$30</f>
        <v>1.2</v>
      </c>
      <c r="K29" s="157" t="s">
        <v>92</v>
      </c>
    </row>
    <row r="30" spans="1:13" ht="13.15" x14ac:dyDescent="0.25">
      <c r="A30" s="29" t="s">
        <v>42</v>
      </c>
      <c r="D30" s="71">
        <f>$J$40</f>
        <v>-1.9951315068493152</v>
      </c>
      <c r="E30" s="105">
        <f>D30*E8</f>
        <v>-4369.3380000000006</v>
      </c>
      <c r="F30" s="630"/>
      <c r="H30" s="11" t="s">
        <v>30</v>
      </c>
      <c r="J30" s="148">
        <f>'[15]Seven Hills'!$J$31</f>
        <v>8.5</v>
      </c>
      <c r="K30" s="149"/>
    </row>
    <row r="31" spans="1:13" ht="13.15" x14ac:dyDescent="0.25">
      <c r="D31" s="72">
        <f>SUM(D28:D30)</f>
        <v>37.760868493150682</v>
      </c>
      <c r="H31" s="42" t="s">
        <v>31</v>
      </c>
      <c r="J31" s="150">
        <f>J30*J10</f>
        <v>1.3403846153846153</v>
      </c>
      <c r="K31" s="111"/>
    </row>
    <row r="32" spans="1:13" ht="13.15" x14ac:dyDescent="0.25">
      <c r="H32" s="43"/>
      <c r="I32" s="29"/>
      <c r="J32" s="29"/>
      <c r="K32" s="41"/>
    </row>
    <row r="33" spans="1:12" ht="13.15" x14ac:dyDescent="0.25">
      <c r="A33" s="31" t="s">
        <v>43</v>
      </c>
      <c r="B33" s="31"/>
      <c r="C33" s="31"/>
      <c r="D33" s="31"/>
      <c r="E33" s="33">
        <f>SUM(E23:E30)</f>
        <v>673104.95529821014</v>
      </c>
      <c r="F33" s="393"/>
      <c r="H33" s="43"/>
      <c r="I33" s="29"/>
      <c r="J33" s="44" t="s">
        <v>100</v>
      </c>
      <c r="K33" s="137"/>
    </row>
    <row r="34" spans="1:12" ht="13.15" x14ac:dyDescent="0.25">
      <c r="H34" s="43" t="s">
        <v>22</v>
      </c>
      <c r="I34" s="29"/>
      <c r="J34" s="95">
        <f>'Group Home'!Q47</f>
        <v>0.23424901786252411</v>
      </c>
      <c r="K34" s="138"/>
    </row>
    <row r="35" spans="1:12" ht="13.15" x14ac:dyDescent="0.25">
      <c r="A35" s="23" t="s">
        <v>44</v>
      </c>
      <c r="C35" s="97">
        <f>$J$43</f>
        <v>0.11846733793705286</v>
      </c>
      <c r="E35" s="28">
        <f>C35*E33</f>
        <v>79740.952206417918</v>
      </c>
      <c r="F35" s="284"/>
      <c r="H35" s="43"/>
      <c r="I35" s="29"/>
      <c r="J35" s="48"/>
      <c r="K35" s="139"/>
    </row>
    <row r="36" spans="1:12" ht="13.15" x14ac:dyDescent="0.25">
      <c r="H36" s="43" t="s">
        <v>185</v>
      </c>
      <c r="I36" s="29"/>
      <c r="J36" s="40">
        <v>12830</v>
      </c>
      <c r="K36" s="139"/>
    </row>
    <row r="37" spans="1:12" ht="13.9" thickBot="1" x14ac:dyDescent="0.3">
      <c r="A37" s="73" t="s">
        <v>52</v>
      </c>
      <c r="B37" s="74"/>
      <c r="C37" s="74"/>
      <c r="D37" s="74"/>
      <c r="E37" s="75">
        <f>SUM(E33:E35)</f>
        <v>752845.90750462806</v>
      </c>
      <c r="F37" s="393"/>
      <c r="H37" s="43"/>
      <c r="I37" s="29"/>
      <c r="J37" s="40"/>
      <c r="K37" s="139"/>
    </row>
    <row r="38" spans="1:12" ht="13.9" thickTop="1" x14ac:dyDescent="0.25">
      <c r="H38" s="43" t="s">
        <v>39</v>
      </c>
      <c r="I38" s="29"/>
      <c r="J38" s="59">
        <f>'Group Home (rebased)'!P49</f>
        <v>22.102</v>
      </c>
      <c r="K38" s="146"/>
    </row>
    <row r="39" spans="1:12" ht="13.15" x14ac:dyDescent="0.25">
      <c r="C39" s="98"/>
      <c r="E39" s="77">
        <f>E37*(1+C39)</f>
        <v>752845.90750462806</v>
      </c>
      <c r="F39" s="631"/>
      <c r="H39" s="43" t="s">
        <v>40</v>
      </c>
      <c r="I39" s="29"/>
      <c r="J39" s="59">
        <f>'Group Home (rebased)'!P50</f>
        <v>17.654</v>
      </c>
      <c r="K39" s="141"/>
    </row>
    <row r="40" spans="1:12" ht="13.9" x14ac:dyDescent="0.3">
      <c r="H40" s="43" t="s">
        <v>42</v>
      </c>
      <c r="I40" s="29"/>
      <c r="J40" s="59">
        <f>'Group Home'!Q52</f>
        <v>-1.9951315068493152</v>
      </c>
      <c r="K40" s="141"/>
      <c r="L40" s="115"/>
    </row>
    <row r="41" spans="1:12" ht="13.15" x14ac:dyDescent="0.25">
      <c r="E41" s="92" t="s">
        <v>789</v>
      </c>
      <c r="F41" s="632"/>
      <c r="H41" s="101" t="s">
        <v>43</v>
      </c>
      <c r="I41" s="102"/>
      <c r="J41" s="103">
        <f>SUM(J38:J40)</f>
        <v>37.760868493150682</v>
      </c>
      <c r="K41" s="142"/>
    </row>
    <row r="42" spans="1:12" ht="13.15" x14ac:dyDescent="0.25">
      <c r="A42" s="23" t="s">
        <v>55</v>
      </c>
      <c r="D42" s="76"/>
      <c r="E42" s="76">
        <f>E37/E8</f>
        <v>343.76525456832331</v>
      </c>
      <c r="F42" s="633"/>
      <c r="H42" s="43"/>
      <c r="I42" s="29"/>
      <c r="J42" s="29"/>
      <c r="K42" s="41"/>
    </row>
    <row r="43" spans="1:12" ht="13.9" thickBot="1" x14ac:dyDescent="0.3">
      <c r="A43" s="1080" t="s">
        <v>828</v>
      </c>
      <c r="B43" s="281"/>
      <c r="C43" s="1164"/>
      <c r="D43" s="633"/>
      <c r="E43" s="633">
        <f>E37/E8</f>
        <v>343.76525456832331</v>
      </c>
      <c r="F43" s="633"/>
      <c r="H43" s="43" t="s">
        <v>44</v>
      </c>
      <c r="I43" s="29"/>
      <c r="J43" s="95">
        <f>'Group Home'!Q55</f>
        <v>0.11846733793705286</v>
      </c>
      <c r="K43" s="138"/>
    </row>
    <row r="44" spans="1:12" ht="13.9" thickBot="1" x14ac:dyDescent="0.3">
      <c r="A44" s="1166" t="s">
        <v>54</v>
      </c>
      <c r="B44" s="1167">
        <v>0.9</v>
      </c>
      <c r="C44" s="1168"/>
      <c r="D44" s="742">
        <f>E37/(E8*B44)</f>
        <v>381.96139396480368</v>
      </c>
      <c r="E44" s="1387">
        <f>E43/B44</f>
        <v>381.96139396480368</v>
      </c>
      <c r="F44" s="1129"/>
      <c r="H44" s="43"/>
      <c r="I44" s="29"/>
      <c r="J44" s="29"/>
      <c r="K44" s="41"/>
    </row>
    <row r="45" spans="1:12" ht="13.5" thickBot="1" x14ac:dyDescent="0.25">
      <c r="A45" s="1373" t="s">
        <v>761</v>
      </c>
      <c r="B45" s="1374"/>
      <c r="C45" s="1375">
        <f>J45</f>
        <v>2.3900000000000001E-2</v>
      </c>
      <c r="D45" s="1085"/>
      <c r="E45" s="1210">
        <f>E44*(C45+1)</f>
        <v>391.09027128056249</v>
      </c>
      <c r="F45" s="389"/>
      <c r="H45" s="239" t="s">
        <v>824</v>
      </c>
      <c r="I45" s="52"/>
      <c r="J45" s="96">
        <v>2.3900000000000001E-2</v>
      </c>
      <c r="K45" s="156" t="s">
        <v>145</v>
      </c>
    </row>
    <row r="46" spans="1:12" ht="13.15" x14ac:dyDescent="0.25">
      <c r="A46" s="368"/>
      <c r="B46" s="369"/>
      <c r="C46" s="370"/>
      <c r="D46" s="371"/>
      <c r="E46" s="371"/>
      <c r="F46" s="389"/>
      <c r="H46" s="63" t="s">
        <v>50</v>
      </c>
      <c r="I46" s="64" t="s">
        <v>46</v>
      </c>
    </row>
    <row r="47" spans="1:12" ht="13.15" x14ac:dyDescent="0.25">
      <c r="H47" s="24" t="s">
        <v>193</v>
      </c>
    </row>
    <row r="48" spans="1:12" ht="13.15" x14ac:dyDescent="0.25">
      <c r="D48" s="28"/>
      <c r="E48" s="105"/>
      <c r="F48" s="630"/>
      <c r="H48" s="23" t="s">
        <v>183</v>
      </c>
    </row>
    <row r="49" spans="4:8" ht="13.15" x14ac:dyDescent="0.25">
      <c r="D49" s="71"/>
      <c r="E49" s="176"/>
      <c r="F49" s="1212"/>
      <c r="H49" s="54" t="s">
        <v>48</v>
      </c>
    </row>
    <row r="50" spans="4:8" ht="13.15" x14ac:dyDescent="0.25">
      <c r="D50" s="71"/>
      <c r="E50" s="176"/>
      <c r="F50" s="1212"/>
    </row>
    <row r="51" spans="4:8" ht="13.15" x14ac:dyDescent="0.25">
      <c r="D51" s="71"/>
      <c r="E51" s="71"/>
      <c r="F51" s="657"/>
      <c r="H51" s="55" t="s">
        <v>49</v>
      </c>
    </row>
    <row r="52" spans="4:8" ht="13.15" x14ac:dyDescent="0.25">
      <c r="H52" s="23" t="s">
        <v>163</v>
      </c>
    </row>
    <row r="53" spans="4:8" ht="13.15" x14ac:dyDescent="0.25">
      <c r="H53" s="181" t="s">
        <v>194</v>
      </c>
    </row>
    <row r="54" spans="4:8" ht="13.15" x14ac:dyDescent="0.25">
      <c r="H54" s="54" t="s">
        <v>228</v>
      </c>
    </row>
    <row r="55" spans="4:8" x14ac:dyDescent="0.2">
      <c r="H55" s="23" t="s">
        <v>184</v>
      </c>
    </row>
    <row r="56" spans="4:8" x14ac:dyDescent="0.2">
      <c r="H56" s="54" t="s">
        <v>144</v>
      </c>
    </row>
  </sheetData>
  <mergeCells count="3">
    <mergeCell ref="H1:K1"/>
    <mergeCell ref="I3:J3"/>
    <mergeCell ref="A7:E7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78"/>
  <sheetViews>
    <sheetView topLeftCell="A46" zoomScale="80" zoomScaleNormal="80" workbookViewId="0">
      <selection activeCell="A48" sqref="A48"/>
    </sheetView>
  </sheetViews>
  <sheetFormatPr defaultRowHeight="15" x14ac:dyDescent="0.25"/>
  <cols>
    <col min="1" max="1" width="30.42578125" customWidth="1"/>
    <col min="3" max="3" width="18.5703125" customWidth="1"/>
    <col min="4" max="4" width="11.85546875" customWidth="1"/>
    <col min="5" max="5" width="12" customWidth="1"/>
    <col min="6" max="6" width="12" style="324" customWidth="1"/>
    <col min="8" max="8" width="31.5703125" customWidth="1"/>
    <col min="10" max="10" width="12" customWidth="1"/>
  </cols>
  <sheetData>
    <row r="2" spans="1:13" thickBot="1" x14ac:dyDescent="0.35">
      <c r="H2" s="1431" t="s">
        <v>8</v>
      </c>
      <c r="I2" s="1431"/>
      <c r="J2" s="1431"/>
      <c r="K2" s="1431"/>
      <c r="L2" s="23"/>
      <c r="M2" s="23"/>
    </row>
    <row r="3" spans="1:13" thickBot="1" x14ac:dyDescent="0.35">
      <c r="H3" s="23"/>
      <c r="I3" s="23"/>
      <c r="J3" s="23"/>
      <c r="K3" s="23"/>
      <c r="L3" s="23"/>
      <c r="M3" s="23"/>
    </row>
    <row r="4" spans="1:13" ht="14.45" x14ac:dyDescent="0.3">
      <c r="H4" s="5" t="s">
        <v>9</v>
      </c>
      <c r="I4" s="1432" t="s">
        <v>10</v>
      </c>
      <c r="J4" s="1432"/>
      <c r="K4" s="6"/>
      <c r="L4" s="24"/>
      <c r="M4" s="24"/>
    </row>
    <row r="5" spans="1:13" ht="14.45" x14ac:dyDescent="0.3">
      <c r="H5" s="7"/>
      <c r="I5" s="8" t="s">
        <v>11</v>
      </c>
      <c r="J5" s="9" t="s">
        <v>12</v>
      </c>
      <c r="K5" s="10"/>
      <c r="L5" s="24"/>
      <c r="M5" s="24"/>
    </row>
    <row r="6" spans="1:13" thickBot="1" x14ac:dyDescent="0.35">
      <c r="H6" s="11" t="s">
        <v>13</v>
      </c>
      <c r="I6" s="12">
        <v>13</v>
      </c>
      <c r="J6" s="13">
        <f>I6*8</f>
        <v>104</v>
      </c>
      <c r="K6" s="10"/>
      <c r="L6" s="24"/>
      <c r="M6" s="24"/>
    </row>
    <row r="7" spans="1:13" ht="15" customHeight="1" thickBot="1" x14ac:dyDescent="0.35">
      <c r="A7" s="1534" t="s">
        <v>297</v>
      </c>
      <c r="B7" s="1528"/>
      <c r="C7" s="1528"/>
      <c r="D7" s="1528"/>
      <c r="E7" s="1529"/>
      <c r="F7" s="1145"/>
      <c r="H7" s="11" t="s">
        <v>14</v>
      </c>
      <c r="I7" s="12">
        <v>10</v>
      </c>
      <c r="J7" s="13">
        <f>I7*8</f>
        <v>80</v>
      </c>
      <c r="K7" s="10"/>
      <c r="L7" s="24"/>
      <c r="M7" s="24"/>
    </row>
    <row r="8" spans="1:13" ht="14.45" x14ac:dyDescent="0.3">
      <c r="A8" s="50" t="s">
        <v>0</v>
      </c>
      <c r="B8" s="566">
        <f>J34</f>
        <v>12</v>
      </c>
      <c r="C8" s="120"/>
      <c r="D8" s="120" t="s">
        <v>1</v>
      </c>
      <c r="E8" s="1059">
        <f>B8*365</f>
        <v>4380</v>
      </c>
      <c r="F8" s="629"/>
      <c r="H8" s="11" t="s">
        <v>15</v>
      </c>
      <c r="I8" s="12">
        <v>11</v>
      </c>
      <c r="J8" s="13">
        <f>I8*8</f>
        <v>88</v>
      </c>
      <c r="K8" s="10"/>
      <c r="L8" s="24"/>
      <c r="M8" s="24"/>
    </row>
    <row r="9" spans="1:13" ht="14.45" x14ac:dyDescent="0.3">
      <c r="A9" s="43"/>
      <c r="B9" s="29"/>
      <c r="C9" s="29"/>
      <c r="D9" s="29"/>
      <c r="E9" s="41"/>
      <c r="F9" s="281"/>
      <c r="H9" s="433" t="s">
        <v>16</v>
      </c>
      <c r="I9" s="15">
        <v>7</v>
      </c>
      <c r="J9" s="16">
        <f>I9*8</f>
        <v>56</v>
      </c>
      <c r="K9" s="17"/>
      <c r="L9" s="24"/>
      <c r="M9" s="24"/>
    </row>
    <row r="10" spans="1:13" ht="14.45" x14ac:dyDescent="0.3">
      <c r="A10" s="1060"/>
      <c r="B10" s="26"/>
      <c r="C10" s="27" t="s">
        <v>2</v>
      </c>
      <c r="D10" s="27" t="s">
        <v>3</v>
      </c>
      <c r="E10" s="1075" t="s">
        <v>4</v>
      </c>
      <c r="F10" s="1145"/>
      <c r="H10" s="434"/>
      <c r="I10" s="18" t="s">
        <v>17</v>
      </c>
      <c r="J10" s="13">
        <f>SUM(J6:J9)</f>
        <v>328</v>
      </c>
      <c r="K10" s="19"/>
      <c r="L10" s="24"/>
      <c r="M10" s="24"/>
    </row>
    <row r="11" spans="1:13" thickBot="1" x14ac:dyDescent="0.35">
      <c r="A11" s="1062" t="s">
        <v>19</v>
      </c>
      <c r="B11" s="29"/>
      <c r="C11" s="40">
        <f>J14</f>
        <v>56249</v>
      </c>
      <c r="D11" s="46">
        <f>J35</f>
        <v>1.75</v>
      </c>
      <c r="E11" s="1063">
        <f>C11*D11</f>
        <v>98435.75</v>
      </c>
      <c r="F11" s="284"/>
      <c r="H11" s="435"/>
      <c r="I11" s="21" t="s">
        <v>18</v>
      </c>
      <c r="J11" s="22">
        <f>J10/(52*40)</f>
        <v>0.15769230769230769</v>
      </c>
      <c r="K11" s="56"/>
      <c r="L11" s="23"/>
      <c r="M11" s="23"/>
    </row>
    <row r="12" spans="1:13" thickBot="1" x14ac:dyDescent="0.35">
      <c r="A12" s="7" t="s">
        <v>227</v>
      </c>
      <c r="B12" s="29"/>
      <c r="C12" s="40"/>
      <c r="D12" s="46"/>
      <c r="E12" s="1063"/>
      <c r="F12" s="284"/>
      <c r="H12" s="281"/>
      <c r="I12" s="281"/>
      <c r="J12" s="281"/>
      <c r="K12" s="281"/>
      <c r="L12" s="23"/>
      <c r="M12" s="23"/>
    </row>
    <row r="13" spans="1:13" ht="14.45" x14ac:dyDescent="0.3">
      <c r="A13" s="11" t="s">
        <v>23</v>
      </c>
      <c r="B13" s="29"/>
      <c r="C13" s="280">
        <f>J16</f>
        <v>215212</v>
      </c>
      <c r="D13" s="46">
        <f>J37</f>
        <v>0.1</v>
      </c>
      <c r="E13" s="1063">
        <f t="shared" ref="E13:E23" si="0">C13*D13</f>
        <v>21521.200000000001</v>
      </c>
      <c r="F13" s="284"/>
      <c r="H13" s="436"/>
      <c r="I13" s="437"/>
      <c r="J13" s="438" t="s">
        <v>75</v>
      </c>
      <c r="K13" s="439"/>
      <c r="L13" s="23"/>
    </row>
    <row r="14" spans="1:13" ht="14.45" x14ac:dyDescent="0.3">
      <c r="A14" s="11" t="s">
        <v>24</v>
      </c>
      <c r="B14" s="29"/>
      <c r="C14" s="280">
        <f>J17</f>
        <v>69547</v>
      </c>
      <c r="D14" s="46">
        <f>J38</f>
        <v>1</v>
      </c>
      <c r="E14" s="1063">
        <f t="shared" si="0"/>
        <v>69547</v>
      </c>
      <c r="F14" s="284"/>
      <c r="H14" s="440" t="s">
        <v>19</v>
      </c>
      <c r="I14" s="162"/>
      <c r="J14" s="280">
        <f>'SpecPgm-1t2 GH (rebased)'!J13</f>
        <v>56249</v>
      </c>
      <c r="K14" s="441"/>
      <c r="L14" s="23"/>
    </row>
    <row r="15" spans="1:13" ht="14.45" x14ac:dyDescent="0.3">
      <c r="A15" s="434" t="s">
        <v>164</v>
      </c>
      <c r="B15" s="162"/>
      <c r="C15" s="280">
        <f>J18</f>
        <v>49093.065313560001</v>
      </c>
      <c r="D15" s="195">
        <f>J39</f>
        <v>1.5</v>
      </c>
      <c r="E15" s="1133">
        <f>C15*D15</f>
        <v>73639.597970339993</v>
      </c>
      <c r="F15" s="284"/>
      <c r="H15" s="440" t="s">
        <v>227</v>
      </c>
      <c r="I15" s="162"/>
      <c r="J15" s="280"/>
      <c r="K15" s="441"/>
      <c r="L15" s="23"/>
    </row>
    <row r="16" spans="1:13" ht="14.45" x14ac:dyDescent="0.3">
      <c r="A16" s="434" t="s">
        <v>25</v>
      </c>
      <c r="B16" s="162"/>
      <c r="C16" s="280">
        <f>J19</f>
        <v>64543</v>
      </c>
      <c r="D16" s="195">
        <f>J40</f>
        <v>0.5</v>
      </c>
      <c r="E16" s="1133">
        <f t="shared" si="0"/>
        <v>32271.5</v>
      </c>
      <c r="F16" s="284"/>
      <c r="H16" s="434" t="s">
        <v>23</v>
      </c>
      <c r="I16" s="162"/>
      <c r="J16" s="280">
        <f>'SpecPgm-TAY(rebased)'!I15</f>
        <v>215212</v>
      </c>
      <c r="K16" s="442" t="s">
        <v>84</v>
      </c>
      <c r="L16" s="23"/>
    </row>
    <row r="17" spans="1:12" ht="14.45" x14ac:dyDescent="0.3">
      <c r="A17" s="434" t="s">
        <v>26</v>
      </c>
      <c r="B17" s="162"/>
      <c r="C17" s="280">
        <f>J20</f>
        <v>52283</v>
      </c>
      <c r="D17" s="195">
        <f>J41</f>
        <v>1</v>
      </c>
      <c r="E17" s="1133">
        <f t="shared" si="0"/>
        <v>52283</v>
      </c>
      <c r="F17" s="284"/>
      <c r="H17" s="434" t="s">
        <v>24</v>
      </c>
      <c r="I17" s="162"/>
      <c r="J17" s="280">
        <f>'SpecPgm-1t2 GH (rebased)'!J15</f>
        <v>69547</v>
      </c>
      <c r="K17" s="442" t="s">
        <v>69</v>
      </c>
      <c r="L17" s="23"/>
    </row>
    <row r="18" spans="1:12" ht="14.45" x14ac:dyDescent="0.3">
      <c r="A18" s="440" t="s">
        <v>5</v>
      </c>
      <c r="B18" s="162"/>
      <c r="C18" s="280"/>
      <c r="D18" s="195"/>
      <c r="E18" s="1133"/>
      <c r="F18" s="284"/>
      <c r="H18" s="434" t="s">
        <v>164</v>
      </c>
      <c r="I18" s="162"/>
      <c r="J18" s="280">
        <f>45651*(5.39%+1)*(2.04%+1)</f>
        <v>49093.065313560001</v>
      </c>
      <c r="K18" s="442"/>
      <c r="L18" s="23"/>
    </row>
    <row r="19" spans="1:12" ht="14.45" x14ac:dyDescent="0.3">
      <c r="A19" s="434" t="s">
        <v>59</v>
      </c>
      <c r="B19" s="162"/>
      <c r="C19" s="280">
        <f>J23</f>
        <v>47584</v>
      </c>
      <c r="D19" s="195">
        <f>J44</f>
        <v>1</v>
      </c>
      <c r="E19" s="1133">
        <f t="shared" si="0"/>
        <v>47584</v>
      </c>
      <c r="F19" s="284"/>
      <c r="H19" s="434" t="s">
        <v>25</v>
      </c>
      <c r="I19" s="162"/>
      <c r="J19" s="280">
        <f>'IRTP (rebased)'!X18</f>
        <v>64543</v>
      </c>
      <c r="K19" s="442" t="s">
        <v>82</v>
      </c>
      <c r="L19" s="23"/>
    </row>
    <row r="20" spans="1:12" ht="14.45" x14ac:dyDescent="0.3">
      <c r="A20" s="434" t="s">
        <v>30</v>
      </c>
      <c r="B20" s="162"/>
      <c r="C20" s="280">
        <f>J25</f>
        <v>30648</v>
      </c>
      <c r="D20" s="195">
        <f>J46</f>
        <v>15</v>
      </c>
      <c r="E20" s="1133">
        <f t="shared" si="0"/>
        <v>459720</v>
      </c>
      <c r="F20" s="284"/>
      <c r="H20" s="434" t="s">
        <v>26</v>
      </c>
      <c r="I20" s="162"/>
      <c r="J20" s="280">
        <f>'IRTP (rebased)'!X19</f>
        <v>52283</v>
      </c>
      <c r="K20" s="442"/>
      <c r="L20" s="23"/>
    </row>
    <row r="21" spans="1:12" ht="14.45" x14ac:dyDescent="0.3">
      <c r="A21" s="443" t="s">
        <v>31</v>
      </c>
      <c r="B21" s="162"/>
      <c r="C21" s="280">
        <f>J25</f>
        <v>30648</v>
      </c>
      <c r="D21" s="195">
        <f>J47</f>
        <v>2.3653846153846154</v>
      </c>
      <c r="E21" s="1133">
        <f>C21*D21</f>
        <v>72494.307692307688</v>
      </c>
      <c r="F21" s="284"/>
      <c r="H21" s="440" t="s">
        <v>5</v>
      </c>
      <c r="I21" s="162"/>
      <c r="J21" s="280"/>
      <c r="K21" s="442"/>
      <c r="L21" s="177"/>
    </row>
    <row r="22" spans="1:12" ht="14.45" x14ac:dyDescent="0.3">
      <c r="A22" s="440" t="s">
        <v>6</v>
      </c>
      <c r="B22" s="162"/>
      <c r="C22" s="280"/>
      <c r="D22" s="195"/>
      <c r="E22" s="1133"/>
      <c r="F22" s="284"/>
      <c r="H22" s="434" t="s">
        <v>85</v>
      </c>
      <c r="I22" s="162"/>
      <c r="J22" s="280">
        <f>'Group Home (rebased)'!P20</f>
        <v>24604</v>
      </c>
      <c r="K22" s="442"/>
      <c r="L22" s="23"/>
    </row>
    <row r="23" spans="1:12" ht="14.45" x14ac:dyDescent="0.3">
      <c r="A23" s="434" t="s">
        <v>32</v>
      </c>
      <c r="B23" s="162"/>
      <c r="C23" s="280">
        <f>J28</f>
        <v>30648</v>
      </c>
      <c r="D23" s="195">
        <f>J49</f>
        <v>0.25</v>
      </c>
      <c r="E23" s="1133">
        <f t="shared" si="0"/>
        <v>7662</v>
      </c>
      <c r="F23" s="284"/>
      <c r="H23" s="434" t="s">
        <v>59</v>
      </c>
      <c r="I23" s="162"/>
      <c r="J23" s="280">
        <f>'SpecPgm-1t2 GH (rebased)'!J18</f>
        <v>47584</v>
      </c>
      <c r="K23" s="442"/>
      <c r="L23" s="23"/>
    </row>
    <row r="24" spans="1:12" ht="14.45" x14ac:dyDescent="0.3">
      <c r="A24" s="434" t="s">
        <v>295</v>
      </c>
      <c r="B24" s="162"/>
      <c r="C24" s="1213">
        <f>J29</f>
        <v>30648</v>
      </c>
      <c r="D24" s="195">
        <f>J50</f>
        <v>0.5</v>
      </c>
      <c r="E24" s="1133">
        <f>C24*D24</f>
        <v>15324</v>
      </c>
      <c r="F24" s="284"/>
      <c r="H24" s="434" t="s">
        <v>60</v>
      </c>
      <c r="I24" s="162"/>
      <c r="J24" s="280">
        <f>'SpecPgm-TAY(rebased)'!I21</f>
        <v>39040</v>
      </c>
      <c r="K24" s="442"/>
      <c r="L24" s="23"/>
    </row>
    <row r="25" spans="1:12" ht="14.45" x14ac:dyDescent="0.3">
      <c r="A25" s="434" t="s">
        <v>296</v>
      </c>
      <c r="B25" s="162"/>
      <c r="C25" s="1214">
        <f>J30</f>
        <v>31769</v>
      </c>
      <c r="D25" s="195">
        <f>J51</f>
        <v>0.5</v>
      </c>
      <c r="E25" s="1133">
        <f>C25*D25</f>
        <v>15884.5</v>
      </c>
      <c r="F25" s="284"/>
      <c r="H25" s="434" t="s">
        <v>30</v>
      </c>
      <c r="I25" s="162"/>
      <c r="J25" s="280">
        <f>'SpecPgm-1t2 GH (rebased)'!J19</f>
        <v>30648</v>
      </c>
      <c r="K25" s="442" t="s">
        <v>86</v>
      </c>
      <c r="L25" s="23"/>
    </row>
    <row r="26" spans="1:12" ht="14.45" x14ac:dyDescent="0.3">
      <c r="A26" s="1065" t="s">
        <v>7</v>
      </c>
      <c r="B26" s="31"/>
      <c r="C26" s="31"/>
      <c r="D26" s="32">
        <f>SUM(D11:D25)</f>
        <v>25.465384615384618</v>
      </c>
      <c r="E26" s="1076">
        <f>SUM(E11:E25)</f>
        <v>966366.85566264763</v>
      </c>
      <c r="F26" s="393"/>
      <c r="H26" s="443" t="s">
        <v>31</v>
      </c>
      <c r="I26" s="162"/>
      <c r="J26" s="444">
        <f>J25</f>
        <v>30648</v>
      </c>
      <c r="K26" s="442"/>
      <c r="L26" s="23"/>
    </row>
    <row r="27" spans="1:12" ht="14.45" x14ac:dyDescent="0.3">
      <c r="A27" s="43"/>
      <c r="B27" s="29"/>
      <c r="C27" s="29"/>
      <c r="D27" s="29"/>
      <c r="E27" s="41"/>
      <c r="F27" s="281"/>
      <c r="H27" s="440" t="s">
        <v>6</v>
      </c>
      <c r="I27" s="162"/>
      <c r="J27" s="280"/>
      <c r="K27" s="442"/>
      <c r="L27" s="23"/>
    </row>
    <row r="28" spans="1:12" ht="14.45" x14ac:dyDescent="0.3">
      <c r="A28" s="50" t="s">
        <v>21</v>
      </c>
      <c r="B28" s="29"/>
      <c r="C28" s="29"/>
      <c r="D28" s="120" t="s">
        <v>20</v>
      </c>
      <c r="E28" s="41"/>
      <c r="F28" s="281"/>
      <c r="H28" s="434" t="s">
        <v>32</v>
      </c>
      <c r="I28" s="162"/>
      <c r="J28" s="280">
        <f>IF('[9]Avg Salary'!$J$44&gt;J25,J25,'[9]Avg Salary'!$J$44)</f>
        <v>30648</v>
      </c>
      <c r="K28" s="442" t="s">
        <v>70</v>
      </c>
      <c r="L28" s="23"/>
    </row>
    <row r="29" spans="1:12" ht="15.75" x14ac:dyDescent="0.25">
      <c r="A29" s="43" t="s">
        <v>22</v>
      </c>
      <c r="B29" s="29"/>
      <c r="C29" s="573">
        <f>J54</f>
        <v>0.23424901786252411</v>
      </c>
      <c r="D29" s="29"/>
      <c r="E29" s="1063">
        <f>C29*E26</f>
        <v>226370.48683387082</v>
      </c>
      <c r="F29" s="284"/>
      <c r="H29" s="445" t="s">
        <v>295</v>
      </c>
      <c r="I29" s="189"/>
      <c r="J29" s="446">
        <f>J25</f>
        <v>30648</v>
      </c>
      <c r="K29" s="447" t="s">
        <v>298</v>
      </c>
      <c r="L29" s="23"/>
    </row>
    <row r="30" spans="1:12" ht="15.75" x14ac:dyDescent="0.25">
      <c r="A30" s="1065" t="s">
        <v>51</v>
      </c>
      <c r="B30" s="31"/>
      <c r="C30" s="31"/>
      <c r="D30" s="70">
        <f>E30/E8</f>
        <v>272.314461757196</v>
      </c>
      <c r="E30" s="1076">
        <f>E29+E26</f>
        <v>1192737.3424965185</v>
      </c>
      <c r="F30" s="393"/>
      <c r="H30" s="445" t="s">
        <v>296</v>
      </c>
      <c r="I30" s="189"/>
      <c r="J30" s="446">
        <f>'CIRT (rebased)'!R27</f>
        <v>31769</v>
      </c>
      <c r="K30" s="447" t="s">
        <v>298</v>
      </c>
      <c r="L30" s="23"/>
    </row>
    <row r="31" spans="1:12" ht="14.45" x14ac:dyDescent="0.3">
      <c r="A31" s="43"/>
      <c r="B31" s="29"/>
      <c r="C31" s="29"/>
      <c r="D31" s="29"/>
      <c r="E31" s="41"/>
      <c r="F31" s="281"/>
      <c r="H31" s="434"/>
      <c r="I31" s="162"/>
      <c r="J31" s="280"/>
      <c r="K31" s="441"/>
      <c r="L31" s="23"/>
    </row>
    <row r="32" spans="1:12" ht="14.45" x14ac:dyDescent="0.3">
      <c r="A32" s="43" t="s">
        <v>39</v>
      </c>
      <c r="B32" s="29"/>
      <c r="C32" s="29"/>
      <c r="D32" s="61">
        <f>J56</f>
        <v>22.87</v>
      </c>
      <c r="E32" s="1077">
        <f>D32*E8</f>
        <v>100170.6</v>
      </c>
      <c r="F32" s="630"/>
      <c r="H32" s="448"/>
      <c r="I32" s="162"/>
      <c r="J32" s="449" t="s">
        <v>37</v>
      </c>
      <c r="K32" s="450"/>
      <c r="L32" s="23"/>
    </row>
    <row r="33" spans="1:12" ht="14.45" x14ac:dyDescent="0.3">
      <c r="A33" s="43" t="s">
        <v>40</v>
      </c>
      <c r="B33" s="29"/>
      <c r="C33" s="29"/>
      <c r="D33" s="61">
        <f>J57</f>
        <v>17.654</v>
      </c>
      <c r="E33" s="1077">
        <f>D33*E8</f>
        <v>77324.52</v>
      </c>
      <c r="F33" s="630"/>
      <c r="H33" s="448" t="s">
        <v>35</v>
      </c>
      <c r="I33" s="451"/>
      <c r="J33" s="451" t="s">
        <v>98</v>
      </c>
      <c r="K33" s="452"/>
      <c r="L33" s="23"/>
    </row>
    <row r="34" spans="1:12" ht="14.45" x14ac:dyDescent="0.3">
      <c r="A34" s="43" t="s">
        <v>41</v>
      </c>
      <c r="B34" s="29"/>
      <c r="C34" s="29"/>
      <c r="D34" s="61">
        <f>J58</f>
        <v>0.75</v>
      </c>
      <c r="E34" s="1077">
        <f>D34*E8</f>
        <v>3285</v>
      </c>
      <c r="F34" s="630"/>
      <c r="H34" s="448" t="s">
        <v>36</v>
      </c>
      <c r="I34" s="453"/>
      <c r="J34" s="453">
        <v>12</v>
      </c>
      <c r="K34" s="454"/>
      <c r="L34" s="23"/>
    </row>
    <row r="35" spans="1:12" ht="14.45" x14ac:dyDescent="0.3">
      <c r="A35" s="43" t="s">
        <v>42</v>
      </c>
      <c r="B35" s="29"/>
      <c r="C35" s="29"/>
      <c r="D35" s="61">
        <f>J59</f>
        <v>-1.9951315068493152</v>
      </c>
      <c r="E35" s="1077">
        <f>D35*E8</f>
        <v>-8738.6760000000013</v>
      </c>
      <c r="F35" s="630"/>
      <c r="H35" s="440" t="s">
        <v>19</v>
      </c>
      <c r="I35" s="189"/>
      <c r="J35" s="189">
        <f>'Group Home'!P31</f>
        <v>1.75</v>
      </c>
      <c r="K35" s="190"/>
      <c r="L35" s="23"/>
    </row>
    <row r="36" spans="1:12" ht="14.45" x14ac:dyDescent="0.3">
      <c r="A36" s="43"/>
      <c r="B36" s="29"/>
      <c r="C36" s="29"/>
      <c r="D36" s="72">
        <f>SUM(D32:D35)</f>
        <v>39.278868493150682</v>
      </c>
      <c r="E36" s="41"/>
      <c r="F36" s="281"/>
      <c r="H36" s="440" t="s">
        <v>227</v>
      </c>
      <c r="I36" s="189"/>
      <c r="J36" s="189"/>
      <c r="K36" s="190"/>
      <c r="L36" s="23"/>
    </row>
    <row r="37" spans="1:12" ht="14.45" x14ac:dyDescent="0.3">
      <c r="A37" s="43"/>
      <c r="B37" s="29"/>
      <c r="C37" s="29"/>
      <c r="D37" s="29"/>
      <c r="E37" s="41"/>
      <c r="F37" s="281"/>
      <c r="H37" s="434" t="s">
        <v>23</v>
      </c>
      <c r="I37" s="189"/>
      <c r="J37" s="189">
        <f>'Group Home'!P33</f>
        <v>0.1</v>
      </c>
      <c r="K37" s="190"/>
      <c r="L37" s="23"/>
    </row>
    <row r="38" spans="1:12" ht="14.45" x14ac:dyDescent="0.3">
      <c r="A38" s="1065" t="s">
        <v>43</v>
      </c>
      <c r="B38" s="31"/>
      <c r="C38" s="31"/>
      <c r="D38" s="31"/>
      <c r="E38" s="1076">
        <f>SUM(E30:E35)</f>
        <v>1364778.7864965186</v>
      </c>
      <c r="F38" s="393"/>
      <c r="H38" s="434" t="s">
        <v>24</v>
      </c>
      <c r="I38" s="189"/>
      <c r="J38" s="189">
        <f>[15]Farr!$J$21</f>
        <v>1</v>
      </c>
      <c r="K38" s="190"/>
      <c r="L38" s="23"/>
    </row>
    <row r="39" spans="1:12" ht="14.45" x14ac:dyDescent="0.3">
      <c r="A39" s="43"/>
      <c r="B39" s="29"/>
      <c r="C39" s="29"/>
      <c r="D39" s="29"/>
      <c r="E39" s="41"/>
      <c r="F39" s="281"/>
      <c r="H39" s="434" t="s">
        <v>164</v>
      </c>
      <c r="I39" s="189"/>
      <c r="J39" s="189">
        <f>[15]Farr!$J$22</f>
        <v>1.5</v>
      </c>
      <c r="K39" s="190"/>
      <c r="L39" s="23"/>
    </row>
    <row r="40" spans="1:12" ht="14.45" x14ac:dyDescent="0.3">
      <c r="A40" s="43" t="s">
        <v>44</v>
      </c>
      <c r="B40" s="29"/>
      <c r="C40" s="573">
        <f>J62</f>
        <v>0.11846733793705286</v>
      </c>
      <c r="D40" s="29"/>
      <c r="E40" s="1063">
        <f>C40*E38</f>
        <v>161681.70970920398</v>
      </c>
      <c r="F40" s="284"/>
      <c r="H40" s="434" t="s">
        <v>25</v>
      </c>
      <c r="I40" s="189"/>
      <c r="J40" s="189">
        <f>'[9]Rate Options'!J35</f>
        <v>0.5</v>
      </c>
      <c r="K40" s="190"/>
      <c r="L40" s="23"/>
    </row>
    <row r="41" spans="1:12" ht="14.45" x14ac:dyDescent="0.3">
      <c r="A41" s="43"/>
      <c r="B41" s="29"/>
      <c r="C41" s="29"/>
      <c r="D41" s="29"/>
      <c r="E41" s="41"/>
      <c r="F41" s="281"/>
      <c r="H41" s="434" t="s">
        <v>26</v>
      </c>
      <c r="I41" s="189"/>
      <c r="J41" s="189">
        <f>'Group Home'!P36</f>
        <v>1</v>
      </c>
      <c r="K41" s="190"/>
      <c r="L41" s="23"/>
    </row>
    <row r="42" spans="1:12" ht="15.75" thickBot="1" x14ac:dyDescent="0.3">
      <c r="A42" s="1067" t="s">
        <v>52</v>
      </c>
      <c r="B42" s="74"/>
      <c r="C42" s="74"/>
      <c r="D42" s="74"/>
      <c r="E42" s="1078">
        <f>SUM(E38:E40)</f>
        <v>1526460.4962057227</v>
      </c>
      <c r="F42" s="393"/>
      <c r="H42" s="440" t="s">
        <v>5</v>
      </c>
      <c r="I42" s="189"/>
      <c r="J42" s="189"/>
      <c r="K42" s="190"/>
      <c r="L42" s="243" t="s">
        <v>92</v>
      </c>
    </row>
    <row r="43" spans="1:12" thickTop="1" x14ac:dyDescent="0.3">
      <c r="A43" s="43"/>
      <c r="B43" s="29"/>
      <c r="C43" s="29"/>
      <c r="D43" s="29"/>
      <c r="E43" s="41"/>
      <c r="F43" s="281"/>
      <c r="H43" s="434" t="s">
        <v>85</v>
      </c>
      <c r="I43" s="189"/>
      <c r="J43" s="189"/>
      <c r="K43" s="190"/>
      <c r="L43" s="23"/>
    </row>
    <row r="44" spans="1:12" ht="14.45" x14ac:dyDescent="0.3">
      <c r="A44" s="43"/>
      <c r="B44" s="29"/>
      <c r="C44" s="575"/>
      <c r="D44" s="29"/>
      <c r="E44" s="1068">
        <f>E42*(1+C44)</f>
        <v>1526460.4962057227</v>
      </c>
      <c r="F44" s="631"/>
      <c r="H44" s="434" t="s">
        <v>59</v>
      </c>
      <c r="I44" s="189"/>
      <c r="J44" s="189">
        <f>'Group Home'!P39</f>
        <v>1</v>
      </c>
      <c r="K44" s="190"/>
      <c r="L44" s="23"/>
    </row>
    <row r="45" spans="1:12" ht="14.45" x14ac:dyDescent="0.3">
      <c r="A45" s="43"/>
      <c r="B45" s="29"/>
      <c r="C45" s="29"/>
      <c r="D45" s="29"/>
      <c r="E45" s="41"/>
      <c r="F45" s="281"/>
      <c r="H45" s="434" t="s">
        <v>60</v>
      </c>
      <c r="I45" s="189"/>
      <c r="J45" s="189"/>
      <c r="K45" s="190"/>
      <c r="L45" s="23"/>
    </row>
    <row r="46" spans="1:12" ht="14.45" x14ac:dyDescent="0.3">
      <c r="A46" s="43"/>
      <c r="B46" s="29"/>
      <c r="C46" s="29"/>
      <c r="D46" s="29"/>
      <c r="E46" s="1069" t="s">
        <v>789</v>
      </c>
      <c r="F46" s="632"/>
      <c r="H46" s="434" t="s">
        <v>30</v>
      </c>
      <c r="I46" s="189"/>
      <c r="J46" s="189">
        <f>'Group Home'!P41</f>
        <v>15</v>
      </c>
      <c r="K46" s="190"/>
      <c r="L46" s="23"/>
    </row>
    <row r="47" spans="1:12" ht="14.45" x14ac:dyDescent="0.3">
      <c r="A47" s="43" t="s">
        <v>55</v>
      </c>
      <c r="B47" s="29"/>
      <c r="C47" s="29"/>
      <c r="D47" s="428"/>
      <c r="E47" s="1079">
        <f>E42/E8</f>
        <v>348.50696260404629</v>
      </c>
      <c r="F47" s="633"/>
      <c r="H47" s="443" t="s">
        <v>31</v>
      </c>
      <c r="I47" s="187"/>
      <c r="J47" s="187">
        <f>J46*J11</f>
        <v>2.3653846153846154</v>
      </c>
      <c r="K47" s="188"/>
      <c r="L47" s="23"/>
    </row>
    <row r="48" spans="1:12" ht="14.45" x14ac:dyDescent="0.3">
      <c r="A48" s="1080" t="s">
        <v>827</v>
      </c>
      <c r="B48" s="162"/>
      <c r="C48" s="1026"/>
      <c r="D48" s="398"/>
      <c r="E48" s="1081"/>
      <c r="F48" s="633"/>
      <c r="H48" s="440" t="s">
        <v>6</v>
      </c>
      <c r="I48" s="189"/>
      <c r="J48" s="189"/>
      <c r="K48" s="190"/>
      <c r="L48" s="177"/>
    </row>
    <row r="49" spans="1:13" thickBot="1" x14ac:dyDescent="0.35">
      <c r="A49" s="1195" t="s">
        <v>54</v>
      </c>
      <c r="B49" s="79">
        <v>0.9</v>
      </c>
      <c r="C49" s="1168"/>
      <c r="D49" s="742"/>
      <c r="E49" s="1388">
        <f>E47/B49</f>
        <v>387.22995844894029</v>
      </c>
      <c r="F49" s="389"/>
      <c r="H49" s="434" t="s">
        <v>32</v>
      </c>
      <c r="I49" s="189"/>
      <c r="J49" s="189">
        <f>'Group Home'!P44</f>
        <v>0.25</v>
      </c>
      <c r="K49" s="190"/>
      <c r="L49" s="23"/>
    </row>
    <row r="50" spans="1:13" thickBot="1" x14ac:dyDescent="0.35">
      <c r="A50" s="1373" t="s">
        <v>761</v>
      </c>
      <c r="B50" s="1374"/>
      <c r="C50" s="1375">
        <f>J64</f>
        <v>2.3900000000000001E-2</v>
      </c>
      <c r="D50" s="1385"/>
      <c r="E50" s="1210">
        <f>E49*(C50+1)</f>
        <v>396.48475445586996</v>
      </c>
      <c r="F50" s="389"/>
      <c r="H50" s="445" t="s">
        <v>295</v>
      </c>
      <c r="I50" s="189"/>
      <c r="J50" s="189">
        <v>0.5</v>
      </c>
      <c r="K50" s="190"/>
      <c r="L50" s="23"/>
    </row>
    <row r="51" spans="1:13" thickBot="1" x14ac:dyDescent="0.35">
      <c r="A51" s="51"/>
      <c r="B51" s="1215"/>
      <c r="C51" s="52"/>
      <c r="D51" s="1216"/>
      <c r="E51" s="1217"/>
      <c r="F51" s="389"/>
      <c r="H51" s="445" t="s">
        <v>296</v>
      </c>
      <c r="I51" s="189"/>
      <c r="J51" s="189">
        <v>0.5</v>
      </c>
      <c r="K51" s="190"/>
      <c r="L51" s="23"/>
    </row>
    <row r="52" spans="1:13" ht="14.45" x14ac:dyDescent="0.3">
      <c r="A52" s="23"/>
      <c r="B52" s="23"/>
      <c r="C52" s="23"/>
      <c r="D52" s="23"/>
      <c r="E52" s="23"/>
      <c r="F52" s="281"/>
      <c r="H52" s="448"/>
      <c r="I52" s="162"/>
      <c r="J52" s="162"/>
      <c r="K52" s="455"/>
      <c r="L52" s="23"/>
    </row>
    <row r="53" spans="1:13" ht="14.45" x14ac:dyDescent="0.3">
      <c r="H53" s="448"/>
      <c r="I53" s="162"/>
      <c r="J53" s="449" t="s">
        <v>38</v>
      </c>
      <c r="K53" s="450"/>
      <c r="L53" s="23"/>
    </row>
    <row r="54" spans="1:13" ht="14.45" x14ac:dyDescent="0.3">
      <c r="A54" s="562"/>
      <c r="H54" s="448" t="s">
        <v>22</v>
      </c>
      <c r="I54" s="162"/>
      <c r="J54" s="456">
        <f>[10]Summary!$C$18</f>
        <v>0.23424901786252411</v>
      </c>
      <c r="K54" s="457" t="s">
        <v>68</v>
      </c>
      <c r="L54" s="23"/>
    </row>
    <row r="55" spans="1:13" ht="14.45" x14ac:dyDescent="0.3">
      <c r="A55" s="560"/>
      <c r="B55" s="561"/>
      <c r="H55" s="448"/>
      <c r="I55" s="162"/>
      <c r="J55" s="458"/>
      <c r="K55" s="459"/>
      <c r="L55" s="23"/>
    </row>
    <row r="56" spans="1:13" ht="14.45" x14ac:dyDescent="0.3">
      <c r="A56" s="560"/>
      <c r="B56" s="561"/>
      <c r="H56" s="448" t="s">
        <v>39</v>
      </c>
      <c r="I56" s="162"/>
      <c r="J56" s="460">
        <v>22.87</v>
      </c>
      <c r="K56" s="461"/>
      <c r="L56" s="23"/>
    </row>
    <row r="57" spans="1:13" ht="14.45" x14ac:dyDescent="0.3">
      <c r="A57" s="560"/>
      <c r="B57" s="561"/>
      <c r="H57" s="448" t="s">
        <v>40</v>
      </c>
      <c r="I57" s="162"/>
      <c r="J57" s="460">
        <f>'SpecPgm-1t2 GH (rebased)'!J39</f>
        <v>17.654</v>
      </c>
      <c r="K57" s="461"/>
      <c r="L57" s="23"/>
    </row>
    <row r="58" spans="1:13" ht="14.45" x14ac:dyDescent="0.3">
      <c r="A58" s="560"/>
      <c r="B58" s="561"/>
      <c r="H58" s="448" t="s">
        <v>41</v>
      </c>
      <c r="I58" s="162"/>
      <c r="J58" s="460">
        <v>0.75</v>
      </c>
      <c r="K58" s="461"/>
      <c r="L58" s="23"/>
    </row>
    <row r="59" spans="1:13" ht="14.45" x14ac:dyDescent="0.3">
      <c r="A59" s="560"/>
      <c r="B59" s="561"/>
      <c r="H59" s="448" t="s">
        <v>42</v>
      </c>
      <c r="I59" s="162"/>
      <c r="J59" s="460">
        <f>-1*[11]Sheet1!$F$26</f>
        <v>-1.9951315068493152</v>
      </c>
      <c r="K59" s="461"/>
      <c r="L59" s="23"/>
      <c r="M59" s="23"/>
    </row>
    <row r="60" spans="1:13" ht="14.45" x14ac:dyDescent="0.3">
      <c r="H60" s="462" t="s">
        <v>43</v>
      </c>
      <c r="I60" s="463"/>
      <c r="J60" s="464">
        <f>SUM(J56:J59)</f>
        <v>39.278868493150682</v>
      </c>
      <c r="K60" s="465"/>
      <c r="L60" s="23"/>
      <c r="M60" s="23"/>
    </row>
    <row r="61" spans="1:13" ht="14.45" x14ac:dyDescent="0.3">
      <c r="H61" s="448"/>
      <c r="I61" s="162"/>
      <c r="J61" s="162"/>
      <c r="K61" s="455"/>
      <c r="L61" s="23"/>
      <c r="M61" s="23"/>
    </row>
    <row r="62" spans="1:13" ht="14.45" x14ac:dyDescent="0.3">
      <c r="H62" s="448" t="s">
        <v>44</v>
      </c>
      <c r="I62" s="162"/>
      <c r="J62" s="456">
        <f>'Group Home'!Q55</f>
        <v>0.11846733793705286</v>
      </c>
      <c r="K62" s="457" t="s">
        <v>93</v>
      </c>
      <c r="L62" s="23"/>
      <c r="M62" s="23"/>
    </row>
    <row r="63" spans="1:13" ht="14.45" x14ac:dyDescent="0.3">
      <c r="H63" s="43"/>
      <c r="I63" s="29"/>
      <c r="J63" s="29"/>
      <c r="K63" s="41"/>
      <c r="L63" s="23"/>
      <c r="M63" s="23"/>
    </row>
    <row r="64" spans="1:13" thickBot="1" x14ac:dyDescent="0.35">
      <c r="H64" s="239" t="s">
        <v>824</v>
      </c>
      <c r="I64" s="52"/>
      <c r="J64" s="96">
        <v>2.3900000000000001E-2</v>
      </c>
      <c r="K64" s="143"/>
      <c r="L64" s="23"/>
      <c r="M64" s="23"/>
    </row>
    <row r="65" spans="8:13" ht="14.45" x14ac:dyDescent="0.3">
      <c r="H65" s="63" t="s">
        <v>50</v>
      </c>
      <c r="I65" s="64" t="s">
        <v>46</v>
      </c>
      <c r="J65" s="23"/>
      <c r="K65" s="23"/>
      <c r="L65" s="23"/>
      <c r="M65" s="23"/>
    </row>
    <row r="66" spans="8:13" ht="14.45" x14ac:dyDescent="0.3">
      <c r="H66" s="24" t="s">
        <v>47</v>
      </c>
      <c r="I66" s="23"/>
      <c r="J66" s="23"/>
      <c r="K66" s="23"/>
      <c r="L66" s="23"/>
      <c r="M66" s="23"/>
    </row>
    <row r="67" spans="8:13" ht="14.45" x14ac:dyDescent="0.3">
      <c r="H67" s="23" t="s">
        <v>63</v>
      </c>
      <c r="I67" s="23"/>
      <c r="J67" s="23"/>
      <c r="K67" s="23"/>
      <c r="L67" s="23"/>
      <c r="M67" s="23"/>
    </row>
    <row r="68" spans="8:13" ht="14.45" x14ac:dyDescent="0.3">
      <c r="H68" s="54" t="s">
        <v>48</v>
      </c>
      <c r="I68" s="23"/>
      <c r="J68" s="23"/>
      <c r="K68" s="23"/>
      <c r="L68" s="23"/>
      <c r="M68" s="23"/>
    </row>
    <row r="69" spans="8:13" ht="14.45" x14ac:dyDescent="0.3">
      <c r="H69" s="23"/>
      <c r="I69" s="23"/>
      <c r="J69" s="23"/>
      <c r="K69" s="23"/>
      <c r="L69" s="23"/>
      <c r="M69" s="23"/>
    </row>
    <row r="70" spans="8:13" ht="14.45" x14ac:dyDescent="0.3">
      <c r="H70" s="55" t="s">
        <v>49</v>
      </c>
      <c r="I70" s="23"/>
      <c r="J70" s="23"/>
      <c r="K70" s="23"/>
      <c r="L70" s="23"/>
      <c r="M70" s="23"/>
    </row>
    <row r="71" spans="8:13" ht="14.45" x14ac:dyDescent="0.3">
      <c r="H71" s="23" t="s">
        <v>67</v>
      </c>
      <c r="I71" s="23"/>
      <c r="J71" s="23"/>
      <c r="K71" s="23"/>
      <c r="L71" s="23"/>
      <c r="M71" s="23"/>
    </row>
    <row r="72" spans="8:13" ht="14.45" x14ac:dyDescent="0.3">
      <c r="H72" s="23" t="s">
        <v>83</v>
      </c>
      <c r="I72" s="23"/>
      <c r="J72" s="23"/>
      <c r="K72" s="23"/>
      <c r="L72" s="23"/>
      <c r="M72" s="23"/>
    </row>
    <row r="73" spans="8:13" ht="14.45" x14ac:dyDescent="0.3">
      <c r="H73" s="23" t="s">
        <v>57</v>
      </c>
      <c r="I73" s="23"/>
      <c r="J73" s="23"/>
      <c r="K73" s="23"/>
    </row>
    <row r="74" spans="8:13" ht="14.45" x14ac:dyDescent="0.3">
      <c r="H74" s="100" t="s">
        <v>76</v>
      </c>
      <c r="I74" s="23"/>
      <c r="J74" s="23"/>
      <c r="K74" s="23"/>
    </row>
    <row r="75" spans="8:13" ht="14.45" x14ac:dyDescent="0.3">
      <c r="H75" s="109" t="s">
        <v>87</v>
      </c>
      <c r="I75" s="23"/>
      <c r="J75" s="23"/>
      <c r="K75" s="23"/>
    </row>
    <row r="76" spans="8:13" ht="14.45" x14ac:dyDescent="0.3">
      <c r="H76" s="94" t="s">
        <v>66</v>
      </c>
      <c r="I76" s="23"/>
      <c r="J76" s="23"/>
      <c r="K76" s="23"/>
    </row>
    <row r="77" spans="8:13" x14ac:dyDescent="0.25">
      <c r="H77" s="144" t="s">
        <v>141</v>
      </c>
      <c r="I77" s="23"/>
      <c r="J77" s="23"/>
      <c r="K77" s="23"/>
    </row>
    <row r="78" spans="8:13" ht="14.45" x14ac:dyDescent="0.3">
      <c r="H78" s="94" t="s">
        <v>94</v>
      </c>
      <c r="I78" s="23"/>
      <c r="J78" s="23"/>
      <c r="K78" s="23"/>
    </row>
  </sheetData>
  <mergeCells count="3">
    <mergeCell ref="H2:K2"/>
    <mergeCell ref="I4:J4"/>
    <mergeCell ref="A7:E7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AG159"/>
  <sheetViews>
    <sheetView topLeftCell="A16" zoomScale="83" zoomScaleNormal="83" zoomScalePageLayoutView="70" workbookViewId="0">
      <selection activeCell="G31" sqref="G31"/>
    </sheetView>
  </sheetViews>
  <sheetFormatPr defaultColWidth="9.140625" defaultRowHeight="12.75" x14ac:dyDescent="0.2"/>
  <cols>
    <col min="1" max="1" width="26.7109375" style="23" customWidth="1"/>
    <col min="2" max="2" width="8.7109375" style="23" customWidth="1"/>
    <col min="3" max="3" width="11.7109375" style="23" customWidth="1"/>
    <col min="4" max="4" width="9.7109375" style="23" customWidth="1"/>
    <col min="5" max="6" width="11.7109375" style="23" customWidth="1"/>
    <col min="7" max="7" width="9.7109375" style="23" customWidth="1"/>
    <col min="8" max="8" width="26.7109375" style="23" customWidth="1"/>
    <col min="9" max="9" width="8.7109375" style="23" customWidth="1"/>
    <col min="10" max="10" width="11.7109375" style="23" customWidth="1"/>
    <col min="11" max="11" width="9.7109375" style="23" customWidth="1"/>
    <col min="12" max="12" width="11.7109375" style="23" customWidth="1"/>
    <col min="13" max="13" width="9.7109375" style="23" customWidth="1"/>
    <col min="14" max="14" width="11.7109375" style="23" customWidth="1"/>
    <col min="15" max="15" width="11.7109375" style="281" customWidth="1"/>
    <col min="16" max="16" width="11.7109375" style="23" customWidth="1"/>
    <col min="17" max="17" width="9.7109375" style="23" customWidth="1"/>
    <col min="18" max="18" width="11.7109375" style="23" customWidth="1"/>
    <col min="19" max="19" width="9.7109375" style="23" customWidth="1"/>
    <col min="20" max="20" width="11.7109375" style="23" customWidth="1"/>
    <col min="21" max="21" width="9.7109375" style="23" customWidth="1"/>
    <col min="22" max="22" width="11.7109375" style="23" customWidth="1"/>
    <col min="23" max="23" width="9.7109375" style="23" customWidth="1"/>
    <col min="24" max="24" width="11.7109375" style="23" customWidth="1"/>
    <col min="25" max="25" width="9.7109375" style="23" customWidth="1"/>
    <col min="26" max="26" width="11.7109375" style="23" customWidth="1"/>
    <col min="27" max="29" width="11.7109375" style="162" customWidth="1"/>
    <col min="30" max="30" width="9.140625" style="23"/>
    <col min="31" max="31" width="31.85546875" style="23" bestFit="1" customWidth="1"/>
    <col min="32" max="34" width="10.140625" style="23" customWidth="1"/>
    <col min="35" max="35" width="5" style="23" customWidth="1"/>
    <col min="36" max="16384" width="9.140625" style="23"/>
  </cols>
  <sheetData>
    <row r="1" spans="1:29" ht="13.9" thickBot="1" x14ac:dyDescent="0.3">
      <c r="D1" s="28"/>
      <c r="E1" s="28"/>
      <c r="G1" s="162"/>
      <c r="P1" s="162"/>
      <c r="Q1" s="1431" t="s">
        <v>8</v>
      </c>
      <c r="R1" s="1431"/>
      <c r="S1" s="1431"/>
      <c r="T1" s="1431"/>
      <c r="AA1" s="23"/>
      <c r="AB1" s="23"/>
      <c r="AC1" s="23"/>
    </row>
    <row r="2" spans="1:29" ht="13.9" thickBot="1" x14ac:dyDescent="0.3">
      <c r="D2" s="177"/>
      <c r="E2" s="71"/>
      <c r="G2" s="162"/>
      <c r="K2" s="177"/>
      <c r="M2" s="177"/>
      <c r="P2" s="162"/>
      <c r="AA2" s="23"/>
      <c r="AB2" s="23"/>
      <c r="AC2" s="23"/>
    </row>
    <row r="3" spans="1:29" ht="13.15" x14ac:dyDescent="0.25">
      <c r="G3" s="162"/>
      <c r="P3" s="162"/>
      <c r="Q3" s="5" t="s">
        <v>9</v>
      </c>
      <c r="R3" s="1432" t="s">
        <v>10</v>
      </c>
      <c r="S3" s="1432"/>
      <c r="T3" s="6"/>
      <c r="U3" s="24"/>
      <c r="V3" s="24"/>
      <c r="AA3" s="23"/>
      <c r="AB3" s="23"/>
      <c r="AC3" s="23"/>
    </row>
    <row r="4" spans="1:29" x14ac:dyDescent="0.2">
      <c r="A4" s="1520" t="s">
        <v>335</v>
      </c>
      <c r="B4" s="1520"/>
      <c r="C4" s="1520"/>
      <c r="D4" s="1520"/>
      <c r="E4" s="1520"/>
      <c r="F4" s="1433" t="s">
        <v>490</v>
      </c>
      <c r="G4" s="162"/>
      <c r="H4" s="1535" t="s">
        <v>335</v>
      </c>
      <c r="I4" s="1536"/>
      <c r="J4" s="1536"/>
      <c r="K4" s="1536"/>
      <c r="L4" s="1537"/>
      <c r="M4" s="1540" t="s">
        <v>503</v>
      </c>
      <c r="N4" s="1541"/>
      <c r="O4" s="635"/>
      <c r="P4" s="162"/>
      <c r="Q4" s="7"/>
      <c r="R4" s="8" t="s">
        <v>11</v>
      </c>
      <c r="S4" s="9" t="s">
        <v>12</v>
      </c>
      <c r="T4" s="10"/>
      <c r="U4" s="24"/>
      <c r="V4" s="24"/>
      <c r="AA4" s="23"/>
      <c r="AB4" s="23"/>
      <c r="AC4" s="23"/>
    </row>
    <row r="5" spans="1:29" ht="14.45" customHeight="1" thickBot="1" x14ac:dyDescent="0.25">
      <c r="A5" s="1530"/>
      <c r="B5" s="1530"/>
      <c r="C5" s="1530"/>
      <c r="D5" s="1530"/>
      <c r="E5" s="1530"/>
      <c r="F5" s="1469"/>
      <c r="H5" s="1538"/>
      <c r="I5" s="1530"/>
      <c r="J5" s="1530"/>
      <c r="K5" s="1530"/>
      <c r="L5" s="1539"/>
      <c r="M5" s="1542"/>
      <c r="N5" s="1543"/>
      <c r="P5" s="515"/>
      <c r="Q5" s="11" t="s">
        <v>13</v>
      </c>
      <c r="R5" s="12">
        <v>13</v>
      </c>
      <c r="S5" s="13">
        <f>R5*8</f>
        <v>104</v>
      </c>
      <c r="T5" s="10"/>
      <c r="U5" s="24"/>
      <c r="V5" s="24"/>
      <c r="AA5" s="23"/>
      <c r="AB5" s="23"/>
      <c r="AC5" s="23"/>
    </row>
    <row r="6" spans="1:29" ht="13.15" customHeight="1" x14ac:dyDescent="0.25">
      <c r="A6" s="25" t="s">
        <v>0</v>
      </c>
      <c r="B6" s="69">
        <f>S$25</f>
        <v>9</v>
      </c>
      <c r="C6" s="25"/>
      <c r="D6" s="25" t="s">
        <v>1</v>
      </c>
      <c r="E6" s="68">
        <f>B6*365</f>
        <v>3285</v>
      </c>
      <c r="F6" s="407"/>
      <c r="H6" s="512" t="s">
        <v>0</v>
      </c>
      <c r="I6" s="566">
        <v>9</v>
      </c>
      <c r="J6" s="120"/>
      <c r="K6" s="120" t="s">
        <v>1</v>
      </c>
      <c r="L6" s="429">
        <f>I6*365</f>
        <v>3285</v>
      </c>
      <c r="M6" s="717" t="s">
        <v>1</v>
      </c>
      <c r="N6" s="718">
        <f>I6*365</f>
        <v>3285</v>
      </c>
      <c r="O6" s="636"/>
      <c r="P6" s="515"/>
      <c r="Q6" s="11" t="s">
        <v>14</v>
      </c>
      <c r="R6" s="12">
        <v>10</v>
      </c>
      <c r="S6" s="13">
        <f>R6*8</f>
        <v>80</v>
      </c>
      <c r="T6" s="10"/>
      <c r="U6" s="24"/>
      <c r="V6" s="24"/>
      <c r="AA6" s="23"/>
      <c r="AB6" s="23"/>
      <c r="AC6" s="23"/>
    </row>
    <row r="7" spans="1:29" ht="15" customHeight="1" x14ac:dyDescent="0.25">
      <c r="F7" s="407"/>
      <c r="H7" s="131"/>
      <c r="I7" s="29"/>
      <c r="J7" s="29"/>
      <c r="K7" s="29"/>
      <c r="L7" s="130"/>
      <c r="M7" s="719"/>
      <c r="N7" s="720"/>
      <c r="O7" s="636"/>
      <c r="P7" s="515"/>
      <c r="Q7" s="11" t="s">
        <v>15</v>
      </c>
      <c r="R7" s="12">
        <v>11</v>
      </c>
      <c r="S7" s="13">
        <f>R7*8</f>
        <v>88</v>
      </c>
      <c r="T7" s="10"/>
      <c r="U7" s="24"/>
      <c r="V7" s="24"/>
      <c r="AA7" s="23"/>
      <c r="AB7" s="23"/>
      <c r="AC7" s="23"/>
    </row>
    <row r="8" spans="1:29" ht="13.15" x14ac:dyDescent="0.25">
      <c r="A8" s="26"/>
      <c r="B8" s="26"/>
      <c r="C8" s="27" t="s">
        <v>2</v>
      </c>
      <c r="D8" s="27" t="s">
        <v>3</v>
      </c>
      <c r="E8" s="27" t="s">
        <v>4</v>
      </c>
      <c r="F8" s="407"/>
      <c r="H8" s="567"/>
      <c r="I8" s="26"/>
      <c r="J8" s="27" t="s">
        <v>2</v>
      </c>
      <c r="K8" s="580" t="s">
        <v>3</v>
      </c>
      <c r="L8" s="399" t="s">
        <v>4</v>
      </c>
      <c r="M8" s="721" t="s">
        <v>3</v>
      </c>
      <c r="N8" s="722" t="s">
        <v>4</v>
      </c>
      <c r="O8" s="637"/>
      <c r="P8" s="162"/>
      <c r="Q8" s="14" t="s">
        <v>16</v>
      </c>
      <c r="R8" s="15">
        <v>7</v>
      </c>
      <c r="S8" s="16">
        <f>R8*8</f>
        <v>56</v>
      </c>
      <c r="T8" s="17"/>
      <c r="U8" s="24"/>
      <c r="V8" s="24"/>
      <c r="AA8" s="23"/>
      <c r="AB8" s="23"/>
      <c r="AC8" s="23"/>
    </row>
    <row r="9" spans="1:29" ht="13.15" x14ac:dyDescent="0.25">
      <c r="A9" s="1" t="s">
        <v>19</v>
      </c>
      <c r="C9" s="30">
        <f>S13</f>
        <v>52305.406251052875</v>
      </c>
      <c r="D9" s="35">
        <f>S26</f>
        <v>1</v>
      </c>
      <c r="E9" s="28">
        <f>C9*D9</f>
        <v>52305.406251052875</v>
      </c>
      <c r="F9" s="407"/>
      <c r="H9" s="568" t="s">
        <v>19</v>
      </c>
      <c r="I9" s="29"/>
      <c r="J9" s="40">
        <f>S13</f>
        <v>52305.406251052875</v>
      </c>
      <c r="K9" s="674">
        <f>S26</f>
        <v>1</v>
      </c>
      <c r="L9" s="400">
        <f>J9*K9</f>
        <v>52305.406251052875</v>
      </c>
      <c r="M9" s="723">
        <f>K9</f>
        <v>1</v>
      </c>
      <c r="N9" s="724">
        <f>J9*M9</f>
        <v>52305.406251052875</v>
      </c>
      <c r="O9" s="638"/>
      <c r="P9" s="162"/>
      <c r="Q9" s="11"/>
      <c r="R9" s="18" t="s">
        <v>17</v>
      </c>
      <c r="S9" s="13">
        <f>SUM(S5:S8)</f>
        <v>328</v>
      </c>
      <c r="T9" s="19"/>
      <c r="U9" s="24"/>
      <c r="V9" s="24"/>
      <c r="AA9" s="23"/>
      <c r="AB9" s="23"/>
      <c r="AC9" s="23"/>
    </row>
    <row r="10" spans="1:29" ht="13.9" thickBot="1" x14ac:dyDescent="0.3">
      <c r="A10" s="2" t="s">
        <v>227</v>
      </c>
      <c r="C10" s="30"/>
      <c r="D10" s="35"/>
      <c r="E10" s="28"/>
      <c r="F10" s="407"/>
      <c r="H10" s="569" t="s">
        <v>227</v>
      </c>
      <c r="I10" s="29"/>
      <c r="J10" s="40"/>
      <c r="K10" s="46"/>
      <c r="L10" s="400"/>
      <c r="M10" s="725"/>
      <c r="N10" s="724"/>
      <c r="O10" s="675"/>
      <c r="P10" s="335"/>
      <c r="Q10" s="20"/>
      <c r="R10" s="21" t="s">
        <v>18</v>
      </c>
      <c r="S10" s="22">
        <f>S9/(52*40)</f>
        <v>0.15769230769230769</v>
      </c>
      <c r="T10" s="56"/>
      <c r="AA10" s="23"/>
      <c r="AB10" s="23"/>
      <c r="AC10" s="23"/>
    </row>
    <row r="11" spans="1:29" ht="13.9" thickBot="1" x14ac:dyDescent="0.3">
      <c r="A11" s="3" t="s">
        <v>24</v>
      </c>
      <c r="C11" s="30">
        <f>S15</f>
        <v>64673.926018287602</v>
      </c>
      <c r="D11" s="283">
        <f>S28</f>
        <v>1</v>
      </c>
      <c r="E11" s="28">
        <f>C11*D11</f>
        <v>64673.926018287602</v>
      </c>
      <c r="F11" s="407"/>
      <c r="H11" s="570" t="s">
        <v>24</v>
      </c>
      <c r="I11" s="29"/>
      <c r="J11" s="40">
        <f t="shared" ref="J11:J18" si="0">S15</f>
        <v>64673.926018287602</v>
      </c>
      <c r="K11" s="195">
        <f>S28</f>
        <v>1</v>
      </c>
      <c r="L11" s="400">
        <f>J11*K11</f>
        <v>64673.926018287602</v>
      </c>
      <c r="M11" s="725">
        <f>K11</f>
        <v>1</v>
      </c>
      <c r="N11" s="724">
        <f>J11*M11</f>
        <v>64673.926018287602</v>
      </c>
      <c r="O11" s="639"/>
      <c r="P11" s="513"/>
      <c r="AA11" s="23"/>
      <c r="AB11" s="23"/>
      <c r="AC11" s="23"/>
    </row>
    <row r="12" spans="1:29" ht="13.15" x14ac:dyDescent="0.25">
      <c r="A12" s="3" t="s">
        <v>164</v>
      </c>
      <c r="C12" s="30">
        <f>S16</f>
        <v>48830</v>
      </c>
      <c r="D12" s="283">
        <f>S29</f>
        <v>1</v>
      </c>
      <c r="E12" s="28">
        <f>C12*D12</f>
        <v>48830</v>
      </c>
      <c r="F12" s="407"/>
      <c r="H12" s="570" t="s">
        <v>164</v>
      </c>
      <c r="I12" s="29"/>
      <c r="J12" s="40">
        <f t="shared" si="0"/>
        <v>48830</v>
      </c>
      <c r="K12" s="195">
        <f>S29</f>
        <v>1</v>
      </c>
      <c r="L12" s="400">
        <f>J12*K12</f>
        <v>48830</v>
      </c>
      <c r="M12" s="744">
        <v>4.2</v>
      </c>
      <c r="N12" s="724">
        <f>J12*M12</f>
        <v>205086</v>
      </c>
      <c r="O12" s="639"/>
      <c r="P12" s="513"/>
      <c r="Q12" s="36"/>
      <c r="R12" s="37"/>
      <c r="S12" s="38" t="s">
        <v>75</v>
      </c>
      <c r="T12" s="147"/>
      <c r="AA12" s="23"/>
      <c r="AB12" s="23"/>
      <c r="AC12" s="23"/>
    </row>
    <row r="13" spans="1:29" ht="13.15" x14ac:dyDescent="0.25">
      <c r="A13" s="2" t="s">
        <v>5</v>
      </c>
      <c r="C13" s="30"/>
      <c r="D13" s="283"/>
      <c r="E13" s="28"/>
      <c r="F13" s="407"/>
      <c r="H13" s="569" t="s">
        <v>5</v>
      </c>
      <c r="I13" s="29"/>
      <c r="J13" s="40">
        <f t="shared" si="0"/>
        <v>0</v>
      </c>
      <c r="K13" s="46"/>
      <c r="L13" s="400"/>
      <c r="M13" s="725"/>
      <c r="N13" s="724"/>
      <c r="O13" s="639"/>
      <c r="P13" s="513"/>
      <c r="Q13" s="7" t="s">
        <v>19</v>
      </c>
      <c r="R13" s="29"/>
      <c r="S13" s="40">
        <f>'Group Home'!Q13</f>
        <v>52305.406251052875</v>
      </c>
      <c r="T13" s="117"/>
      <c r="AA13" s="23"/>
      <c r="AB13" s="23"/>
      <c r="AC13" s="23"/>
    </row>
    <row r="14" spans="1:29" ht="13.15" x14ac:dyDescent="0.25">
      <c r="A14" s="3" t="s">
        <v>59</v>
      </c>
      <c r="C14" s="30">
        <f>S18</f>
        <v>42189.221412467887</v>
      </c>
      <c r="D14" s="283">
        <f>S31</f>
        <v>0.75</v>
      </c>
      <c r="E14" s="28">
        <f>C14*D14</f>
        <v>31641.916059350915</v>
      </c>
      <c r="F14" s="407"/>
      <c r="H14" s="570" t="s">
        <v>59</v>
      </c>
      <c r="I14" s="29"/>
      <c r="J14" s="40">
        <f t="shared" si="0"/>
        <v>42189.221412467887</v>
      </c>
      <c r="K14" s="46">
        <f>S31</f>
        <v>0.75</v>
      </c>
      <c r="L14" s="400">
        <f>J14*K14</f>
        <v>31641.916059350915</v>
      </c>
      <c r="M14" s="725">
        <f>K14</f>
        <v>0.75</v>
      </c>
      <c r="N14" s="724">
        <f>J14*M14</f>
        <v>31641.916059350915</v>
      </c>
      <c r="O14" s="639"/>
      <c r="P14" s="513"/>
      <c r="Q14" s="7" t="s">
        <v>227</v>
      </c>
      <c r="R14" s="29"/>
      <c r="S14" s="40"/>
      <c r="T14" s="117"/>
      <c r="AA14" s="23"/>
      <c r="AB14" s="23"/>
      <c r="AC14" s="23"/>
    </row>
    <row r="15" spans="1:29" ht="13.15" x14ac:dyDescent="0.25">
      <c r="A15" s="3" t="s">
        <v>30</v>
      </c>
      <c r="C15" s="30">
        <f>S19</f>
        <v>28500</v>
      </c>
      <c r="D15" s="283">
        <f>S32</f>
        <v>8.5</v>
      </c>
      <c r="E15" s="28">
        <f>C15*D15</f>
        <v>242250</v>
      </c>
      <c r="F15" s="407"/>
      <c r="H15" s="570" t="s">
        <v>30</v>
      </c>
      <c r="I15" s="29"/>
      <c r="J15" s="40">
        <f t="shared" si="0"/>
        <v>28500</v>
      </c>
      <c r="K15" s="549">
        <f>H149</f>
        <v>18.2</v>
      </c>
      <c r="L15" s="400">
        <f>J15*K15</f>
        <v>518700</v>
      </c>
      <c r="M15" s="725">
        <f>K15</f>
        <v>18.2</v>
      </c>
      <c r="N15" s="724">
        <f>J15*M15</f>
        <v>518700</v>
      </c>
      <c r="O15" s="639"/>
      <c r="P15" s="513"/>
      <c r="Q15" s="11" t="s">
        <v>24</v>
      </c>
      <c r="R15" s="29"/>
      <c r="S15" s="40">
        <f>'Group Home'!Q16</f>
        <v>64673.926018287602</v>
      </c>
      <c r="T15" s="118" t="s">
        <v>69</v>
      </c>
      <c r="AA15" s="23"/>
      <c r="AB15" s="23"/>
      <c r="AC15" s="23"/>
    </row>
    <row r="16" spans="1:29" ht="13.15" x14ac:dyDescent="0.25">
      <c r="A16" s="4" t="s">
        <v>31</v>
      </c>
      <c r="C16" s="30">
        <f>S20</f>
        <v>28500</v>
      </c>
      <c r="D16" s="283">
        <f>S33</f>
        <v>1.3403846153846153</v>
      </c>
      <c r="E16" s="28">
        <f>C16*D16</f>
        <v>38200.961538461539</v>
      </c>
      <c r="F16" s="407"/>
      <c r="H16" s="571" t="s">
        <v>31</v>
      </c>
      <c r="I16" s="29"/>
      <c r="J16" s="40">
        <f t="shared" si="0"/>
        <v>28500</v>
      </c>
      <c r="K16" s="548">
        <f>K15*S10</f>
        <v>2.8699999999999997</v>
      </c>
      <c r="L16" s="400">
        <f>J16*K16</f>
        <v>81794.999999999985</v>
      </c>
      <c r="M16" s="725">
        <f>K16</f>
        <v>2.8699999999999997</v>
      </c>
      <c r="N16" s="724">
        <f>J16*M16</f>
        <v>81794.999999999985</v>
      </c>
      <c r="O16" s="639"/>
      <c r="P16" s="513"/>
      <c r="Q16" s="11" t="s">
        <v>164</v>
      </c>
      <c r="R16" s="29"/>
      <c r="S16" s="40">
        <f>'[15]Sunshine Haven'!$J$15</f>
        <v>48830</v>
      </c>
      <c r="T16" s="118" t="s">
        <v>165</v>
      </c>
      <c r="AA16" s="23"/>
      <c r="AB16" s="23"/>
      <c r="AC16" s="23"/>
    </row>
    <row r="17" spans="1:29" ht="13.15" x14ac:dyDescent="0.25">
      <c r="A17" s="2" t="s">
        <v>6</v>
      </c>
      <c r="C17" s="30"/>
      <c r="D17" s="35"/>
      <c r="E17" s="28"/>
      <c r="F17" s="407"/>
      <c r="H17" s="569" t="s">
        <v>6</v>
      </c>
      <c r="I17" s="29"/>
      <c r="J17" s="40"/>
      <c r="K17" s="46"/>
      <c r="L17" s="400"/>
      <c r="M17" s="726"/>
      <c r="N17" s="724"/>
      <c r="O17" s="513"/>
      <c r="Q17" s="7" t="s">
        <v>5</v>
      </c>
      <c r="R17" s="29"/>
      <c r="S17" s="40"/>
      <c r="T17" s="118"/>
      <c r="AA17" s="23"/>
      <c r="AB17" s="23"/>
      <c r="AC17" s="23"/>
    </row>
    <row r="18" spans="1:29" ht="13.15" x14ac:dyDescent="0.25">
      <c r="A18" s="3" t="s">
        <v>32</v>
      </c>
      <c r="C18" s="30">
        <f>S22</f>
        <v>28500</v>
      </c>
      <c r="D18" s="35">
        <f>S35</f>
        <v>0.5</v>
      </c>
      <c r="E18" s="28">
        <f>C18*D18</f>
        <v>14250</v>
      </c>
      <c r="F18" s="407"/>
      <c r="H18" s="570" t="s">
        <v>32</v>
      </c>
      <c r="I18" s="29"/>
      <c r="J18" s="40">
        <f t="shared" si="0"/>
        <v>28500</v>
      </c>
      <c r="K18" s="46">
        <f>S35</f>
        <v>0.5</v>
      </c>
      <c r="L18" s="400">
        <f>J18*K18</f>
        <v>14250</v>
      </c>
      <c r="M18" s="727">
        <f>K18</f>
        <v>0.5</v>
      </c>
      <c r="N18" s="724">
        <f>J18*M18</f>
        <v>14250</v>
      </c>
      <c r="O18" s="639"/>
      <c r="P18" s="513"/>
      <c r="Q18" s="11" t="s">
        <v>59</v>
      </c>
      <c r="R18" s="29"/>
      <c r="S18" s="40">
        <f>'Group Home'!Q21</f>
        <v>42189.221412467887</v>
      </c>
      <c r="T18" s="118"/>
      <c r="AA18" s="23"/>
      <c r="AB18" s="23"/>
      <c r="AC18" s="23"/>
    </row>
    <row r="19" spans="1:29" ht="13.15" x14ac:dyDescent="0.25">
      <c r="A19" s="31" t="s">
        <v>7</v>
      </c>
      <c r="B19" s="31"/>
      <c r="C19" s="31"/>
      <c r="D19" s="32">
        <f>SUM(D9:D18)</f>
        <v>14.090384615384615</v>
      </c>
      <c r="E19" s="33">
        <f>SUM(E9:E18)</f>
        <v>492152.20986715291</v>
      </c>
      <c r="F19" s="407"/>
      <c r="H19" s="572" t="s">
        <v>7</v>
      </c>
      <c r="I19" s="31"/>
      <c r="J19" s="31"/>
      <c r="K19" s="32">
        <f>SUM(K9:K18)</f>
        <v>25.32</v>
      </c>
      <c r="L19" s="401">
        <f>SUM(L9:L18)</f>
        <v>812196.24832869135</v>
      </c>
      <c r="M19" s="728">
        <f>SUM(M9:M18)</f>
        <v>28.52</v>
      </c>
      <c r="N19" s="729">
        <f>SUM(N9:N18)</f>
        <v>968452.24832869135</v>
      </c>
      <c r="O19" s="639"/>
      <c r="P19" s="513"/>
      <c r="Q19" s="11" t="s">
        <v>30</v>
      </c>
      <c r="R19" s="29"/>
      <c r="S19" s="40">
        <f>'Group Home'!Q23</f>
        <v>28500</v>
      </c>
      <c r="T19" s="118"/>
      <c r="AA19" s="23"/>
      <c r="AB19" s="23"/>
      <c r="AC19" s="23"/>
    </row>
    <row r="20" spans="1:29" ht="13.15" x14ac:dyDescent="0.25">
      <c r="F20" s="407"/>
      <c r="H20" s="131"/>
      <c r="I20" s="29"/>
      <c r="J20" s="29"/>
      <c r="K20" s="29"/>
      <c r="L20" s="130"/>
      <c r="M20" s="719"/>
      <c r="N20" s="720"/>
      <c r="O20" s="639"/>
      <c r="P20" s="513"/>
      <c r="Q20" s="42" t="s">
        <v>31</v>
      </c>
      <c r="R20" s="29"/>
      <c r="S20" s="40">
        <f>S19</f>
        <v>28500</v>
      </c>
      <c r="T20" s="118"/>
      <c r="AA20" s="23"/>
      <c r="AB20" s="23"/>
      <c r="AC20" s="23"/>
    </row>
    <row r="21" spans="1:29" ht="13.15" x14ac:dyDescent="0.25">
      <c r="A21" s="25" t="s">
        <v>21</v>
      </c>
      <c r="D21" s="25" t="s">
        <v>20</v>
      </c>
      <c r="F21" s="407"/>
      <c r="H21" s="512" t="s">
        <v>21</v>
      </c>
      <c r="I21" s="29"/>
      <c r="J21" s="29"/>
      <c r="K21" s="120" t="s">
        <v>20</v>
      </c>
      <c r="L21" s="130"/>
      <c r="M21" s="717" t="s">
        <v>20</v>
      </c>
      <c r="N21" s="720"/>
      <c r="O21" s="640"/>
      <c r="P21" s="393"/>
      <c r="Q21" s="7" t="s">
        <v>6</v>
      </c>
      <c r="R21" s="29"/>
      <c r="S21" s="40"/>
      <c r="T21" s="118"/>
      <c r="AA21" s="23"/>
      <c r="AB21" s="23"/>
      <c r="AC21" s="23"/>
    </row>
    <row r="22" spans="1:29" ht="13.15" x14ac:dyDescent="0.25">
      <c r="A22" s="23" t="s">
        <v>22</v>
      </c>
      <c r="C22" s="97">
        <f>$S$38</f>
        <v>0.23424901786252411</v>
      </c>
      <c r="E22" s="28">
        <f>C22*E19</f>
        <v>115286.17180025141</v>
      </c>
      <c r="F22" s="407"/>
      <c r="H22" s="131" t="s">
        <v>22</v>
      </c>
      <c r="I22" s="29"/>
      <c r="J22" s="573">
        <f>$S$38</f>
        <v>0.23424901786252411</v>
      </c>
      <c r="K22" s="29"/>
      <c r="L22" s="400">
        <f>J22*L19</f>
        <v>190256.17348262269</v>
      </c>
      <c r="M22" s="719"/>
      <c r="N22" s="724">
        <f>N19*J22</f>
        <v>226858.98801774925</v>
      </c>
      <c r="O22" s="638"/>
      <c r="P22" s="162"/>
      <c r="Q22" s="11" t="s">
        <v>166</v>
      </c>
      <c r="R22" s="29"/>
      <c r="S22" s="40">
        <f>'Group Home'!Q26</f>
        <v>28500</v>
      </c>
      <c r="T22" s="118" t="s">
        <v>70</v>
      </c>
      <c r="AA22" s="23"/>
      <c r="AB22" s="23"/>
      <c r="AC22" s="23"/>
    </row>
    <row r="23" spans="1:29" ht="13.15" x14ac:dyDescent="0.25">
      <c r="A23" s="31" t="s">
        <v>51</v>
      </c>
      <c r="B23" s="31"/>
      <c r="C23" s="31"/>
      <c r="D23" s="70">
        <f>E23/E6</f>
        <v>184.91274936602872</v>
      </c>
      <c r="E23" s="33">
        <f>E22+E19</f>
        <v>607438.38166740432</v>
      </c>
      <c r="F23" s="407"/>
      <c r="H23" s="572" t="s">
        <v>51</v>
      </c>
      <c r="I23" s="31"/>
      <c r="J23" s="31"/>
      <c r="K23" s="70">
        <f>L23/L6</f>
        <v>305.16055458487489</v>
      </c>
      <c r="L23" s="401">
        <f>L22+L19</f>
        <v>1002452.4218113141</v>
      </c>
      <c r="M23" s="730">
        <f>N23/N6</f>
        <v>363.86947833986017</v>
      </c>
      <c r="N23" s="729">
        <f>N22+N19</f>
        <v>1195311.2363464406</v>
      </c>
      <c r="O23" s="638"/>
      <c r="P23" s="162"/>
      <c r="Q23" s="11"/>
      <c r="R23" s="29"/>
      <c r="S23" s="40"/>
      <c r="T23" s="117"/>
      <c r="AA23" s="23"/>
      <c r="AB23" s="23"/>
      <c r="AC23" s="23"/>
    </row>
    <row r="24" spans="1:29" ht="13.15" x14ac:dyDescent="0.25">
      <c r="F24" s="407"/>
      <c r="H24" s="131"/>
      <c r="I24" s="29"/>
      <c r="J24" s="29"/>
      <c r="K24" s="29"/>
      <c r="L24" s="130"/>
      <c r="M24" s="719"/>
      <c r="N24" s="720"/>
      <c r="O24" s="639"/>
      <c r="P24" s="395"/>
      <c r="Q24" s="43"/>
      <c r="R24" s="29"/>
      <c r="S24" s="44" t="s">
        <v>37</v>
      </c>
      <c r="T24" s="137"/>
      <c r="AA24" s="23"/>
      <c r="AB24" s="23"/>
      <c r="AC24" s="23"/>
    </row>
    <row r="25" spans="1:29" ht="13.15" x14ac:dyDescent="0.25">
      <c r="F25" s="407"/>
      <c r="H25" s="131"/>
      <c r="I25" s="29"/>
      <c r="J25" s="29"/>
      <c r="K25" s="29"/>
      <c r="L25" s="130"/>
      <c r="M25" s="719"/>
      <c r="N25" s="720"/>
      <c r="O25" s="640"/>
      <c r="P25" s="516"/>
      <c r="Q25" s="43" t="s">
        <v>36</v>
      </c>
      <c r="R25" s="34"/>
      <c r="S25" s="57">
        <f>'[15]Sunshine Haven'!$J$25</f>
        <v>9</v>
      </c>
      <c r="T25" s="67"/>
      <c r="AA25" s="23"/>
      <c r="AB25" s="23"/>
      <c r="AC25" s="23"/>
    </row>
    <row r="26" spans="1:29" ht="13.15" x14ac:dyDescent="0.25">
      <c r="A26" s="23" t="s">
        <v>39</v>
      </c>
      <c r="D26" s="71">
        <f>$S$40</f>
        <v>28.019373776908022</v>
      </c>
      <c r="E26" s="105">
        <f>D26*(365*(4+4))</f>
        <v>81816.57142857142</v>
      </c>
      <c r="F26" s="407"/>
      <c r="H26" s="131" t="s">
        <v>39</v>
      </c>
      <c r="I26" s="29"/>
      <c r="J26" s="29"/>
      <c r="K26" s="61">
        <f>$S$40</f>
        <v>28.019373776908022</v>
      </c>
      <c r="L26" s="402">
        <f>K26*(365*(4+4))</f>
        <v>81816.57142857142</v>
      </c>
      <c r="M26" s="731">
        <f>$S$40</f>
        <v>28.019373776908022</v>
      </c>
      <c r="N26" s="732">
        <f>M26*(365*(4+4))</f>
        <v>81816.57142857142</v>
      </c>
      <c r="O26" s="638"/>
      <c r="P26" s="162"/>
      <c r="Q26" s="7" t="s">
        <v>19</v>
      </c>
      <c r="S26" s="148">
        <f>'[15]Sunshine Haven'!$J27</f>
        <v>1</v>
      </c>
      <c r="T26" s="149"/>
      <c r="AA26" s="23"/>
      <c r="AB26" s="23"/>
      <c r="AC26" s="23"/>
    </row>
    <row r="27" spans="1:29" ht="13.15" x14ac:dyDescent="0.25">
      <c r="A27" s="29" t="s">
        <v>40</v>
      </c>
      <c r="D27" s="71">
        <f>$S$41</f>
        <v>16.648815707573558</v>
      </c>
      <c r="E27" s="105">
        <f>D27*E6</f>
        <v>54691.359599379139</v>
      </c>
      <c r="F27" s="407"/>
      <c r="H27" s="131" t="s">
        <v>40</v>
      </c>
      <c r="I27" s="29"/>
      <c r="J27" s="29"/>
      <c r="K27" s="61">
        <f>$S$41</f>
        <v>16.648815707573558</v>
      </c>
      <c r="L27" s="402">
        <f>K27*L6</f>
        <v>54691.359599379139</v>
      </c>
      <c r="M27" s="731">
        <f>$S$41</f>
        <v>16.648815707573558</v>
      </c>
      <c r="N27" s="732">
        <f>M27*N6</f>
        <v>54691.359599379139</v>
      </c>
      <c r="O27" s="638"/>
      <c r="P27" s="162"/>
      <c r="Q27" s="7" t="s">
        <v>227</v>
      </c>
      <c r="S27" s="148"/>
      <c r="T27" s="149"/>
      <c r="AA27" s="23"/>
      <c r="AB27" s="23"/>
      <c r="AC27" s="23"/>
    </row>
    <row r="28" spans="1:29" ht="13.15" x14ac:dyDescent="0.25">
      <c r="A28" s="29" t="s">
        <v>42</v>
      </c>
      <c r="D28" s="71">
        <f>$S$42</f>
        <v>-1.9951315068493152</v>
      </c>
      <c r="E28" s="105">
        <f>D28*E6</f>
        <v>-6554.0070000000005</v>
      </c>
      <c r="F28" s="407"/>
      <c r="H28" s="131" t="s">
        <v>42</v>
      </c>
      <c r="I28" s="29"/>
      <c r="J28" s="29"/>
      <c r="K28" s="61">
        <f>$S$42</f>
        <v>-1.9951315068493152</v>
      </c>
      <c r="L28" s="402">
        <f>K28*L6</f>
        <v>-6554.0070000000005</v>
      </c>
      <c r="M28" s="731">
        <f>$S$42</f>
        <v>-1.9951315068493152</v>
      </c>
      <c r="N28" s="732">
        <f>M28*N6</f>
        <v>-6554.0070000000005</v>
      </c>
      <c r="O28" s="641"/>
      <c r="P28" s="395"/>
      <c r="Q28" s="11" t="s">
        <v>24</v>
      </c>
      <c r="S28" s="148">
        <f>'[15]Sunshine Haven'!$J29</f>
        <v>1</v>
      </c>
      <c r="T28" s="149"/>
      <c r="W28" s="177"/>
      <c r="X28" s="177"/>
      <c r="Y28" s="177"/>
      <c r="Z28" s="177"/>
      <c r="AA28" s="177"/>
      <c r="AB28" s="177"/>
      <c r="AC28" s="177"/>
    </row>
    <row r="29" spans="1:29" ht="13.15" x14ac:dyDescent="0.25">
      <c r="D29" s="72">
        <f>SUM(D26:D28)</f>
        <v>42.673057977632268</v>
      </c>
      <c r="F29" s="407"/>
      <c r="H29" s="131"/>
      <c r="I29" s="29"/>
      <c r="J29" s="29"/>
      <c r="K29" s="72">
        <f>SUM(K26:K28)</f>
        <v>42.673057977632268</v>
      </c>
      <c r="L29" s="130"/>
      <c r="M29" s="733">
        <f>SUM(M26:M28)</f>
        <v>42.673057977632268</v>
      </c>
      <c r="N29" s="720"/>
      <c r="O29" s="641"/>
      <c r="P29" s="395"/>
      <c r="Q29" s="11" t="s">
        <v>164</v>
      </c>
      <c r="S29" s="148">
        <f>'[15]Sunshine Haven'!$J30</f>
        <v>1</v>
      </c>
      <c r="T29" s="149"/>
      <c r="V29" s="177"/>
      <c r="AA29" s="23"/>
      <c r="AB29" s="23"/>
      <c r="AC29" s="23"/>
    </row>
    <row r="30" spans="1:29" ht="13.15" x14ac:dyDescent="0.25">
      <c r="F30" s="407"/>
      <c r="H30" s="131"/>
      <c r="I30" s="29"/>
      <c r="J30" s="29"/>
      <c r="K30" s="29"/>
      <c r="L30" s="130"/>
      <c r="M30" s="719"/>
      <c r="N30" s="720"/>
      <c r="O30" s="641"/>
      <c r="P30" s="395"/>
      <c r="Q30" s="7" t="s">
        <v>5</v>
      </c>
      <c r="S30" s="148"/>
      <c r="T30" s="149"/>
      <c r="V30" s="177"/>
      <c r="AA30" s="23"/>
      <c r="AB30" s="23"/>
      <c r="AC30" s="23"/>
    </row>
    <row r="31" spans="1:29" ht="13.15" x14ac:dyDescent="0.25">
      <c r="A31" s="31" t="s">
        <v>43</v>
      </c>
      <c r="B31" s="31"/>
      <c r="C31" s="31"/>
      <c r="D31" s="31"/>
      <c r="E31" s="33">
        <f>SUM(E23:E28)</f>
        <v>737392.30569535494</v>
      </c>
      <c r="F31" s="407"/>
      <c r="H31" s="572" t="s">
        <v>43</v>
      </c>
      <c r="I31" s="31"/>
      <c r="J31" s="31"/>
      <c r="K31" s="31"/>
      <c r="L31" s="401">
        <f>SUM(L23:L28)</f>
        <v>1132406.3458392646</v>
      </c>
      <c r="M31" s="734"/>
      <c r="N31" s="729">
        <f>SUM(N23:N28)</f>
        <v>1325265.1603743911</v>
      </c>
      <c r="O31" s="638"/>
      <c r="P31" s="162"/>
      <c r="Q31" s="11" t="s">
        <v>59</v>
      </c>
      <c r="R31" s="29"/>
      <c r="S31" s="148">
        <f>'[15]Sunshine Haven'!$J32</f>
        <v>0.75</v>
      </c>
      <c r="T31" s="149"/>
      <c r="V31" s="177"/>
      <c r="AA31" s="23"/>
      <c r="AB31" s="23"/>
      <c r="AC31" s="23"/>
    </row>
    <row r="32" spans="1:29" ht="13.15" x14ac:dyDescent="0.25">
      <c r="F32" s="407"/>
      <c r="H32" s="131"/>
      <c r="I32" s="29"/>
      <c r="J32" s="29"/>
      <c r="K32" s="29"/>
      <c r="L32" s="130"/>
      <c r="M32" s="719"/>
      <c r="N32" s="720"/>
      <c r="O32" s="638"/>
      <c r="P32" s="162"/>
      <c r="Q32" s="11" t="s">
        <v>30</v>
      </c>
      <c r="S32" s="148">
        <v>8.5</v>
      </c>
      <c r="T32" s="149"/>
      <c r="AA32" s="23"/>
      <c r="AB32" s="23"/>
      <c r="AC32" s="23"/>
    </row>
    <row r="33" spans="1:29" ht="13.15" x14ac:dyDescent="0.25">
      <c r="A33" s="23" t="s">
        <v>44</v>
      </c>
      <c r="C33" s="97">
        <f>$S$45</f>
        <v>0.11846733793705286</v>
      </c>
      <c r="E33" s="28">
        <f>C33*E31</f>
        <v>87356.903470994206</v>
      </c>
      <c r="F33" s="407"/>
      <c r="H33" s="131" t="s">
        <v>44</v>
      </c>
      <c r="I33" s="29"/>
      <c r="J33" s="573">
        <f>$S$45</f>
        <v>0.11846733793705286</v>
      </c>
      <c r="K33" s="29"/>
      <c r="L33" s="400">
        <f>J33*L31</f>
        <v>134153.16525460331</v>
      </c>
      <c r="M33" s="719"/>
      <c r="N33" s="724">
        <f>N31*J33</f>
        <v>157000.63561027555</v>
      </c>
      <c r="O33" s="640"/>
      <c r="P33" s="516"/>
      <c r="Q33" s="42" t="s">
        <v>31</v>
      </c>
      <c r="S33" s="471">
        <f>S32*S10</f>
        <v>1.3403846153846153</v>
      </c>
      <c r="T33" s="111"/>
      <c r="AA33" s="23"/>
      <c r="AB33" s="23"/>
      <c r="AC33" s="23"/>
    </row>
    <row r="34" spans="1:29" ht="13.15" x14ac:dyDescent="0.25">
      <c r="F34" s="407"/>
      <c r="H34" s="131"/>
      <c r="I34" s="29"/>
      <c r="J34" s="29"/>
      <c r="K34" s="29"/>
      <c r="L34" s="130"/>
      <c r="M34" s="719"/>
      <c r="N34" s="720"/>
      <c r="O34" s="638"/>
      <c r="P34" s="162"/>
      <c r="Q34" s="7" t="s">
        <v>6</v>
      </c>
      <c r="S34" s="148"/>
      <c r="T34" s="149"/>
      <c r="Y34" s="177"/>
      <c r="AA34" s="23"/>
      <c r="AB34" s="23"/>
      <c r="AC34" s="23"/>
    </row>
    <row r="35" spans="1:29" ht="13.9" thickBot="1" x14ac:dyDescent="0.3">
      <c r="A35" s="73" t="s">
        <v>52</v>
      </c>
      <c r="B35" s="74"/>
      <c r="C35" s="74"/>
      <c r="D35" s="74"/>
      <c r="E35" s="75">
        <f>SUM(E31:E33)</f>
        <v>824749.20916634914</v>
      </c>
      <c r="F35" s="407"/>
      <c r="H35" s="574" t="s">
        <v>52</v>
      </c>
      <c r="I35" s="74"/>
      <c r="J35" s="74"/>
      <c r="K35" s="74"/>
      <c r="L35" s="403">
        <f>SUM(L31:L33)</f>
        <v>1266559.5110938679</v>
      </c>
      <c r="M35" s="735"/>
      <c r="N35" s="736">
        <f>SUM(N31:N33)</f>
        <v>1482265.7959846668</v>
      </c>
      <c r="O35" s="639"/>
      <c r="P35" s="395"/>
      <c r="Q35" s="11" t="s">
        <v>166</v>
      </c>
      <c r="S35" s="148">
        <f>'[15]Sunshine Haven'!$J36</f>
        <v>0.5</v>
      </c>
      <c r="T35" s="149"/>
      <c r="AA35" s="23"/>
      <c r="AB35" s="23"/>
      <c r="AC35" s="23"/>
    </row>
    <row r="36" spans="1:29" ht="13.9" thickTop="1" x14ac:dyDescent="0.25">
      <c r="F36" s="407"/>
      <c r="H36" s="131"/>
      <c r="I36" s="29"/>
      <c r="J36" s="29"/>
      <c r="K36" s="29"/>
      <c r="L36" s="130"/>
      <c r="M36" s="719"/>
      <c r="N36" s="720"/>
      <c r="O36" s="638"/>
      <c r="P36" s="162"/>
      <c r="Q36" s="43"/>
      <c r="R36" s="29"/>
      <c r="S36" s="29"/>
      <c r="T36" s="41"/>
      <c r="AA36" s="23"/>
      <c r="AB36" s="23"/>
      <c r="AC36" s="23"/>
    </row>
    <row r="37" spans="1:29" ht="13.15" x14ac:dyDescent="0.25">
      <c r="A37" s="23" t="s">
        <v>53</v>
      </c>
      <c r="C37" s="98">
        <f>$S$47</f>
        <v>5.3904190379097106E-2</v>
      </c>
      <c r="E37" s="77">
        <f>E35*(1+C37)</f>
        <v>869206.64755226183</v>
      </c>
      <c r="F37" s="407"/>
      <c r="H37" s="131" t="s">
        <v>53</v>
      </c>
      <c r="I37" s="29"/>
      <c r="J37" s="575">
        <f>$S$47</f>
        <v>5.3904190379097106E-2</v>
      </c>
      <c r="K37" s="29"/>
      <c r="L37" s="404">
        <f>L35*(1+J37)</f>
        <v>1334832.3761063279</v>
      </c>
      <c r="M37" s="719"/>
      <c r="N37" s="737">
        <f>N35*(1+J37)</f>
        <v>1562166.1336438481</v>
      </c>
      <c r="O37" s="640"/>
      <c r="P37" s="516"/>
      <c r="Q37" s="43"/>
      <c r="R37" s="29"/>
      <c r="S37" s="44" t="s">
        <v>167</v>
      </c>
      <c r="T37" s="137"/>
      <c r="AA37" s="23"/>
      <c r="AB37" s="23"/>
      <c r="AC37" s="23"/>
    </row>
    <row r="38" spans="1:29" ht="13.15" x14ac:dyDescent="0.25">
      <c r="F38" s="407"/>
      <c r="H38" s="131"/>
      <c r="I38" s="29"/>
      <c r="J38" s="29"/>
      <c r="K38" s="29"/>
      <c r="L38" s="130"/>
      <c r="M38" s="719"/>
      <c r="N38" s="720"/>
      <c r="O38" s="638"/>
      <c r="P38" s="162"/>
      <c r="Q38" s="43" t="s">
        <v>22</v>
      </c>
      <c r="R38" s="29"/>
      <c r="S38" s="95">
        <f>'Group Home'!Q47</f>
        <v>0.23424901786252411</v>
      </c>
      <c r="T38" s="138"/>
      <c r="AA38" s="23"/>
      <c r="AB38" s="23"/>
      <c r="AC38" s="23"/>
    </row>
    <row r="39" spans="1:29" ht="13.15" x14ac:dyDescent="0.25">
      <c r="E39" s="92" t="s">
        <v>56</v>
      </c>
      <c r="F39" s="407"/>
      <c r="H39" s="131"/>
      <c r="I39" s="29"/>
      <c r="J39" s="29"/>
      <c r="K39" s="29"/>
      <c r="L39" s="405" t="s">
        <v>56</v>
      </c>
      <c r="M39" s="719"/>
      <c r="N39" s="738" t="s">
        <v>56</v>
      </c>
      <c r="O39" s="642"/>
      <c r="P39" s="395"/>
      <c r="Q39" s="43"/>
      <c r="R39" s="29"/>
      <c r="S39" s="48"/>
      <c r="T39" s="139"/>
      <c r="AA39" s="23"/>
      <c r="AB39" s="23"/>
      <c r="AC39" s="23"/>
    </row>
    <row r="40" spans="1:29" x14ac:dyDescent="0.2">
      <c r="A40" s="23" t="s">
        <v>55</v>
      </c>
      <c r="D40" s="76">
        <f>E35/E6</f>
        <v>251.06520826981708</v>
      </c>
      <c r="E40" s="76">
        <f>D40*(1+C37)</f>
        <v>264.59867505396096</v>
      </c>
      <c r="F40" s="407"/>
      <c r="H40" s="131" t="s">
        <v>55</v>
      </c>
      <c r="I40" s="29"/>
      <c r="J40" s="29"/>
      <c r="K40" s="428">
        <f>L35/L6</f>
        <v>385.55845086571321</v>
      </c>
      <c r="L40" s="406">
        <f>K40*(1+J37)</f>
        <v>406.34166700344838</v>
      </c>
      <c r="M40" s="739"/>
      <c r="N40" s="740">
        <f>N37/N6</f>
        <v>475.54524616251086</v>
      </c>
      <c r="O40" s="638"/>
      <c r="P40" s="162"/>
      <c r="Q40" s="43" t="s">
        <v>39</v>
      </c>
      <c r="R40" s="29"/>
      <c r="S40" s="59">
        <f>'[15]Sunshine Haven'!$J$42</f>
        <v>28.019373776908022</v>
      </c>
      <c r="T40" s="146" t="s">
        <v>139</v>
      </c>
      <c r="U40" s="115"/>
      <c r="AA40" s="23"/>
      <c r="AB40" s="23"/>
      <c r="AC40" s="23"/>
    </row>
    <row r="41" spans="1:29" ht="13.9" thickBot="1" x14ac:dyDescent="0.3">
      <c r="A41" s="377" t="s">
        <v>455</v>
      </c>
      <c r="B41" s="378"/>
      <c r="C41" s="379">
        <f>'CAF Spring 2015'!BC24</f>
        <v>2.0354406130268236E-2</v>
      </c>
      <c r="D41" s="380"/>
      <c r="E41" s="380"/>
      <c r="F41" s="386">
        <f>E40*(1+C41)</f>
        <v>269.98442394754017</v>
      </c>
      <c r="H41" s="576" t="s">
        <v>455</v>
      </c>
      <c r="I41" s="577"/>
      <c r="J41" s="578">
        <f>'CAF Spring 2015'!BC24</f>
        <v>2.0354406130268236E-2</v>
      </c>
      <c r="K41" s="579"/>
      <c r="L41" s="565">
        <f>L40*(1+J41)</f>
        <v>414.61251032128678</v>
      </c>
      <c r="M41" s="481"/>
      <c r="N41" s="741">
        <f>N40*(1+J41)</f>
        <v>485.22468723622103</v>
      </c>
      <c r="O41" s="643"/>
      <c r="P41" s="397"/>
      <c r="Q41" s="43" t="s">
        <v>40</v>
      </c>
      <c r="R41" s="29"/>
      <c r="S41" s="59">
        <f>'Group Home'!Q50</f>
        <v>16.648815707573558</v>
      </c>
      <c r="T41" s="141"/>
      <c r="AA41" s="23"/>
      <c r="AB41" s="23"/>
      <c r="AC41" s="23"/>
    </row>
    <row r="42" spans="1:29" ht="13.9" thickBot="1" x14ac:dyDescent="0.3">
      <c r="A42" s="78" t="s">
        <v>54</v>
      </c>
      <c r="B42" s="79">
        <v>0.9</v>
      </c>
      <c r="C42" s="80"/>
      <c r="D42" s="86">
        <f>E35/(E6*B42)</f>
        <v>278.96134252201898</v>
      </c>
      <c r="E42" s="384">
        <f>D42*(1+C37)</f>
        <v>293.9985278377344</v>
      </c>
      <c r="F42" s="517">
        <f>$F$41/B42</f>
        <v>299.9826932750446</v>
      </c>
      <c r="H42" s="78" t="s">
        <v>54</v>
      </c>
      <c r="I42" s="79">
        <v>0.9</v>
      </c>
      <c r="J42" s="80"/>
      <c r="K42" s="86"/>
      <c r="L42" s="656">
        <f>L41/I42</f>
        <v>460.68056702365197</v>
      </c>
      <c r="M42" s="742"/>
      <c r="N42" s="743">
        <f>N41/I42</f>
        <v>539.13854137357896</v>
      </c>
      <c r="O42" s="613"/>
      <c r="P42" s="394"/>
      <c r="Q42" s="43" t="s">
        <v>42</v>
      </c>
      <c r="R42" s="29"/>
      <c r="S42" s="59">
        <f>'Group Home'!Q52</f>
        <v>-1.9951315068493152</v>
      </c>
      <c r="T42" s="141"/>
      <c r="AA42" s="23"/>
      <c r="AB42" s="23"/>
      <c r="AC42" s="23"/>
    </row>
    <row r="43" spans="1:29" ht="13.15" x14ac:dyDescent="0.25">
      <c r="A43" s="81"/>
      <c r="B43" s="82">
        <v>0.85</v>
      </c>
      <c r="C43" s="83"/>
      <c r="D43" s="88">
        <f>E35/(E6*B43)</f>
        <v>295.37083325860834</v>
      </c>
      <c r="E43" s="88">
        <f>D43*(1+C37)</f>
        <v>311.29255888701289</v>
      </c>
      <c r="F43" s="386"/>
      <c r="H43" s="81"/>
      <c r="I43" s="82">
        <v>0.85</v>
      </c>
      <c r="J43" s="83"/>
      <c r="K43" s="88"/>
      <c r="L43" s="626"/>
      <c r="M43" s="614"/>
      <c r="N43" s="615"/>
      <c r="O43" s="613"/>
      <c r="P43" s="398"/>
      <c r="Q43" s="101" t="s">
        <v>43</v>
      </c>
      <c r="R43" s="102"/>
      <c r="S43" s="103">
        <f>SUM(S40:S42)</f>
        <v>42.673057977632268</v>
      </c>
      <c r="T43" s="142"/>
      <c r="AA43" s="23"/>
      <c r="AB43" s="23"/>
      <c r="AC43" s="23"/>
    </row>
    <row r="44" spans="1:29" ht="13.15" x14ac:dyDescent="0.25">
      <c r="A44" s="84"/>
      <c r="B44" s="85">
        <v>0.8</v>
      </c>
      <c r="C44" s="34"/>
      <c r="D44" s="90">
        <f>E35/(E6*B44)</f>
        <v>313.83151033727137</v>
      </c>
      <c r="E44" s="90">
        <f>D44*(1+C37)</f>
        <v>330.7483438174512</v>
      </c>
      <c r="F44" s="387"/>
      <c r="H44" s="84"/>
      <c r="I44" s="85">
        <v>0.8</v>
      </c>
      <c r="J44" s="34"/>
      <c r="K44" s="90"/>
      <c r="L44" s="627"/>
      <c r="M44" s="616"/>
      <c r="N44" s="617"/>
      <c r="O44" s="614"/>
      <c r="P44" s="398"/>
      <c r="Q44" s="43"/>
      <c r="R44" s="29"/>
      <c r="S44" s="29"/>
      <c r="T44" s="41"/>
      <c r="AA44" s="23"/>
      <c r="AB44" s="23"/>
      <c r="AC44" s="23"/>
    </row>
    <row r="45" spans="1:29" ht="13.15" x14ac:dyDescent="0.25">
      <c r="O45" s="614"/>
      <c r="P45" s="398"/>
      <c r="Q45" s="43" t="s">
        <v>44</v>
      </c>
      <c r="R45" s="29"/>
      <c r="S45" s="95">
        <f>'Group Home'!Q55</f>
        <v>0.11846733793705286</v>
      </c>
      <c r="T45" s="138"/>
      <c r="AA45" s="23"/>
      <c r="AB45" s="23"/>
      <c r="AC45" s="23"/>
    </row>
    <row r="46" spans="1:29" ht="13.15" x14ac:dyDescent="0.25">
      <c r="G46" s="506"/>
      <c r="O46" s="614"/>
      <c r="P46" s="398"/>
      <c r="Q46" s="43"/>
      <c r="R46" s="29"/>
      <c r="S46" s="29"/>
      <c r="T46" s="41"/>
      <c r="X46" s="484"/>
      <c r="AA46" s="23"/>
      <c r="AB46" s="23"/>
      <c r="AC46" s="23"/>
    </row>
    <row r="47" spans="1:29" ht="13.5" thickBot="1" x14ac:dyDescent="0.25">
      <c r="G47" s="515"/>
      <c r="H47" s="1535" t="s">
        <v>335</v>
      </c>
      <c r="I47" s="1536"/>
      <c r="J47" s="1536"/>
      <c r="K47" s="1536"/>
      <c r="L47" s="1537"/>
      <c r="M47" s="1540" t="s">
        <v>503</v>
      </c>
      <c r="N47" s="1541"/>
      <c r="P47" s="162"/>
      <c r="Q47" s="51" t="s">
        <v>45</v>
      </c>
      <c r="R47" s="52"/>
      <c r="S47" s="96">
        <f>'[12]Spring 2011 CPI'!$J$28</f>
        <v>5.3904190379097106E-2</v>
      </c>
      <c r="T47" s="156" t="s">
        <v>145</v>
      </c>
      <c r="AA47" s="23"/>
      <c r="AB47" s="23"/>
      <c r="AC47" s="23"/>
    </row>
    <row r="48" spans="1:29" ht="14.45" customHeight="1" thickBot="1" x14ac:dyDescent="0.25">
      <c r="G48" s="515"/>
      <c r="H48" s="1538"/>
      <c r="I48" s="1530"/>
      <c r="J48" s="1530"/>
      <c r="K48" s="1530"/>
      <c r="L48" s="1539"/>
      <c r="M48" s="1542"/>
      <c r="N48" s="1543"/>
      <c r="P48" s="162"/>
      <c r="Q48" s="29"/>
      <c r="R48" s="29"/>
      <c r="S48" s="519"/>
      <c r="T48" s="520"/>
      <c r="AA48" s="23"/>
      <c r="AB48" s="23"/>
      <c r="AC48" s="23"/>
    </row>
    <row r="49" spans="7:33" ht="13.15" x14ac:dyDescent="0.25">
      <c r="G49" s="162"/>
      <c r="H49" s="512" t="s">
        <v>0</v>
      </c>
      <c r="I49" s="566">
        <v>12</v>
      </c>
      <c r="J49" s="120"/>
      <c r="K49" s="120" t="s">
        <v>1</v>
      </c>
      <c r="L49" s="429">
        <f>I49*365</f>
        <v>4380</v>
      </c>
      <c r="M49" s="717" t="s">
        <v>1</v>
      </c>
      <c r="N49" s="718">
        <f>I49*365</f>
        <v>4380</v>
      </c>
    </row>
    <row r="50" spans="7:33" ht="13.15" x14ac:dyDescent="0.25">
      <c r="G50" s="162"/>
      <c r="H50" s="131"/>
      <c r="I50" s="29"/>
      <c r="J50" s="29"/>
      <c r="K50" s="29"/>
      <c r="L50" s="130"/>
      <c r="M50" s="719"/>
      <c r="N50" s="720"/>
    </row>
    <row r="51" spans="7:33" ht="13.15" x14ac:dyDescent="0.25">
      <c r="G51" s="335"/>
      <c r="H51" s="567"/>
      <c r="I51" s="26"/>
      <c r="J51" s="27" t="s">
        <v>2</v>
      </c>
      <c r="K51" s="580" t="s">
        <v>3</v>
      </c>
      <c r="L51" s="399" t="s">
        <v>4</v>
      </c>
      <c r="M51" s="721" t="s">
        <v>3</v>
      </c>
      <c r="N51" s="722" t="s">
        <v>4</v>
      </c>
      <c r="AA51" s="23"/>
      <c r="AB51" s="23"/>
      <c r="AC51" s="23"/>
    </row>
    <row r="52" spans="7:33" ht="13.15" x14ac:dyDescent="0.25">
      <c r="G52" s="513"/>
      <c r="H52" s="568" t="s">
        <v>19</v>
      </c>
      <c r="I52" s="29"/>
      <c r="J52" s="40">
        <f>S13</f>
        <v>52305.406251052875</v>
      </c>
      <c r="K52" s="548">
        <v>1.75</v>
      </c>
      <c r="L52" s="400">
        <f>J52*K52</f>
        <v>91534.460939342534</v>
      </c>
      <c r="M52" s="723">
        <v>1.75</v>
      </c>
      <c r="N52" s="724">
        <f>J52*M52</f>
        <v>91534.460939342534</v>
      </c>
    </row>
    <row r="53" spans="7:33" ht="13.15" x14ac:dyDescent="0.25">
      <c r="G53" s="513"/>
      <c r="H53" s="569" t="s">
        <v>227</v>
      </c>
      <c r="I53" s="29"/>
      <c r="J53" s="40"/>
      <c r="K53" s="46"/>
      <c r="L53" s="400"/>
      <c r="M53" s="725"/>
      <c r="N53" s="724"/>
    </row>
    <row r="54" spans="7:33" ht="13.15" x14ac:dyDescent="0.25">
      <c r="G54" s="513"/>
      <c r="H54" s="570" t="s">
        <v>24</v>
      </c>
      <c r="I54" s="29"/>
      <c r="J54" s="40">
        <f>S15</f>
        <v>64673.926018287602</v>
      </c>
      <c r="K54" s="548">
        <f>S28*(12/9)</f>
        <v>1.3333333333333333</v>
      </c>
      <c r="L54" s="400">
        <f>J54*K54</f>
        <v>86231.901357716793</v>
      </c>
      <c r="M54" s="725">
        <f>K54</f>
        <v>1.3333333333333333</v>
      </c>
      <c r="N54" s="724">
        <f>J54*M54</f>
        <v>86231.901357716793</v>
      </c>
    </row>
    <row r="55" spans="7:33" ht="13.15" x14ac:dyDescent="0.25">
      <c r="G55" s="513"/>
      <c r="H55" s="570" t="s">
        <v>164</v>
      </c>
      <c r="I55" s="29"/>
      <c r="J55" s="40">
        <f>S16</f>
        <v>48830</v>
      </c>
      <c r="K55" s="548">
        <f>S28*(12/9)</f>
        <v>1.3333333333333333</v>
      </c>
      <c r="L55" s="400">
        <f>J55*K55</f>
        <v>65106.666666666664</v>
      </c>
      <c r="M55" s="744">
        <v>4.2</v>
      </c>
      <c r="N55" s="724">
        <f>J55*M55</f>
        <v>205086</v>
      </c>
      <c r="O55" s="284"/>
    </row>
    <row r="56" spans="7:33" ht="13.15" x14ac:dyDescent="0.25">
      <c r="G56" s="513"/>
      <c r="H56" s="569" t="s">
        <v>5</v>
      </c>
      <c r="I56" s="29"/>
      <c r="J56" s="40"/>
      <c r="K56" s="46"/>
      <c r="L56" s="400"/>
      <c r="M56" s="725"/>
      <c r="N56" s="724"/>
    </row>
    <row r="57" spans="7:33" ht="13.15" x14ac:dyDescent="0.25">
      <c r="G57" s="513"/>
      <c r="H57" s="570" t="s">
        <v>59</v>
      </c>
      <c r="I57" s="29"/>
      <c r="J57" s="40">
        <f>S18</f>
        <v>42189.221412467887</v>
      </c>
      <c r="K57" s="46">
        <f>S31</f>
        <v>0.75</v>
      </c>
      <c r="L57" s="400">
        <f>J57*K57</f>
        <v>31641.916059350915</v>
      </c>
      <c r="M57" s="725">
        <f>K57</f>
        <v>0.75</v>
      </c>
      <c r="N57" s="724">
        <f>J57*M57</f>
        <v>31641.916059350915</v>
      </c>
    </row>
    <row r="58" spans="7:33" ht="13.15" x14ac:dyDescent="0.25">
      <c r="G58" s="513"/>
      <c r="H58" s="570" t="s">
        <v>30</v>
      </c>
      <c r="I58" s="29"/>
      <c r="J58" s="40">
        <f>S19</f>
        <v>28500</v>
      </c>
      <c r="K58" s="549">
        <f>H140</f>
        <v>22.4</v>
      </c>
      <c r="L58" s="400">
        <f>J58*K58</f>
        <v>638400</v>
      </c>
      <c r="M58" s="725">
        <f>K58</f>
        <v>22.4</v>
      </c>
      <c r="N58" s="724">
        <f>J58*M58</f>
        <v>638400</v>
      </c>
    </row>
    <row r="59" spans="7:33" ht="13.15" x14ac:dyDescent="0.25">
      <c r="G59" s="513"/>
      <c r="H59" s="571" t="s">
        <v>31</v>
      </c>
      <c r="I59" s="29"/>
      <c r="J59" s="40">
        <f>S20</f>
        <v>28500</v>
      </c>
      <c r="K59" s="548">
        <f>K58*S10</f>
        <v>3.5323076923076919</v>
      </c>
      <c r="L59" s="400">
        <f>J59*K59</f>
        <v>100670.76923076922</v>
      </c>
      <c r="M59" s="725">
        <f>K59</f>
        <v>3.5323076923076919</v>
      </c>
      <c r="N59" s="724">
        <f>J59*M59</f>
        <v>100670.76923076922</v>
      </c>
      <c r="AG59" s="177"/>
    </row>
    <row r="60" spans="7:33" ht="13.15" x14ac:dyDescent="0.25">
      <c r="G60" s="513"/>
      <c r="H60" s="569" t="s">
        <v>6</v>
      </c>
      <c r="I60" s="29"/>
      <c r="J60" s="40"/>
      <c r="K60" s="46"/>
      <c r="L60" s="400"/>
      <c r="M60" s="726"/>
      <c r="N60" s="724"/>
      <c r="AG60" s="177"/>
    </row>
    <row r="61" spans="7:33" ht="13.15" x14ac:dyDescent="0.25">
      <c r="G61" s="513"/>
      <c r="H61" s="570" t="s">
        <v>32</v>
      </c>
      <c r="I61" s="29"/>
      <c r="J61" s="40">
        <f>S22</f>
        <v>28500</v>
      </c>
      <c r="K61" s="46">
        <f>S35</f>
        <v>0.5</v>
      </c>
      <c r="L61" s="400">
        <f>J61*K61</f>
        <v>14250</v>
      </c>
      <c r="M61" s="727">
        <f>K61</f>
        <v>0.5</v>
      </c>
      <c r="N61" s="724">
        <f>J61*M61</f>
        <v>14250</v>
      </c>
    </row>
    <row r="62" spans="7:33" ht="13.15" x14ac:dyDescent="0.25">
      <c r="G62" s="393"/>
      <c r="H62" s="572" t="s">
        <v>7</v>
      </c>
      <c r="I62" s="31"/>
      <c r="J62" s="31"/>
      <c r="K62" s="32">
        <f>SUM(K52:K61)</f>
        <v>31.598974358974356</v>
      </c>
      <c r="L62" s="401">
        <f>SUM(L52:L61)</f>
        <v>1027835.7142538461</v>
      </c>
      <c r="M62" s="728">
        <f>SUM(M52:M61)</f>
        <v>34.46564102564102</v>
      </c>
      <c r="N62" s="729">
        <f>SUM(N52:N61)</f>
        <v>1167815.0475871793</v>
      </c>
      <c r="O62" s="284"/>
    </row>
    <row r="63" spans="7:33" ht="13.15" x14ac:dyDescent="0.25">
      <c r="G63" s="162"/>
      <c r="H63" s="131"/>
      <c r="I63" s="29"/>
      <c r="J63" s="29"/>
      <c r="K63" s="29"/>
      <c r="L63" s="130"/>
      <c r="M63" s="719"/>
      <c r="N63" s="720"/>
    </row>
    <row r="64" spans="7:33" ht="13.15" x14ac:dyDescent="0.25">
      <c r="G64" s="162"/>
      <c r="H64" s="512" t="s">
        <v>21</v>
      </c>
      <c r="I64" s="29"/>
      <c r="J64" s="29"/>
      <c r="K64" s="120" t="s">
        <v>20</v>
      </c>
      <c r="L64" s="130"/>
      <c r="M64" s="717" t="s">
        <v>20</v>
      </c>
      <c r="N64" s="720"/>
    </row>
    <row r="65" spans="7:14" ht="13.15" x14ac:dyDescent="0.25">
      <c r="G65" s="395"/>
      <c r="H65" s="131" t="s">
        <v>22</v>
      </c>
      <c r="I65" s="29"/>
      <c r="J65" s="573">
        <f>$S$38</f>
        <v>0.23424901786252411</v>
      </c>
      <c r="K65" s="29"/>
      <c r="L65" s="400">
        <f>J65*L62</f>
        <v>240769.50658798942</v>
      </c>
      <c r="M65" s="719"/>
      <c r="N65" s="724">
        <f>N62*J65</f>
        <v>273559.52794237359</v>
      </c>
    </row>
    <row r="66" spans="7:14" ht="13.15" x14ac:dyDescent="0.25">
      <c r="G66" s="516"/>
      <c r="H66" s="572" t="s">
        <v>51</v>
      </c>
      <c r="I66" s="31"/>
      <c r="J66" s="31"/>
      <c r="K66" s="70">
        <f>L66/L49</f>
        <v>289.63589516936884</v>
      </c>
      <c r="L66" s="401">
        <f>L65+L62</f>
        <v>1268605.2208418355</v>
      </c>
      <c r="M66" s="730">
        <f>N66/N49</f>
        <v>329.08095331724957</v>
      </c>
      <c r="N66" s="729">
        <f>N65+N62</f>
        <v>1441374.575529553</v>
      </c>
    </row>
    <row r="67" spans="7:14" ht="13.15" x14ac:dyDescent="0.25">
      <c r="G67" s="162"/>
      <c r="H67" s="131"/>
      <c r="I67" s="29"/>
      <c r="J67" s="29"/>
      <c r="K67" s="29"/>
      <c r="L67" s="130"/>
      <c r="M67" s="719"/>
      <c r="N67" s="720"/>
    </row>
    <row r="68" spans="7:14" ht="13.15" x14ac:dyDescent="0.25">
      <c r="G68" s="162"/>
      <c r="H68" s="131"/>
      <c r="I68" s="29"/>
      <c r="J68" s="29"/>
      <c r="K68" s="29"/>
      <c r="L68" s="130"/>
      <c r="M68" s="719"/>
      <c r="N68" s="720"/>
    </row>
    <row r="69" spans="7:14" ht="13.15" x14ac:dyDescent="0.25">
      <c r="G69" s="395"/>
      <c r="H69" s="131" t="s">
        <v>39</v>
      </c>
      <c r="I69" s="29"/>
      <c r="J69" s="29"/>
      <c r="K69" s="61">
        <f>$S$40</f>
        <v>28.019373776908022</v>
      </c>
      <c r="L69" s="402">
        <f>K69*(365*(4+4))</f>
        <v>81816.57142857142</v>
      </c>
      <c r="M69" s="731">
        <f>$S$40</f>
        <v>28.019373776908022</v>
      </c>
      <c r="N69" s="732">
        <f>M69*(365*(4+4))</f>
        <v>81816.57142857142</v>
      </c>
    </row>
    <row r="70" spans="7:14" ht="13.15" x14ac:dyDescent="0.25">
      <c r="G70" s="395"/>
      <c r="H70" s="131" t="s">
        <v>40</v>
      </c>
      <c r="I70" s="29"/>
      <c r="J70" s="29"/>
      <c r="K70" s="61">
        <f>$S$41</f>
        <v>16.648815707573558</v>
      </c>
      <c r="L70" s="402">
        <f>K70*L49</f>
        <v>72921.812799172185</v>
      </c>
      <c r="M70" s="731">
        <f>$S$41</f>
        <v>16.648815707573558</v>
      </c>
      <c r="N70" s="732">
        <f>M70*N49</f>
        <v>72921.812799172185</v>
      </c>
    </row>
    <row r="71" spans="7:14" ht="13.15" x14ac:dyDescent="0.25">
      <c r="G71" s="395"/>
      <c r="H71" s="131" t="s">
        <v>42</v>
      </c>
      <c r="I71" s="29"/>
      <c r="J71" s="29"/>
      <c r="K71" s="61">
        <f>$S$42</f>
        <v>-1.9951315068493152</v>
      </c>
      <c r="L71" s="402">
        <f>K71*L49</f>
        <v>-8738.6760000000013</v>
      </c>
      <c r="M71" s="731">
        <f>$S$42</f>
        <v>-1.9951315068493152</v>
      </c>
      <c r="N71" s="732">
        <f>M71*N49</f>
        <v>-8738.6760000000013</v>
      </c>
    </row>
    <row r="72" spans="7:14" ht="13.15" x14ac:dyDescent="0.25">
      <c r="G72" s="162"/>
      <c r="H72" s="131"/>
      <c r="I72" s="29"/>
      <c r="J72" s="29"/>
      <c r="K72" s="72">
        <f>SUM(K69:K71)</f>
        <v>42.673057977632268</v>
      </c>
      <c r="L72" s="130"/>
      <c r="M72" s="733">
        <f>SUM(M69:M71)</f>
        <v>42.673057977632268</v>
      </c>
      <c r="N72" s="720"/>
    </row>
    <row r="73" spans="7:14" ht="13.15" x14ac:dyDescent="0.25">
      <c r="G73" s="162"/>
      <c r="H73" s="131"/>
      <c r="I73" s="29"/>
      <c r="J73" s="29"/>
      <c r="K73" s="29"/>
      <c r="L73" s="130"/>
      <c r="M73" s="719"/>
      <c r="N73" s="720"/>
    </row>
    <row r="74" spans="7:14" ht="13.15" x14ac:dyDescent="0.25">
      <c r="G74" s="516"/>
      <c r="H74" s="572" t="s">
        <v>43</v>
      </c>
      <c r="I74" s="31"/>
      <c r="J74" s="31"/>
      <c r="K74" s="31"/>
      <c r="L74" s="401">
        <f>SUM(L66:L71)</f>
        <v>1414604.9290695791</v>
      </c>
      <c r="M74" s="734"/>
      <c r="N74" s="729">
        <f>SUM(N66:N71)</f>
        <v>1587374.2837572966</v>
      </c>
    </row>
    <row r="75" spans="7:14" ht="13.15" x14ac:dyDescent="0.25">
      <c r="G75" s="162"/>
      <c r="H75" s="131"/>
      <c r="I75" s="29"/>
      <c r="J75" s="29"/>
      <c r="K75" s="29"/>
      <c r="L75" s="130"/>
      <c r="M75" s="719"/>
      <c r="N75" s="720"/>
    </row>
    <row r="76" spans="7:14" ht="13.15" x14ac:dyDescent="0.25">
      <c r="G76" s="395"/>
      <c r="H76" s="131" t="s">
        <v>44</v>
      </c>
      <c r="I76" s="29"/>
      <c r="J76" s="573">
        <f>$S$45</f>
        <v>0.11846733793705286</v>
      </c>
      <c r="K76" s="29"/>
      <c r="L76" s="400">
        <f>J76*L74</f>
        <v>167584.48017950653</v>
      </c>
      <c r="M76" s="719"/>
      <c r="N76" s="724">
        <f>N74*J76</f>
        <v>188052.00570646289</v>
      </c>
    </row>
    <row r="77" spans="7:14" ht="13.15" x14ac:dyDescent="0.25">
      <c r="G77" s="162"/>
      <c r="H77" s="131"/>
      <c r="I77" s="29"/>
      <c r="J77" s="29"/>
      <c r="K77" s="29"/>
      <c r="L77" s="130"/>
      <c r="M77" s="719"/>
      <c r="N77" s="720"/>
    </row>
    <row r="78" spans="7:14" ht="13.9" thickBot="1" x14ac:dyDescent="0.3">
      <c r="G78" s="516"/>
      <c r="H78" s="574" t="s">
        <v>52</v>
      </c>
      <c r="I78" s="74"/>
      <c r="J78" s="74"/>
      <c r="K78" s="74"/>
      <c r="L78" s="403">
        <f>SUM(L74:L76)</f>
        <v>1582189.4092490857</v>
      </c>
      <c r="M78" s="735"/>
      <c r="N78" s="736">
        <f>SUM(N74:N76)</f>
        <v>1775426.2894637594</v>
      </c>
    </row>
    <row r="79" spans="7:14" ht="13.9" thickTop="1" x14ac:dyDescent="0.25">
      <c r="G79" s="162"/>
      <c r="H79" s="131"/>
      <c r="I79" s="29"/>
      <c r="J79" s="29"/>
      <c r="K79" s="29"/>
      <c r="L79" s="130"/>
      <c r="M79" s="719"/>
      <c r="N79" s="720"/>
    </row>
    <row r="80" spans="7:14" ht="13.15" x14ac:dyDescent="0.25">
      <c r="G80" s="395"/>
      <c r="H80" s="131" t="s">
        <v>53</v>
      </c>
      <c r="I80" s="29"/>
      <c r="J80" s="575">
        <f>$S$47</f>
        <v>5.3904190379097106E-2</v>
      </c>
      <c r="K80" s="29"/>
      <c r="L80" s="404">
        <f>L78*(1+J80)</f>
        <v>1667476.0483810396</v>
      </c>
      <c r="M80" s="719"/>
      <c r="N80" s="737">
        <f>N78*(1+J80)</f>
        <v>1871129.2061750679</v>
      </c>
    </row>
    <row r="81" spans="1:14" ht="13.15" x14ac:dyDescent="0.25">
      <c r="G81" s="162"/>
      <c r="H81" s="131"/>
      <c r="I81" s="29"/>
      <c r="J81" s="29"/>
      <c r="K81" s="29"/>
      <c r="L81" s="130"/>
      <c r="M81" s="719"/>
      <c r="N81" s="720"/>
    </row>
    <row r="82" spans="1:14" x14ac:dyDescent="0.2">
      <c r="G82" s="397"/>
      <c r="H82" s="131"/>
      <c r="I82" s="29"/>
      <c r="J82" s="29"/>
      <c r="K82" s="29"/>
      <c r="L82" s="405" t="s">
        <v>56</v>
      </c>
      <c r="M82" s="719"/>
      <c r="N82" s="738" t="s">
        <v>56</v>
      </c>
    </row>
    <row r="83" spans="1:14" x14ac:dyDescent="0.2">
      <c r="G83" s="394"/>
      <c r="H83" s="131" t="s">
        <v>55</v>
      </c>
      <c r="I83" s="29"/>
      <c r="J83" s="29"/>
      <c r="K83" s="428">
        <f>L78/L49</f>
        <v>361.23045873266796</v>
      </c>
      <c r="L83" s="406">
        <f>K83*(1+J80)</f>
        <v>380.70229415092228</v>
      </c>
      <c r="M83" s="739"/>
      <c r="N83" s="740">
        <f>N80/N49</f>
        <v>427.19844889841733</v>
      </c>
    </row>
    <row r="84" spans="1:14" ht="13.5" thickBot="1" x14ac:dyDescent="0.25">
      <c r="G84" s="398"/>
      <c r="H84" s="576" t="s">
        <v>455</v>
      </c>
      <c r="I84" s="577"/>
      <c r="J84" s="578">
        <f>'CAF Spring 2015'!BC24</f>
        <v>2.0354406130268236E-2</v>
      </c>
      <c r="K84" s="579"/>
      <c r="L84" s="565">
        <f>L83*(1+J84)</f>
        <v>388.45126326079503</v>
      </c>
      <c r="M84" s="481"/>
      <c r="N84" s="741">
        <f>N83*(1+J84)</f>
        <v>435.89381962551636</v>
      </c>
    </row>
    <row r="85" spans="1:14" ht="13.5" thickBot="1" x14ac:dyDescent="0.25">
      <c r="G85" s="398"/>
      <c r="H85" s="78" t="s">
        <v>54</v>
      </c>
      <c r="I85" s="79">
        <v>0.9</v>
      </c>
      <c r="J85" s="80"/>
      <c r="K85" s="86"/>
      <c r="L85" s="656">
        <f>L84/I85</f>
        <v>431.61251473421669</v>
      </c>
      <c r="M85" s="742"/>
      <c r="N85" s="743">
        <f>N84/I85</f>
        <v>484.32646625057373</v>
      </c>
    </row>
    <row r="86" spans="1:14" x14ac:dyDescent="0.2">
      <c r="G86" s="398"/>
      <c r="H86" s="81"/>
      <c r="I86" s="82">
        <v>0.85</v>
      </c>
      <c r="J86" s="83"/>
      <c r="K86" s="88"/>
      <c r="L86" s="626"/>
      <c r="M86" s="389"/>
      <c r="N86" s="745"/>
    </row>
    <row r="87" spans="1:14" x14ac:dyDescent="0.2">
      <c r="G87" s="398"/>
      <c r="H87" s="84"/>
      <c r="I87" s="85">
        <v>0.8</v>
      </c>
      <c r="J87" s="34"/>
      <c r="K87" s="90"/>
      <c r="L87" s="627"/>
      <c r="M87" s="371"/>
      <c r="N87" s="375"/>
    </row>
    <row r="88" spans="1:14" x14ac:dyDescent="0.2">
      <c r="A88" s="480"/>
      <c r="B88" s="177"/>
      <c r="G88" s="162"/>
      <c r="H88" s="71"/>
      <c r="I88" s="177"/>
      <c r="M88" s="161"/>
      <c r="N88" s="161"/>
    </row>
    <row r="89" spans="1:14" x14ac:dyDescent="0.2">
      <c r="G89" s="162"/>
      <c r="H89" s="71"/>
      <c r="I89" s="177"/>
      <c r="M89" s="161"/>
      <c r="N89" s="161"/>
    </row>
    <row r="90" spans="1:14" x14ac:dyDescent="0.2">
      <c r="G90" s="515"/>
      <c r="H90" s="1535" t="s">
        <v>335</v>
      </c>
      <c r="I90" s="1536"/>
      <c r="J90" s="1536"/>
      <c r="K90" s="1536"/>
      <c r="L90" s="1537"/>
      <c r="M90" s="1540" t="s">
        <v>503</v>
      </c>
      <c r="N90" s="1541"/>
    </row>
    <row r="91" spans="1:14" ht="13.5" thickBot="1" x14ac:dyDescent="0.25">
      <c r="G91" s="515"/>
      <c r="H91" s="1538"/>
      <c r="I91" s="1530"/>
      <c r="J91" s="1530"/>
      <c r="K91" s="1530"/>
      <c r="L91" s="1539"/>
      <c r="M91" s="1542"/>
      <c r="N91" s="1543"/>
    </row>
    <row r="92" spans="1:14" x14ac:dyDescent="0.2">
      <c r="G92" s="162"/>
      <c r="H92" s="512" t="s">
        <v>0</v>
      </c>
      <c r="I92" s="566">
        <v>6</v>
      </c>
      <c r="J92" s="120"/>
      <c r="K92" s="120" t="s">
        <v>1</v>
      </c>
      <c r="L92" s="429">
        <f>I92*365</f>
        <v>2190</v>
      </c>
      <c r="M92" s="717" t="s">
        <v>1</v>
      </c>
      <c r="N92" s="718">
        <f>I92*365</f>
        <v>2190</v>
      </c>
    </row>
    <row r="93" spans="1:14" x14ac:dyDescent="0.2">
      <c r="G93" s="162"/>
      <c r="H93" s="131"/>
      <c r="I93" s="29"/>
      <c r="J93" s="29"/>
      <c r="K93" s="29"/>
      <c r="L93" s="130"/>
      <c r="M93" s="719"/>
      <c r="N93" s="720"/>
    </row>
    <row r="94" spans="1:14" x14ac:dyDescent="0.2">
      <c r="G94" s="335"/>
      <c r="H94" s="567"/>
      <c r="I94" s="26"/>
      <c r="J94" s="27" t="s">
        <v>2</v>
      </c>
      <c r="K94" s="580" t="s">
        <v>3</v>
      </c>
      <c r="L94" s="399" t="s">
        <v>4</v>
      </c>
      <c r="M94" s="721" t="s">
        <v>3</v>
      </c>
      <c r="N94" s="722" t="s">
        <v>4</v>
      </c>
    </row>
    <row r="95" spans="1:14" x14ac:dyDescent="0.2">
      <c r="G95" s="513"/>
      <c r="H95" s="568" t="s">
        <v>19</v>
      </c>
      <c r="I95" s="29"/>
      <c r="J95" s="40">
        <f>S13</f>
        <v>52305.406251052875</v>
      </c>
      <c r="K95" s="674">
        <f>S26</f>
        <v>1</v>
      </c>
      <c r="L95" s="400">
        <f>J95*K95</f>
        <v>52305.406251052875</v>
      </c>
      <c r="M95" s="723">
        <f>K95</f>
        <v>1</v>
      </c>
      <c r="N95" s="724">
        <f>J95*M95</f>
        <v>52305.406251052875</v>
      </c>
    </row>
    <row r="96" spans="1:14" x14ac:dyDescent="0.2">
      <c r="G96" s="513"/>
      <c r="H96" s="569" t="s">
        <v>227</v>
      </c>
      <c r="I96" s="29"/>
      <c r="J96" s="40"/>
      <c r="K96" s="46"/>
      <c r="L96" s="400"/>
      <c r="M96" s="725"/>
      <c r="N96" s="724"/>
    </row>
    <row r="97" spans="3:15" x14ac:dyDescent="0.2">
      <c r="G97" s="513"/>
      <c r="H97" s="570" t="s">
        <v>24</v>
      </c>
      <c r="I97" s="29"/>
      <c r="J97" s="40">
        <f t="shared" ref="J97:J104" si="1">S15</f>
        <v>64673.926018287602</v>
      </c>
      <c r="K97" s="548">
        <f>S28*(6/9)</f>
        <v>0.66666666666666663</v>
      </c>
      <c r="L97" s="400">
        <f>J97*K97</f>
        <v>43115.950678858397</v>
      </c>
      <c r="M97" s="725">
        <f>K97</f>
        <v>0.66666666666666663</v>
      </c>
      <c r="N97" s="724">
        <f>J97*M97</f>
        <v>43115.950678858397</v>
      </c>
    </row>
    <row r="98" spans="3:15" x14ac:dyDescent="0.2">
      <c r="G98" s="513"/>
      <c r="H98" s="570" t="s">
        <v>164</v>
      </c>
      <c r="I98" s="29"/>
      <c r="J98" s="40">
        <f t="shared" si="1"/>
        <v>48830</v>
      </c>
      <c r="K98" s="548">
        <f>S29*(6/9)</f>
        <v>0.66666666666666663</v>
      </c>
      <c r="L98" s="400">
        <f>J98*K98</f>
        <v>32553.333333333332</v>
      </c>
      <c r="M98" s="744">
        <v>4.2</v>
      </c>
      <c r="N98" s="724">
        <f>J98*M98</f>
        <v>205086</v>
      </c>
      <c r="O98" s="284"/>
    </row>
    <row r="99" spans="3:15" x14ac:dyDescent="0.2">
      <c r="G99" s="513"/>
      <c r="H99" s="569" t="s">
        <v>5</v>
      </c>
      <c r="I99" s="29"/>
      <c r="J99" s="40"/>
      <c r="K99" s="46"/>
      <c r="L99" s="400"/>
      <c r="M99" s="725"/>
      <c r="N99" s="724"/>
    </row>
    <row r="100" spans="3:15" x14ac:dyDescent="0.2">
      <c r="G100" s="513"/>
      <c r="H100" s="570" t="s">
        <v>59</v>
      </c>
      <c r="I100" s="29"/>
      <c r="J100" s="40">
        <f t="shared" si="1"/>
        <v>42189.221412467887</v>
      </c>
      <c r="K100" s="46">
        <f>S31</f>
        <v>0.75</v>
      </c>
      <c r="L100" s="400">
        <f>J100*K100</f>
        <v>31641.916059350915</v>
      </c>
      <c r="M100" s="725">
        <f>K100</f>
        <v>0.75</v>
      </c>
      <c r="N100" s="724">
        <f>J100*M100</f>
        <v>31641.916059350915</v>
      </c>
    </row>
    <row r="101" spans="3:15" x14ac:dyDescent="0.2">
      <c r="G101" s="513"/>
      <c r="H101" s="570" t="s">
        <v>30</v>
      </c>
      <c r="I101" s="29"/>
      <c r="J101" s="40">
        <f t="shared" si="1"/>
        <v>28500</v>
      </c>
      <c r="K101" s="549">
        <f>H159</f>
        <v>11.2</v>
      </c>
      <c r="L101" s="400">
        <f>J101*K101</f>
        <v>319200</v>
      </c>
      <c r="M101" s="725">
        <f>K101</f>
        <v>11.2</v>
      </c>
      <c r="N101" s="724">
        <f>J101*M101</f>
        <v>319200</v>
      </c>
    </row>
    <row r="102" spans="3:15" x14ac:dyDescent="0.2">
      <c r="G102" s="513"/>
      <c r="H102" s="571" t="s">
        <v>31</v>
      </c>
      <c r="I102" s="29"/>
      <c r="J102" s="40">
        <f t="shared" si="1"/>
        <v>28500</v>
      </c>
      <c r="K102" s="678">
        <f>K101*S10</f>
        <v>1.766153846153846</v>
      </c>
      <c r="L102" s="400">
        <f>J102*K102</f>
        <v>50335.38461538461</v>
      </c>
      <c r="M102" s="725">
        <f>K102</f>
        <v>1.766153846153846</v>
      </c>
      <c r="N102" s="724">
        <f>J102*M102</f>
        <v>50335.38461538461</v>
      </c>
    </row>
    <row r="103" spans="3:15" x14ac:dyDescent="0.2">
      <c r="G103" s="513"/>
      <c r="H103" s="569" t="s">
        <v>6</v>
      </c>
      <c r="I103" s="29"/>
      <c r="J103" s="40"/>
      <c r="K103" s="46"/>
      <c r="L103" s="400"/>
      <c r="M103" s="726"/>
      <c r="N103" s="724"/>
    </row>
    <row r="104" spans="3:15" x14ac:dyDescent="0.2">
      <c r="G104" s="513"/>
      <c r="H104" s="570" t="s">
        <v>32</v>
      </c>
      <c r="I104" s="29"/>
      <c r="J104" s="40">
        <f t="shared" si="1"/>
        <v>28500</v>
      </c>
      <c r="K104" s="677">
        <f t="shared" ref="K104" si="2">S35</f>
        <v>0.5</v>
      </c>
      <c r="L104" s="400">
        <f>J104*K104</f>
        <v>14250</v>
      </c>
      <c r="M104" s="727">
        <f>K104</f>
        <v>0.5</v>
      </c>
      <c r="N104" s="724">
        <f>J104*M104</f>
        <v>14250</v>
      </c>
    </row>
    <row r="105" spans="3:15" x14ac:dyDescent="0.2">
      <c r="C105" s="29"/>
      <c r="G105" s="393"/>
      <c r="H105" s="572" t="s">
        <v>7</v>
      </c>
      <c r="I105" s="31"/>
      <c r="J105" s="31"/>
      <c r="K105" s="676">
        <f>SUM(K95:K104)</f>
        <v>16.549487179487176</v>
      </c>
      <c r="L105" s="401">
        <f>SUM(L95:L104)</f>
        <v>543401.99093798012</v>
      </c>
      <c r="M105" s="728">
        <f>SUM(M95:M104)</f>
        <v>20.082820512820511</v>
      </c>
      <c r="N105" s="729">
        <f>SUM(N95:N104)</f>
        <v>715934.65760464687</v>
      </c>
      <c r="O105" s="284"/>
    </row>
    <row r="106" spans="3:15" x14ac:dyDescent="0.2">
      <c r="G106" s="162"/>
      <c r="H106" s="131"/>
      <c r="I106" s="29"/>
      <c r="J106" s="29"/>
      <c r="K106" s="29"/>
      <c r="L106" s="130"/>
      <c r="M106" s="719"/>
      <c r="N106" s="720"/>
    </row>
    <row r="107" spans="3:15" x14ac:dyDescent="0.2">
      <c r="G107" s="162"/>
      <c r="H107" s="512" t="s">
        <v>21</v>
      </c>
      <c r="I107" s="29"/>
      <c r="J107" s="29"/>
      <c r="K107" s="120" t="s">
        <v>20</v>
      </c>
      <c r="L107" s="130"/>
      <c r="M107" s="717" t="s">
        <v>20</v>
      </c>
      <c r="N107" s="720"/>
    </row>
    <row r="108" spans="3:15" x14ac:dyDescent="0.2">
      <c r="G108" s="395"/>
      <c r="H108" s="131" t="s">
        <v>22</v>
      </c>
      <c r="I108" s="29"/>
      <c r="J108" s="573">
        <f>$S$38</f>
        <v>0.23424901786252411</v>
      </c>
      <c r="K108" s="29"/>
      <c r="L108" s="400">
        <f>J108*L105</f>
        <v>127291.38268176207</v>
      </c>
      <c r="M108" s="719"/>
      <c r="N108" s="724">
        <f>N105*J108</f>
        <v>167706.99039763102</v>
      </c>
    </row>
    <row r="109" spans="3:15" x14ac:dyDescent="0.2">
      <c r="G109" s="516"/>
      <c r="H109" s="572" t="s">
        <v>51</v>
      </c>
      <c r="I109" s="31"/>
      <c r="J109" s="31"/>
      <c r="K109" s="70">
        <f>L109/L92</f>
        <v>306.25268201814714</v>
      </c>
      <c r="L109" s="401">
        <f>L108+L105</f>
        <v>670693.37361974223</v>
      </c>
      <c r="M109" s="730">
        <f>N109/N92</f>
        <v>403.48933698734146</v>
      </c>
      <c r="N109" s="729">
        <f>N108+N105</f>
        <v>883641.64800227783</v>
      </c>
    </row>
    <row r="110" spans="3:15" x14ac:dyDescent="0.2">
      <c r="G110" s="162"/>
      <c r="H110" s="131"/>
      <c r="I110" s="29"/>
      <c r="J110" s="29"/>
      <c r="K110" s="29"/>
      <c r="L110" s="130"/>
      <c r="M110" s="719"/>
      <c r="N110" s="720"/>
    </row>
    <row r="111" spans="3:15" x14ac:dyDescent="0.2">
      <c r="G111" s="162"/>
      <c r="H111" s="131"/>
      <c r="I111" s="29"/>
      <c r="J111" s="29"/>
      <c r="K111" s="29"/>
      <c r="L111" s="130"/>
      <c r="M111" s="719"/>
      <c r="N111" s="720"/>
    </row>
    <row r="112" spans="3:15" x14ac:dyDescent="0.2">
      <c r="G112" s="395"/>
      <c r="H112" s="131" t="s">
        <v>39</v>
      </c>
      <c r="I112" s="29"/>
      <c r="J112" s="29"/>
      <c r="K112" s="61">
        <f>$S$40</f>
        <v>28.019373776908022</v>
      </c>
      <c r="L112" s="402">
        <f>K112*(365*(4+4))</f>
        <v>81816.57142857142</v>
      </c>
      <c r="M112" s="731">
        <f>$S$40</f>
        <v>28.019373776908022</v>
      </c>
      <c r="N112" s="732">
        <f>M112*(365*(4+4))</f>
        <v>81816.57142857142</v>
      </c>
    </row>
    <row r="113" spans="5:14" x14ac:dyDescent="0.2">
      <c r="E113" s="29"/>
      <c r="G113" s="395"/>
      <c r="H113" s="131" t="s">
        <v>40</v>
      </c>
      <c r="I113" s="29"/>
      <c r="J113" s="29"/>
      <c r="K113" s="61">
        <f>$S$41</f>
        <v>16.648815707573558</v>
      </c>
      <c r="L113" s="402">
        <f>K113*L92</f>
        <v>36460.906399586092</v>
      </c>
      <c r="M113" s="731">
        <f>$S$41</f>
        <v>16.648815707573558</v>
      </c>
      <c r="N113" s="732">
        <f>M113*N92</f>
        <v>36460.906399586092</v>
      </c>
    </row>
    <row r="114" spans="5:14" x14ac:dyDescent="0.2">
      <c r="G114" s="395"/>
      <c r="H114" s="131" t="s">
        <v>42</v>
      </c>
      <c r="I114" s="29"/>
      <c r="J114" s="29"/>
      <c r="K114" s="61">
        <f>$S$42</f>
        <v>-1.9951315068493152</v>
      </c>
      <c r="L114" s="402">
        <f>K114*L92</f>
        <v>-4369.3380000000006</v>
      </c>
      <c r="M114" s="731">
        <f>$S$42</f>
        <v>-1.9951315068493152</v>
      </c>
      <c r="N114" s="732">
        <f>M114*N92</f>
        <v>-4369.3380000000006</v>
      </c>
    </row>
    <row r="115" spans="5:14" x14ac:dyDescent="0.2">
      <c r="G115" s="162"/>
      <c r="H115" s="131"/>
      <c r="I115" s="29"/>
      <c r="J115" s="29"/>
      <c r="K115" s="72">
        <f>SUM(K112:K114)</f>
        <v>42.673057977632268</v>
      </c>
      <c r="L115" s="130"/>
      <c r="M115" s="733">
        <f>SUM(M112:M114)</f>
        <v>42.673057977632268</v>
      </c>
      <c r="N115" s="720"/>
    </row>
    <row r="116" spans="5:14" x14ac:dyDescent="0.2">
      <c r="G116" s="162"/>
      <c r="H116" s="131"/>
      <c r="I116" s="29"/>
      <c r="J116" s="29"/>
      <c r="K116" s="29"/>
      <c r="L116" s="130"/>
      <c r="M116" s="719"/>
      <c r="N116" s="720"/>
    </row>
    <row r="117" spans="5:14" x14ac:dyDescent="0.2">
      <c r="G117" s="516"/>
      <c r="H117" s="572" t="s">
        <v>43</v>
      </c>
      <c r="I117" s="31"/>
      <c r="J117" s="31"/>
      <c r="K117" s="31"/>
      <c r="L117" s="401">
        <f>SUM(L109:L114)</f>
        <v>784601.51344789972</v>
      </c>
      <c r="M117" s="734"/>
      <c r="N117" s="729">
        <f>SUM(N109:N114)</f>
        <v>997549.78783043532</v>
      </c>
    </row>
    <row r="118" spans="5:14" x14ac:dyDescent="0.2">
      <c r="G118" s="162"/>
      <c r="H118" s="131"/>
      <c r="I118" s="29"/>
      <c r="J118" s="29"/>
      <c r="K118" s="29"/>
      <c r="L118" s="130"/>
      <c r="M118" s="719"/>
      <c r="N118" s="720"/>
    </row>
    <row r="119" spans="5:14" x14ac:dyDescent="0.2">
      <c r="G119" s="395"/>
      <c r="H119" s="131" t="s">
        <v>44</v>
      </c>
      <c r="I119" s="29"/>
      <c r="J119" s="573">
        <f>$S$45</f>
        <v>0.11846733793705286</v>
      </c>
      <c r="K119" s="29"/>
      <c r="L119" s="400">
        <f>J119*L117</f>
        <v>92949.652639555454</v>
      </c>
      <c r="M119" s="719"/>
      <c r="N119" s="724">
        <f>N117*J119</f>
        <v>118177.06782394357</v>
      </c>
    </row>
    <row r="120" spans="5:14" x14ac:dyDescent="0.2">
      <c r="G120" s="162"/>
      <c r="H120" s="131"/>
      <c r="I120" s="29"/>
      <c r="J120" s="29"/>
      <c r="K120" s="29"/>
      <c r="L120" s="130"/>
      <c r="M120" s="719"/>
      <c r="N120" s="720"/>
    </row>
    <row r="121" spans="5:14" ht="13.5" thickBot="1" x14ac:dyDescent="0.25">
      <c r="G121" s="516"/>
      <c r="H121" s="574" t="s">
        <v>52</v>
      </c>
      <c r="I121" s="74"/>
      <c r="J121" s="74"/>
      <c r="K121" s="74"/>
      <c r="L121" s="403">
        <f>SUM(L117:L119)</f>
        <v>877551.16608745512</v>
      </c>
      <c r="M121" s="735"/>
      <c r="N121" s="736">
        <f>SUM(N117:N119)</f>
        <v>1115726.8556543789</v>
      </c>
    </row>
    <row r="122" spans="5:14" ht="13.5" thickTop="1" x14ac:dyDescent="0.2">
      <c r="G122" s="162"/>
      <c r="H122" s="131"/>
      <c r="I122" s="29"/>
      <c r="J122" s="29"/>
      <c r="K122" s="29"/>
      <c r="L122" s="130"/>
      <c r="M122" s="719"/>
      <c r="N122" s="720"/>
    </row>
    <row r="123" spans="5:14" x14ac:dyDescent="0.2">
      <c r="G123" s="395"/>
      <c r="H123" s="131" t="s">
        <v>53</v>
      </c>
      <c r="I123" s="29"/>
      <c r="J123" s="575">
        <f>$S$47</f>
        <v>5.3904190379097106E-2</v>
      </c>
      <c r="K123" s="29"/>
      <c r="L123" s="404">
        <f>L121*(1+J123)</f>
        <v>924854.8512116319</v>
      </c>
      <c r="M123" s="719"/>
      <c r="N123" s="737">
        <f>N121*(1+J123)</f>
        <v>1175869.2084926439</v>
      </c>
    </row>
    <row r="124" spans="5:14" x14ac:dyDescent="0.2">
      <c r="G124" s="162"/>
      <c r="H124" s="131"/>
      <c r="I124" s="29"/>
      <c r="J124" s="29"/>
      <c r="K124" s="29"/>
      <c r="L124" s="130"/>
      <c r="M124" s="719"/>
      <c r="N124" s="720"/>
    </row>
    <row r="125" spans="5:14" x14ac:dyDescent="0.2">
      <c r="G125" s="397"/>
      <c r="H125" s="131"/>
      <c r="I125" s="29"/>
      <c r="J125" s="29"/>
      <c r="K125" s="29"/>
      <c r="L125" s="405" t="s">
        <v>56</v>
      </c>
      <c r="M125" s="719"/>
      <c r="N125" s="738" t="s">
        <v>56</v>
      </c>
    </row>
    <row r="126" spans="5:14" x14ac:dyDescent="0.2">
      <c r="G126" s="394"/>
      <c r="H126" s="131" t="s">
        <v>55</v>
      </c>
      <c r="I126" s="29"/>
      <c r="J126" s="29"/>
      <c r="K126" s="428">
        <f>L121/L92</f>
        <v>400.70829501710278</v>
      </c>
      <c r="L126" s="406">
        <f>K126*(1+J123)</f>
        <v>422.30815123818809</v>
      </c>
      <c r="M126" s="739"/>
      <c r="N126" s="740">
        <f>N123/N92</f>
        <v>536.92657922038529</v>
      </c>
    </row>
    <row r="127" spans="5:14" ht="13.5" thickBot="1" x14ac:dyDescent="0.25">
      <c r="G127" s="398"/>
      <c r="H127" s="576" t="s">
        <v>455</v>
      </c>
      <c r="I127" s="577"/>
      <c r="J127" s="578">
        <f>'CAF Spring 2015'!BC24</f>
        <v>2.0354406130268236E-2</v>
      </c>
      <c r="K127" s="579"/>
      <c r="L127" s="565">
        <f>L126*(1+J127)</f>
        <v>430.90398286061293</v>
      </c>
      <c r="M127" s="481"/>
      <c r="N127" s="741">
        <f>N126*(1+J127)</f>
        <v>547.85540087597269</v>
      </c>
    </row>
    <row r="128" spans="5:14" ht="13.5" thickBot="1" x14ac:dyDescent="0.25">
      <c r="G128" s="398"/>
      <c r="H128" s="78" t="s">
        <v>54</v>
      </c>
      <c r="I128" s="79">
        <v>0.9</v>
      </c>
      <c r="J128" s="80"/>
      <c r="K128" s="86"/>
      <c r="L128" s="656">
        <f>L127/I128</f>
        <v>478.78220317845881</v>
      </c>
      <c r="M128" s="742"/>
      <c r="N128" s="743">
        <f>N127/I128</f>
        <v>608.72822319552517</v>
      </c>
    </row>
    <row r="129" spans="1:14" x14ac:dyDescent="0.2">
      <c r="G129" s="398"/>
      <c r="H129" s="81"/>
      <c r="I129" s="82">
        <v>0.85</v>
      </c>
      <c r="J129" s="83"/>
      <c r="K129" s="88"/>
      <c r="L129" s="626"/>
      <c r="M129" s="389"/>
      <c r="N129" s="745"/>
    </row>
    <row r="130" spans="1:14" x14ac:dyDescent="0.2">
      <c r="G130" s="398"/>
      <c r="H130" s="84"/>
      <c r="I130" s="85">
        <v>0.8</v>
      </c>
      <c r="J130" s="34"/>
      <c r="K130" s="90"/>
      <c r="L130" s="627"/>
      <c r="M130" s="371"/>
      <c r="N130" s="375"/>
    </row>
    <row r="131" spans="1:14" x14ac:dyDescent="0.2">
      <c r="A131" s="177"/>
    </row>
    <row r="132" spans="1:14" x14ac:dyDescent="0.2">
      <c r="A132" s="177"/>
    </row>
    <row r="133" spans="1:14" x14ac:dyDescent="0.2">
      <c r="D133" s="177"/>
    </row>
    <row r="134" spans="1:14" x14ac:dyDescent="0.2">
      <c r="B134" s="196" t="s">
        <v>502</v>
      </c>
    </row>
    <row r="135" spans="1:14" x14ac:dyDescent="0.2">
      <c r="B135" s="518" t="s">
        <v>462</v>
      </c>
      <c r="C135" s="518" t="s">
        <v>463</v>
      </c>
      <c r="D135" s="518" t="s">
        <v>464</v>
      </c>
      <c r="E135" s="518" t="s">
        <v>465</v>
      </c>
      <c r="F135" s="518" t="s">
        <v>466</v>
      </c>
      <c r="G135" s="518" t="s">
        <v>467</v>
      </c>
      <c r="H135" s="518" t="s">
        <v>468</v>
      </c>
    </row>
    <row r="136" spans="1:14" x14ac:dyDescent="0.2">
      <c r="A136" s="514" t="s">
        <v>469</v>
      </c>
      <c r="B136" s="563">
        <f>6*8</f>
        <v>48</v>
      </c>
      <c r="C136" s="563">
        <f t="shared" ref="C136:H137" si="3">6*8</f>
        <v>48</v>
      </c>
      <c r="D136" s="563">
        <f t="shared" si="3"/>
        <v>48</v>
      </c>
      <c r="E136" s="563">
        <f t="shared" si="3"/>
        <v>48</v>
      </c>
      <c r="F136" s="563">
        <f t="shared" si="3"/>
        <v>48</v>
      </c>
      <c r="G136" s="563">
        <f t="shared" si="3"/>
        <v>48</v>
      </c>
      <c r="H136" s="563">
        <f t="shared" si="3"/>
        <v>48</v>
      </c>
    </row>
    <row r="137" spans="1:14" x14ac:dyDescent="0.2">
      <c r="A137" s="514" t="s">
        <v>470</v>
      </c>
      <c r="B137" s="563">
        <f t="shared" ref="B137" si="4">6*8</f>
        <v>48</v>
      </c>
      <c r="C137" s="563">
        <f t="shared" si="3"/>
        <v>48</v>
      </c>
      <c r="D137" s="563">
        <f t="shared" si="3"/>
        <v>48</v>
      </c>
      <c r="E137" s="563">
        <f t="shared" si="3"/>
        <v>48</v>
      </c>
      <c r="F137" s="563">
        <f t="shared" si="3"/>
        <v>48</v>
      </c>
      <c r="G137" s="563">
        <f t="shared" si="3"/>
        <v>48</v>
      </c>
      <c r="H137" s="563">
        <f t="shared" si="3"/>
        <v>48</v>
      </c>
    </row>
    <row r="138" spans="1:14" x14ac:dyDescent="0.2">
      <c r="A138" s="514" t="s">
        <v>471</v>
      </c>
      <c r="B138" s="564">
        <v>32</v>
      </c>
      <c r="C138" s="564">
        <v>32</v>
      </c>
      <c r="D138" s="564">
        <v>32</v>
      </c>
      <c r="E138" s="564">
        <v>32</v>
      </c>
      <c r="F138" s="564">
        <v>32</v>
      </c>
      <c r="G138" s="564">
        <v>32</v>
      </c>
      <c r="H138" s="564">
        <v>32</v>
      </c>
    </row>
    <row r="139" spans="1:14" x14ac:dyDescent="0.2">
      <c r="H139" s="23">
        <f>SUM(B136:H138)</f>
        <v>896</v>
      </c>
      <c r="I139" s="177" t="s">
        <v>476</v>
      </c>
    </row>
    <row r="140" spans="1:14" x14ac:dyDescent="0.2">
      <c r="H140" s="552">
        <f>H139/40</f>
        <v>22.4</v>
      </c>
      <c r="I140" s="177" t="s">
        <v>475</v>
      </c>
    </row>
    <row r="143" spans="1:14" x14ac:dyDescent="0.2">
      <c r="B143" s="196" t="s">
        <v>514</v>
      </c>
    </row>
    <row r="144" spans="1:14" x14ac:dyDescent="0.2">
      <c r="B144" s="518" t="s">
        <v>462</v>
      </c>
      <c r="C144" s="518" t="s">
        <v>463</v>
      </c>
      <c r="D144" s="518" t="s">
        <v>464</v>
      </c>
      <c r="E144" s="518" t="s">
        <v>465</v>
      </c>
      <c r="F144" s="518" t="s">
        <v>466</v>
      </c>
      <c r="G144" s="518" t="s">
        <v>467</v>
      </c>
      <c r="H144" s="518" t="s">
        <v>468</v>
      </c>
    </row>
    <row r="145" spans="1:9" x14ac:dyDescent="0.2">
      <c r="A145" s="514" t="s">
        <v>469</v>
      </c>
      <c r="B145" s="563">
        <v>40</v>
      </c>
      <c r="C145" s="563">
        <v>40</v>
      </c>
      <c r="D145" s="563">
        <v>40</v>
      </c>
      <c r="E145" s="563">
        <v>40</v>
      </c>
      <c r="F145" s="563">
        <v>40</v>
      </c>
      <c r="G145" s="563">
        <v>40</v>
      </c>
      <c r="H145" s="563">
        <v>40</v>
      </c>
    </row>
    <row r="146" spans="1:9" x14ac:dyDescent="0.2">
      <c r="A146" s="514" t="s">
        <v>470</v>
      </c>
      <c r="B146" s="563">
        <v>40</v>
      </c>
      <c r="C146" s="563">
        <v>40</v>
      </c>
      <c r="D146" s="563">
        <v>40</v>
      </c>
      <c r="E146" s="563">
        <v>40</v>
      </c>
      <c r="F146" s="563">
        <v>40</v>
      </c>
      <c r="G146" s="563">
        <v>40</v>
      </c>
      <c r="H146" s="563">
        <v>40</v>
      </c>
    </row>
    <row r="147" spans="1:9" x14ac:dyDescent="0.2">
      <c r="A147" s="514" t="s">
        <v>471</v>
      </c>
      <c r="B147" s="563">
        <v>24</v>
      </c>
      <c r="C147" s="563">
        <v>24</v>
      </c>
      <c r="D147" s="563">
        <v>24</v>
      </c>
      <c r="E147" s="563">
        <v>24</v>
      </c>
      <c r="F147" s="563">
        <v>24</v>
      </c>
      <c r="G147" s="563">
        <v>24</v>
      </c>
      <c r="H147" s="563">
        <v>24</v>
      </c>
    </row>
    <row r="148" spans="1:9" x14ac:dyDescent="0.2">
      <c r="H148" s="23">
        <f>SUM(B145:H147)</f>
        <v>728</v>
      </c>
      <c r="I148" s="177" t="s">
        <v>476</v>
      </c>
    </row>
    <row r="149" spans="1:9" x14ac:dyDescent="0.2">
      <c r="H149" s="552">
        <f>H148/40</f>
        <v>18.2</v>
      </c>
      <c r="I149" s="177" t="s">
        <v>475</v>
      </c>
    </row>
    <row r="150" spans="1:9" x14ac:dyDescent="0.2">
      <c r="H150" s="552">
        <f>H149*S10</f>
        <v>2.8699999999999997</v>
      </c>
      <c r="I150" s="177" t="s">
        <v>504</v>
      </c>
    </row>
    <row r="153" spans="1:9" x14ac:dyDescent="0.2">
      <c r="B153" s="196" t="s">
        <v>524</v>
      </c>
    </row>
    <row r="154" spans="1:9" x14ac:dyDescent="0.2">
      <c r="B154" s="518" t="s">
        <v>462</v>
      </c>
      <c r="C154" s="518" t="s">
        <v>463</v>
      </c>
      <c r="D154" s="518" t="s">
        <v>464</v>
      </c>
      <c r="E154" s="518" t="s">
        <v>465</v>
      </c>
      <c r="F154" s="518" t="s">
        <v>466</v>
      </c>
      <c r="G154" s="518" t="s">
        <v>467</v>
      </c>
      <c r="H154" s="518" t="s">
        <v>468</v>
      </c>
    </row>
    <row r="155" spans="1:9" x14ac:dyDescent="0.2">
      <c r="A155" s="514" t="s">
        <v>469</v>
      </c>
      <c r="B155" s="563">
        <v>24</v>
      </c>
      <c r="C155" s="563">
        <v>24</v>
      </c>
      <c r="D155" s="563">
        <v>24</v>
      </c>
      <c r="E155" s="563">
        <v>24</v>
      </c>
      <c r="F155" s="563">
        <v>24</v>
      </c>
      <c r="G155" s="563">
        <v>24</v>
      </c>
      <c r="H155" s="563">
        <v>24</v>
      </c>
    </row>
    <row r="156" spans="1:9" x14ac:dyDescent="0.2">
      <c r="A156" s="514" t="s">
        <v>470</v>
      </c>
      <c r="B156" s="563">
        <v>24</v>
      </c>
      <c r="C156" s="563">
        <v>24</v>
      </c>
      <c r="D156" s="563">
        <v>24</v>
      </c>
      <c r="E156" s="563">
        <v>24</v>
      </c>
      <c r="F156" s="563">
        <v>24</v>
      </c>
      <c r="G156" s="563">
        <v>24</v>
      </c>
      <c r="H156" s="563">
        <v>24</v>
      </c>
    </row>
    <row r="157" spans="1:9" x14ac:dyDescent="0.2">
      <c r="A157" s="514" t="s">
        <v>471</v>
      </c>
      <c r="B157" s="563">
        <v>16</v>
      </c>
      <c r="C157" s="563">
        <v>16</v>
      </c>
      <c r="D157" s="563">
        <v>16</v>
      </c>
      <c r="E157" s="563">
        <v>16</v>
      </c>
      <c r="F157" s="563">
        <v>16</v>
      </c>
      <c r="G157" s="563">
        <v>16</v>
      </c>
      <c r="H157" s="563">
        <v>16</v>
      </c>
    </row>
    <row r="158" spans="1:9" x14ac:dyDescent="0.2">
      <c r="H158" s="23">
        <f>SUM(B155:H157)</f>
        <v>448</v>
      </c>
      <c r="I158" s="177" t="s">
        <v>476</v>
      </c>
    </row>
    <row r="159" spans="1:9" x14ac:dyDescent="0.2">
      <c r="H159" s="552">
        <f>H158/40</f>
        <v>11.2</v>
      </c>
      <c r="I159" s="177" t="s">
        <v>475</v>
      </c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 topLeftCell="A9">
      <selection activeCell="J15" sqref="J15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10">
    <mergeCell ref="H90:L91"/>
    <mergeCell ref="M90:N91"/>
    <mergeCell ref="A4:E5"/>
    <mergeCell ref="Q1:T1"/>
    <mergeCell ref="R3:S3"/>
    <mergeCell ref="F4:F5"/>
    <mergeCell ref="H47:L48"/>
    <mergeCell ref="M47:N48"/>
    <mergeCell ref="H4:L5"/>
    <mergeCell ref="M4:N5"/>
  </mergeCells>
  <phoneticPr fontId="29" type="noConversion"/>
  <pageMargins left="0.7" right="0.7" top="0.75" bottom="0.75" header="0.3" footer="0.3"/>
  <pageSetup fitToHeight="0" orientation="portrait" r:id="rId5"/>
  <headerFooter>
    <oddFooter>&amp;R2016-04-12
&amp;A
Caring Together rate review</oddFooter>
  </headerFooter>
  <rowBreaks count="2" manualBreakCount="2">
    <brk id="89" min="7" max="13" man="1"/>
    <brk id="130" max="13" man="1"/>
  </rowBreaks>
  <legacyDrawing r:id="rId6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69"/>
  <sheetViews>
    <sheetView topLeftCell="G28" zoomScale="83" zoomScaleNormal="83" zoomScalePageLayoutView="70" workbookViewId="0">
      <selection activeCell="R59" sqref="R59"/>
    </sheetView>
  </sheetViews>
  <sheetFormatPr defaultColWidth="9.140625" defaultRowHeight="12.75" x14ac:dyDescent="0.2"/>
  <cols>
    <col min="1" max="1" width="26.7109375" style="23" hidden="1" customWidth="1"/>
    <col min="2" max="2" width="8.7109375" style="23" hidden="1" customWidth="1"/>
    <col min="3" max="3" width="11.7109375" style="23" hidden="1" customWidth="1"/>
    <col min="4" max="4" width="9.7109375" style="23" hidden="1" customWidth="1"/>
    <col min="5" max="6" width="11.7109375" style="23" hidden="1" customWidth="1"/>
    <col min="7" max="7" width="9.7109375" style="23" customWidth="1"/>
    <col min="8" max="8" width="26.7109375" style="23" customWidth="1"/>
    <col min="9" max="9" width="8.7109375" style="23" customWidth="1"/>
    <col min="10" max="10" width="11.7109375" style="23" customWidth="1"/>
    <col min="11" max="11" width="9.7109375" style="23" customWidth="1"/>
    <col min="12" max="12" width="11.7109375" style="23" customWidth="1"/>
    <col min="13" max="13" width="9.7109375" style="23" customWidth="1"/>
    <col min="14" max="14" width="11.7109375" style="23" customWidth="1"/>
    <col min="15" max="15" width="11.7109375" style="281" customWidth="1"/>
    <col min="16" max="16" width="11.7109375" style="23" customWidth="1"/>
    <col min="17" max="17" width="9.7109375" style="23" customWidth="1"/>
    <col min="18" max="18" width="11.7109375" style="23" customWidth="1"/>
    <col min="19" max="19" width="9.7109375" style="23" customWidth="1"/>
    <col min="20" max="20" width="11.7109375" style="23" customWidth="1"/>
    <col min="21" max="21" width="9.7109375" style="23" customWidth="1"/>
    <col min="22" max="22" width="11.7109375" style="23" customWidth="1"/>
    <col min="23" max="23" width="9.7109375" style="23" customWidth="1"/>
    <col min="24" max="24" width="11.7109375" style="23" customWidth="1"/>
    <col min="25" max="25" width="9.7109375" style="23" customWidth="1"/>
    <col min="26" max="26" width="11.7109375" style="23" customWidth="1"/>
    <col min="27" max="29" width="11.7109375" style="162" customWidth="1"/>
    <col min="30" max="30" width="9.140625" style="23"/>
    <col min="31" max="31" width="31.85546875" style="23" bestFit="1" customWidth="1"/>
    <col min="32" max="34" width="10.140625" style="23" customWidth="1"/>
    <col min="35" max="35" width="5" style="23" customWidth="1"/>
    <col min="36" max="16384" width="9.140625" style="23"/>
  </cols>
  <sheetData>
    <row r="1" spans="1:29" ht="13.9" thickBot="1" x14ac:dyDescent="0.3">
      <c r="D1" s="28"/>
      <c r="E1" s="28"/>
      <c r="G1" s="162"/>
      <c r="P1" s="162"/>
      <c r="Q1" s="1431" t="s">
        <v>8</v>
      </c>
      <c r="R1" s="1431"/>
      <c r="S1" s="1431"/>
      <c r="T1" s="1431"/>
      <c r="AA1" s="23"/>
      <c r="AB1" s="23"/>
      <c r="AC1" s="23"/>
    </row>
    <row r="2" spans="1:29" ht="13.9" thickBot="1" x14ac:dyDescent="0.3">
      <c r="D2" s="177"/>
      <c r="E2" s="71"/>
      <c r="G2" s="162"/>
      <c r="K2" s="177"/>
      <c r="M2" s="177"/>
      <c r="P2" s="162"/>
      <c r="AA2" s="23"/>
      <c r="AB2" s="23"/>
      <c r="AC2" s="23"/>
    </row>
    <row r="3" spans="1:29" ht="13.15" x14ac:dyDescent="0.25">
      <c r="G3" s="162"/>
      <c r="P3" s="162"/>
      <c r="Q3" s="5" t="s">
        <v>9</v>
      </c>
      <c r="R3" s="1432" t="s">
        <v>10</v>
      </c>
      <c r="S3" s="1432"/>
      <c r="T3" s="6"/>
      <c r="U3" s="24"/>
      <c r="V3" s="24"/>
      <c r="AA3" s="23"/>
      <c r="AB3" s="23"/>
      <c r="AC3" s="23"/>
    </row>
    <row r="4" spans="1:29" ht="13.15" customHeight="1" x14ac:dyDescent="0.2">
      <c r="A4" s="1520" t="s">
        <v>335</v>
      </c>
      <c r="B4" s="1520"/>
      <c r="C4" s="1520"/>
      <c r="D4" s="1520"/>
      <c r="E4" s="1520"/>
      <c r="F4" s="1433" t="s">
        <v>490</v>
      </c>
      <c r="G4" s="162"/>
      <c r="H4" s="1535" t="s">
        <v>335</v>
      </c>
      <c r="I4" s="1536"/>
      <c r="J4" s="1536"/>
      <c r="K4" s="1536"/>
      <c r="L4" s="1537"/>
      <c r="M4" s="1540" t="s">
        <v>503</v>
      </c>
      <c r="N4" s="1541"/>
      <c r="O4" s="635"/>
      <c r="P4" s="162"/>
      <c r="Q4" s="7"/>
      <c r="R4" s="8" t="s">
        <v>11</v>
      </c>
      <c r="S4" s="9" t="s">
        <v>12</v>
      </c>
      <c r="T4" s="10"/>
      <c r="U4" s="24"/>
      <c r="V4" s="24"/>
      <c r="AA4" s="23"/>
      <c r="AB4" s="23"/>
      <c r="AC4" s="23"/>
    </row>
    <row r="5" spans="1:29" ht="14.45" customHeight="1" thickBot="1" x14ac:dyDescent="0.25">
      <c r="A5" s="1530"/>
      <c r="B5" s="1530"/>
      <c r="C5" s="1530"/>
      <c r="D5" s="1530"/>
      <c r="E5" s="1530"/>
      <c r="F5" s="1469"/>
      <c r="H5" s="1538"/>
      <c r="I5" s="1530"/>
      <c r="J5" s="1530"/>
      <c r="K5" s="1530"/>
      <c r="L5" s="1539"/>
      <c r="M5" s="1542"/>
      <c r="N5" s="1543"/>
      <c r="P5" s="515"/>
      <c r="Q5" s="11" t="s">
        <v>13</v>
      </c>
      <c r="R5" s="12">
        <v>13</v>
      </c>
      <c r="S5" s="13">
        <f>R5*8</f>
        <v>104</v>
      </c>
      <c r="T5" s="10"/>
      <c r="U5" s="24"/>
      <c r="V5" s="24"/>
      <c r="AA5" s="23"/>
      <c r="AB5" s="23"/>
      <c r="AC5" s="23"/>
    </row>
    <row r="6" spans="1:29" ht="13.15" customHeight="1" x14ac:dyDescent="0.25">
      <c r="A6" s="25" t="s">
        <v>0</v>
      </c>
      <c r="B6" s="69">
        <f>S$25</f>
        <v>9</v>
      </c>
      <c r="C6" s="25"/>
      <c r="D6" s="25" t="s">
        <v>1</v>
      </c>
      <c r="E6" s="68">
        <f>B6*365</f>
        <v>3285</v>
      </c>
      <c r="F6" s="407"/>
      <c r="H6" s="1245" t="s">
        <v>0</v>
      </c>
      <c r="I6" s="1246">
        <v>9</v>
      </c>
      <c r="J6" s="1247"/>
      <c r="K6" s="1247" t="s">
        <v>1</v>
      </c>
      <c r="L6" s="1248">
        <f>I6*365</f>
        <v>3285</v>
      </c>
      <c r="M6" s="1249" t="s">
        <v>1</v>
      </c>
      <c r="N6" s="1250">
        <f>I6*365</f>
        <v>3285</v>
      </c>
      <c r="O6" s="636"/>
      <c r="P6" s="515"/>
      <c r="Q6" s="11" t="s">
        <v>14</v>
      </c>
      <c r="R6" s="12">
        <v>10</v>
      </c>
      <c r="S6" s="13">
        <f>R6*8</f>
        <v>80</v>
      </c>
      <c r="T6" s="10"/>
      <c r="U6" s="24"/>
      <c r="V6" s="24"/>
      <c r="AA6" s="23"/>
      <c r="AB6" s="23"/>
      <c r="AC6" s="23"/>
    </row>
    <row r="7" spans="1:29" ht="15" customHeight="1" x14ac:dyDescent="0.25">
      <c r="F7" s="407"/>
      <c r="H7" s="448"/>
      <c r="I7" s="162"/>
      <c r="J7" s="162"/>
      <c r="K7" s="162"/>
      <c r="L7" s="1219"/>
      <c r="M7" s="1220"/>
      <c r="N7" s="1251"/>
      <c r="O7" s="636"/>
      <c r="P7" s="515"/>
      <c r="Q7" s="11" t="s">
        <v>15</v>
      </c>
      <c r="R7" s="12">
        <v>11</v>
      </c>
      <c r="S7" s="13">
        <f>R7*8</f>
        <v>88</v>
      </c>
      <c r="T7" s="10"/>
      <c r="U7" s="24"/>
      <c r="V7" s="24"/>
      <c r="AA7" s="23"/>
      <c r="AB7" s="23"/>
      <c r="AC7" s="23"/>
    </row>
    <row r="8" spans="1:29" ht="13.15" x14ac:dyDescent="0.25">
      <c r="A8" s="26"/>
      <c r="B8" s="26"/>
      <c r="C8" s="27" t="s">
        <v>2</v>
      </c>
      <c r="D8" s="27" t="s">
        <v>3</v>
      </c>
      <c r="E8" s="27" t="s">
        <v>4</v>
      </c>
      <c r="F8" s="407"/>
      <c r="H8" s="1153"/>
      <c r="I8" s="1151"/>
      <c r="J8" s="1152" t="s">
        <v>2</v>
      </c>
      <c r="K8" s="1145" t="s">
        <v>3</v>
      </c>
      <c r="L8" s="1222" t="s">
        <v>4</v>
      </c>
      <c r="M8" s="507" t="s">
        <v>3</v>
      </c>
      <c r="N8" s="1252" t="s">
        <v>4</v>
      </c>
      <c r="O8" s="637"/>
      <c r="P8" s="162"/>
      <c r="Q8" s="14" t="s">
        <v>16</v>
      </c>
      <c r="R8" s="15">
        <v>7</v>
      </c>
      <c r="S8" s="16">
        <f>R8*8</f>
        <v>56</v>
      </c>
      <c r="T8" s="17"/>
      <c r="U8" s="24"/>
      <c r="V8" s="24"/>
      <c r="AA8" s="23"/>
      <c r="AB8" s="23"/>
      <c r="AC8" s="23"/>
    </row>
    <row r="9" spans="1:29" ht="13.15" x14ac:dyDescent="0.25">
      <c r="A9" s="1" t="s">
        <v>19</v>
      </c>
      <c r="C9" s="30">
        <f>S13</f>
        <v>56249</v>
      </c>
      <c r="D9" s="35">
        <f>S26</f>
        <v>1</v>
      </c>
      <c r="E9" s="28">
        <f>C9*D9</f>
        <v>56249</v>
      </c>
      <c r="F9" s="407"/>
      <c r="H9" s="1156" t="s">
        <v>19</v>
      </c>
      <c r="I9" s="162"/>
      <c r="J9" s="280">
        <f>S13</f>
        <v>56249</v>
      </c>
      <c r="K9" s="1265">
        <f>S26</f>
        <v>1</v>
      </c>
      <c r="L9" s="1224">
        <f>J9*K9</f>
        <v>56249</v>
      </c>
      <c r="M9" s="723">
        <f>K9</f>
        <v>1</v>
      </c>
      <c r="N9" s="1253">
        <f>J9*M9</f>
        <v>56249</v>
      </c>
      <c r="O9" s="638"/>
      <c r="P9" s="162"/>
      <c r="Q9" s="11"/>
      <c r="R9" s="18" t="s">
        <v>17</v>
      </c>
      <c r="S9" s="13">
        <f>SUM(S5:S8)</f>
        <v>328</v>
      </c>
      <c r="T9" s="19"/>
      <c r="U9" s="24"/>
      <c r="V9" s="24"/>
      <c r="AA9" s="23"/>
      <c r="AB9" s="23"/>
      <c r="AC9" s="23"/>
    </row>
    <row r="10" spans="1:29" ht="13.9" thickBot="1" x14ac:dyDescent="0.3">
      <c r="A10" s="2" t="s">
        <v>227</v>
      </c>
      <c r="C10" s="30"/>
      <c r="D10" s="35"/>
      <c r="E10" s="28"/>
      <c r="F10" s="407"/>
      <c r="H10" s="440" t="s">
        <v>227</v>
      </c>
      <c r="I10" s="162"/>
      <c r="J10" s="280"/>
      <c r="K10" s="178"/>
      <c r="L10" s="1224"/>
      <c r="M10" s="725"/>
      <c r="N10" s="1253"/>
      <c r="O10" s="675"/>
      <c r="P10" s="335"/>
      <c r="Q10" s="20"/>
      <c r="R10" s="21" t="s">
        <v>18</v>
      </c>
      <c r="S10" s="22">
        <f>S9/(52*40)</f>
        <v>0.15769230769230769</v>
      </c>
      <c r="T10" s="56"/>
      <c r="AA10" s="23"/>
      <c r="AB10" s="23"/>
      <c r="AC10" s="23"/>
    </row>
    <row r="11" spans="1:29" ht="13.9" thickBot="1" x14ac:dyDescent="0.3">
      <c r="A11" s="3" t="s">
        <v>24</v>
      </c>
      <c r="C11" s="30">
        <f>S15</f>
        <v>69547</v>
      </c>
      <c r="D11" s="283">
        <f>S28</f>
        <v>1</v>
      </c>
      <c r="E11" s="28">
        <f>C11*D11</f>
        <v>69547</v>
      </c>
      <c r="F11" s="407"/>
      <c r="H11" s="434" t="s">
        <v>24</v>
      </c>
      <c r="I11" s="162"/>
      <c r="J11" s="280">
        <f t="shared" ref="J11:J18" si="0">S15</f>
        <v>69547</v>
      </c>
      <c r="K11" s="178">
        <f>S28</f>
        <v>1</v>
      </c>
      <c r="L11" s="1224">
        <f>J11*K11</f>
        <v>69547</v>
      </c>
      <c r="M11" s="725">
        <v>1.004</v>
      </c>
      <c r="N11" s="1253">
        <f>J11*M11</f>
        <v>69825.187999999995</v>
      </c>
      <c r="O11" s="639"/>
      <c r="P11" s="513"/>
      <c r="AA11" s="23"/>
      <c r="AB11" s="23"/>
      <c r="AC11" s="23"/>
    </row>
    <row r="12" spans="1:29" ht="13.15" x14ac:dyDescent="0.25">
      <c r="A12" s="3" t="s">
        <v>164</v>
      </c>
      <c r="C12" s="30">
        <f>S16</f>
        <v>49093.065313560001</v>
      </c>
      <c r="D12" s="283">
        <f>S29</f>
        <v>1</v>
      </c>
      <c r="E12" s="28">
        <f>C12*D12</f>
        <v>49093.065313560001</v>
      </c>
      <c r="F12" s="407"/>
      <c r="H12" s="434" t="s">
        <v>164</v>
      </c>
      <c r="I12" s="162"/>
      <c r="J12" s="280">
        <f t="shared" si="0"/>
        <v>49093.065313560001</v>
      </c>
      <c r="K12" s="178">
        <f>S29</f>
        <v>1</v>
      </c>
      <c r="L12" s="1224">
        <f>J12*K12</f>
        <v>49093.065313560001</v>
      </c>
      <c r="M12" s="725">
        <v>4.2039999999999997</v>
      </c>
      <c r="N12" s="1253">
        <f>J12*M12</f>
        <v>206387.24657820622</v>
      </c>
      <c r="O12" s="639"/>
      <c r="P12" s="513"/>
      <c r="Q12" s="36"/>
      <c r="R12" s="37"/>
      <c r="S12" s="38" t="s">
        <v>75</v>
      </c>
      <c r="T12" s="147"/>
      <c r="AA12" s="23"/>
      <c r="AB12" s="23"/>
      <c r="AC12" s="23"/>
    </row>
    <row r="13" spans="1:29" ht="13.15" x14ac:dyDescent="0.25">
      <c r="A13" s="2" t="s">
        <v>5</v>
      </c>
      <c r="C13" s="30"/>
      <c r="D13" s="283"/>
      <c r="E13" s="28"/>
      <c r="F13" s="407"/>
      <c r="H13" s="440" t="s">
        <v>5</v>
      </c>
      <c r="I13" s="162"/>
      <c r="J13" s="280">
        <f t="shared" si="0"/>
        <v>0</v>
      </c>
      <c r="K13" s="178"/>
      <c r="L13" s="1224"/>
      <c r="M13" s="725"/>
      <c r="N13" s="1253"/>
      <c r="O13" s="639"/>
      <c r="P13" s="513"/>
      <c r="Q13" s="7" t="s">
        <v>19</v>
      </c>
      <c r="R13" s="29"/>
      <c r="S13" s="40">
        <f>'Group Home (rebased)'!P13</f>
        <v>56249</v>
      </c>
      <c r="T13" s="117"/>
      <c r="AA13" s="23"/>
      <c r="AB13" s="23"/>
      <c r="AC13" s="23"/>
    </row>
    <row r="14" spans="1:29" ht="13.15" x14ac:dyDescent="0.25">
      <c r="A14" s="3" t="s">
        <v>59</v>
      </c>
      <c r="C14" s="30">
        <f>S18</f>
        <v>47584</v>
      </c>
      <c r="D14" s="283">
        <f>S31</f>
        <v>0.75</v>
      </c>
      <c r="E14" s="28">
        <f>C14*D14</f>
        <v>35688</v>
      </c>
      <c r="F14" s="407"/>
      <c r="H14" s="434" t="s">
        <v>59</v>
      </c>
      <c r="I14" s="162"/>
      <c r="J14" s="280">
        <f t="shared" si="0"/>
        <v>47584</v>
      </c>
      <c r="K14" s="178">
        <f>S31</f>
        <v>0.75</v>
      </c>
      <c r="L14" s="1224">
        <f>J14*K14</f>
        <v>35688</v>
      </c>
      <c r="M14" s="725">
        <v>0.754</v>
      </c>
      <c r="N14" s="1253">
        <f>J14*M14</f>
        <v>35878.336000000003</v>
      </c>
      <c r="O14" s="639"/>
      <c r="P14" s="513"/>
      <c r="Q14" s="7" t="s">
        <v>227</v>
      </c>
      <c r="R14" s="29"/>
      <c r="S14" s="40"/>
      <c r="T14" s="117"/>
      <c r="AA14" s="23"/>
      <c r="AB14" s="23"/>
      <c r="AC14" s="23"/>
    </row>
    <row r="15" spans="1:29" ht="13.15" x14ac:dyDescent="0.25">
      <c r="A15" s="3" t="s">
        <v>30</v>
      </c>
      <c r="C15" s="30">
        <f>S19</f>
        <v>30648</v>
      </c>
      <c r="D15" s="283">
        <f>S32</f>
        <v>8.5</v>
      </c>
      <c r="E15" s="28">
        <f>C15*D15</f>
        <v>260508</v>
      </c>
      <c r="F15" s="407"/>
      <c r="H15" s="434" t="s">
        <v>30</v>
      </c>
      <c r="I15" s="162"/>
      <c r="J15" s="280">
        <f t="shared" si="0"/>
        <v>30648</v>
      </c>
      <c r="K15" s="1244">
        <f>H157</f>
        <v>18.2</v>
      </c>
      <c r="L15" s="1224">
        <f>J15*K15</f>
        <v>557793.6</v>
      </c>
      <c r="M15" s="725">
        <f>K15</f>
        <v>18.2</v>
      </c>
      <c r="N15" s="1253">
        <f>J15*M15</f>
        <v>557793.6</v>
      </c>
      <c r="O15" s="639"/>
      <c r="P15" s="513"/>
      <c r="Q15" s="11" t="s">
        <v>24</v>
      </c>
      <c r="R15" s="29"/>
      <c r="S15" s="40">
        <f>'Group Home (rebased)'!P16</f>
        <v>69547</v>
      </c>
      <c r="T15" s="118" t="s">
        <v>69</v>
      </c>
      <c r="AA15" s="23"/>
      <c r="AB15" s="23"/>
      <c r="AC15" s="23"/>
    </row>
    <row r="16" spans="1:29" ht="13.15" x14ac:dyDescent="0.25">
      <c r="A16" s="4" t="s">
        <v>31</v>
      </c>
      <c r="C16" s="30">
        <f>S20</f>
        <v>30648</v>
      </c>
      <c r="D16" s="283">
        <f>S33</f>
        <v>1.3403846153846153</v>
      </c>
      <c r="E16" s="28">
        <f>C16*D16</f>
        <v>41080.107692307691</v>
      </c>
      <c r="F16" s="407"/>
      <c r="H16" s="443" t="s">
        <v>31</v>
      </c>
      <c r="I16" s="162"/>
      <c r="J16" s="1270">
        <f t="shared" si="0"/>
        <v>30648</v>
      </c>
      <c r="K16" s="178">
        <f>K15*S10</f>
        <v>2.8699999999999997</v>
      </c>
      <c r="L16" s="1269">
        <f>J16*K16</f>
        <v>87959.76</v>
      </c>
      <c r="M16" s="725">
        <f>K16</f>
        <v>2.8699999999999997</v>
      </c>
      <c r="N16" s="1253">
        <f>J16*M16</f>
        <v>87959.76</v>
      </c>
      <c r="O16" s="639"/>
      <c r="P16" s="513"/>
      <c r="Q16" s="11" t="s">
        <v>164</v>
      </c>
      <c r="R16" s="29"/>
      <c r="S16" s="40">
        <f>'Inten GH w exp. Nurs (rebased)'!J18</f>
        <v>49093.065313560001</v>
      </c>
      <c r="T16" s="118" t="s">
        <v>165</v>
      </c>
      <c r="AA16" s="23"/>
      <c r="AB16" s="23"/>
      <c r="AC16" s="23"/>
    </row>
    <row r="17" spans="1:29" ht="13.15" x14ac:dyDescent="0.25">
      <c r="A17" s="2" t="s">
        <v>6</v>
      </c>
      <c r="C17" s="30"/>
      <c r="D17" s="35"/>
      <c r="E17" s="28"/>
      <c r="F17" s="407"/>
      <c r="H17" s="440" t="s">
        <v>6</v>
      </c>
      <c r="I17" s="162"/>
      <c r="J17" s="280"/>
      <c r="K17" s="1265"/>
      <c r="L17" s="1224"/>
      <c r="M17" s="725"/>
      <c r="N17" s="1253"/>
      <c r="O17" s="513"/>
      <c r="Q17" s="7" t="s">
        <v>5</v>
      </c>
      <c r="R17" s="29"/>
      <c r="S17" s="40"/>
      <c r="T17" s="118"/>
      <c r="AA17" s="23"/>
      <c r="AB17" s="23"/>
      <c r="AC17" s="23"/>
    </row>
    <row r="18" spans="1:29" ht="13.15" x14ac:dyDescent="0.25">
      <c r="A18" s="3" t="s">
        <v>32</v>
      </c>
      <c r="C18" s="30">
        <f>S22</f>
        <v>30648</v>
      </c>
      <c r="D18" s="35">
        <f>S35</f>
        <v>0.5</v>
      </c>
      <c r="E18" s="28">
        <f>C18*D18</f>
        <v>15324</v>
      </c>
      <c r="F18" s="407"/>
      <c r="H18" s="434" t="s">
        <v>32</v>
      </c>
      <c r="I18" s="162"/>
      <c r="J18" s="280">
        <f t="shared" si="0"/>
        <v>30648</v>
      </c>
      <c r="K18" s="178">
        <f>S35</f>
        <v>0.5</v>
      </c>
      <c r="L18" s="1224">
        <f>J18*K18</f>
        <v>15324</v>
      </c>
      <c r="M18" s="1226">
        <f>K18</f>
        <v>0.5</v>
      </c>
      <c r="N18" s="1253">
        <f>J18*M18</f>
        <v>15324</v>
      </c>
      <c r="O18" s="639"/>
      <c r="P18" s="513"/>
      <c r="Q18" s="11" t="s">
        <v>59</v>
      </c>
      <c r="R18" s="29"/>
      <c r="S18" s="40">
        <f>'Group Home (rebased)'!P21</f>
        <v>47584</v>
      </c>
      <c r="T18" s="118"/>
      <c r="AA18" s="23"/>
      <c r="AB18" s="23"/>
      <c r="AC18" s="23"/>
    </row>
    <row r="19" spans="1:29" ht="13.15" x14ac:dyDescent="0.25">
      <c r="A19" s="31" t="s">
        <v>7</v>
      </c>
      <c r="B19" s="31"/>
      <c r="C19" s="31"/>
      <c r="D19" s="32">
        <f>SUM(D9:D18)</f>
        <v>14.090384615384615</v>
      </c>
      <c r="E19" s="33">
        <f>SUM(E9:E18)</f>
        <v>527489.17300586775</v>
      </c>
      <c r="F19" s="407"/>
      <c r="H19" s="1137" t="s">
        <v>7</v>
      </c>
      <c r="I19" s="1039"/>
      <c r="J19" s="1039"/>
      <c r="K19" s="1266">
        <f>SUM(K9:K18)</f>
        <v>25.32</v>
      </c>
      <c r="L19" s="1230">
        <f>SUM(L9:L18)</f>
        <v>871654.42531356006</v>
      </c>
      <c r="M19" s="1229">
        <f>SUM(M9:M18)</f>
        <v>28.532</v>
      </c>
      <c r="N19" s="1254">
        <f>SUM(N9:N18)</f>
        <v>1029417.1305782062</v>
      </c>
      <c r="O19" s="639"/>
      <c r="P19" s="513"/>
      <c r="Q19" s="11" t="s">
        <v>30</v>
      </c>
      <c r="R19" s="29"/>
      <c r="S19" s="40">
        <f>'Group Home (rebased)'!P23</f>
        <v>30648</v>
      </c>
      <c r="T19" s="118"/>
      <c r="AA19" s="23"/>
      <c r="AB19" s="23"/>
      <c r="AC19" s="23"/>
    </row>
    <row r="20" spans="1:29" ht="13.15" x14ac:dyDescent="0.25">
      <c r="F20" s="407"/>
      <c r="H20" s="448"/>
      <c r="I20" s="162"/>
      <c r="J20" s="162"/>
      <c r="K20" s="1220"/>
      <c r="L20" s="1221"/>
      <c r="M20" s="1220"/>
      <c r="N20" s="1251"/>
      <c r="O20" s="639"/>
      <c r="P20" s="513"/>
      <c r="Q20" s="42" t="s">
        <v>31</v>
      </c>
      <c r="R20" s="29"/>
      <c r="S20" s="40">
        <f>S19</f>
        <v>30648</v>
      </c>
      <c r="T20" s="118"/>
      <c r="AA20" s="23"/>
      <c r="AB20" s="23"/>
      <c r="AC20" s="23"/>
    </row>
    <row r="21" spans="1:29" ht="13.15" x14ac:dyDescent="0.25">
      <c r="A21" s="25" t="s">
        <v>21</v>
      </c>
      <c r="D21" s="25" t="s">
        <v>20</v>
      </c>
      <c r="F21" s="407"/>
      <c r="H21" s="1135" t="s">
        <v>21</v>
      </c>
      <c r="I21" s="162"/>
      <c r="J21" s="162"/>
      <c r="K21" s="1218" t="s">
        <v>20</v>
      </c>
      <c r="L21" s="1221"/>
      <c r="M21" s="1218" t="s">
        <v>20</v>
      </c>
      <c r="N21" s="1251"/>
      <c r="O21" s="640"/>
      <c r="P21" s="393"/>
      <c r="Q21" s="7" t="s">
        <v>6</v>
      </c>
      <c r="R21" s="29"/>
      <c r="S21" s="40"/>
      <c r="T21" s="118"/>
      <c r="AA21" s="23"/>
      <c r="AB21" s="23"/>
      <c r="AC21" s="23"/>
    </row>
    <row r="22" spans="1:29" ht="13.15" x14ac:dyDescent="0.25">
      <c r="A22" s="23" t="s">
        <v>22</v>
      </c>
      <c r="C22" s="97">
        <f>$S$38</f>
        <v>0.23424901786252411</v>
      </c>
      <c r="E22" s="28">
        <f>C22*E19</f>
        <v>123563.82070973958</v>
      </c>
      <c r="F22" s="407"/>
      <c r="H22" s="448" t="s">
        <v>22</v>
      </c>
      <c r="I22" s="162"/>
      <c r="J22" s="1043">
        <f>$S$38</f>
        <v>0.23424901786252411</v>
      </c>
      <c r="K22" s="1220"/>
      <c r="L22" s="1224">
        <f>J22*L19</f>
        <v>204184.19304522433</v>
      </c>
      <c r="M22" s="1220"/>
      <c r="N22" s="1253">
        <f>N19*J22</f>
        <v>241139.95180880252</v>
      </c>
      <c r="O22" s="638"/>
      <c r="P22" s="162"/>
      <c r="Q22" s="11" t="s">
        <v>166</v>
      </c>
      <c r="R22" s="29"/>
      <c r="S22" s="40">
        <f>'Group Home (rebased)'!P26</f>
        <v>30648</v>
      </c>
      <c r="T22" s="118" t="s">
        <v>70</v>
      </c>
      <c r="AA22" s="23"/>
      <c r="AB22" s="23"/>
      <c r="AC22" s="23"/>
    </row>
    <row r="23" spans="1:29" ht="13.15" x14ac:dyDescent="0.25">
      <c r="A23" s="31" t="s">
        <v>51</v>
      </c>
      <c r="B23" s="31"/>
      <c r="C23" s="31"/>
      <c r="D23" s="70">
        <f>E23/E6</f>
        <v>198.18964801083936</v>
      </c>
      <c r="E23" s="33">
        <f>E22+E19</f>
        <v>651052.99371560733</v>
      </c>
      <c r="F23" s="407"/>
      <c r="H23" s="1137" t="s">
        <v>51</v>
      </c>
      <c r="I23" s="1039"/>
      <c r="J23" s="1039"/>
      <c r="K23" s="1231">
        <f>L23/L6</f>
        <v>327.50034044407437</v>
      </c>
      <c r="L23" s="1230">
        <f>L22+L19</f>
        <v>1075838.6183587844</v>
      </c>
      <c r="M23" s="1231">
        <f>N23/N6</f>
        <v>386.77536754551255</v>
      </c>
      <c r="N23" s="1254">
        <f>N22+N19</f>
        <v>1270557.0823870087</v>
      </c>
      <c r="O23" s="638"/>
      <c r="P23" s="162"/>
      <c r="Q23" s="11"/>
      <c r="R23" s="29"/>
      <c r="S23" s="40"/>
      <c r="T23" s="117"/>
      <c r="W23" s="71"/>
      <c r="AA23" s="23"/>
      <c r="AB23" s="23"/>
      <c r="AC23" s="23"/>
    </row>
    <row r="24" spans="1:29" ht="13.15" x14ac:dyDescent="0.25">
      <c r="F24" s="407"/>
      <c r="H24" s="448"/>
      <c r="I24" s="162"/>
      <c r="J24" s="162"/>
      <c r="K24" s="1220"/>
      <c r="L24" s="1221"/>
      <c r="M24" s="1220"/>
      <c r="N24" s="1251"/>
      <c r="O24" s="639"/>
      <c r="P24" s="395"/>
      <c r="Q24" s="43"/>
      <c r="R24" s="29"/>
      <c r="S24" s="44" t="s">
        <v>37</v>
      </c>
      <c r="T24" s="137"/>
      <c r="AA24" s="23"/>
      <c r="AB24" s="23"/>
      <c r="AC24" s="23"/>
    </row>
    <row r="25" spans="1:29" ht="13.15" x14ac:dyDescent="0.25">
      <c r="F25" s="407"/>
      <c r="H25" s="448"/>
      <c r="I25" s="162"/>
      <c r="J25" s="162"/>
      <c r="K25" s="1220"/>
      <c r="L25" s="1221"/>
      <c r="M25" s="1220"/>
      <c r="N25" s="1251"/>
      <c r="O25" s="640"/>
      <c r="P25" s="516"/>
      <c r="Q25" s="43" t="s">
        <v>36</v>
      </c>
      <c r="R25" s="34"/>
      <c r="S25" s="57">
        <f>'[15]Sunshine Haven'!$J$25</f>
        <v>9</v>
      </c>
      <c r="T25" s="67"/>
      <c r="AA25" s="23"/>
      <c r="AB25" s="23"/>
      <c r="AC25" s="23"/>
    </row>
    <row r="26" spans="1:29" ht="13.15" x14ac:dyDescent="0.25">
      <c r="A26" s="23" t="s">
        <v>39</v>
      </c>
      <c r="D26" s="71">
        <f>$S$40</f>
        <v>31.13</v>
      </c>
      <c r="E26" s="105">
        <f>D26*(365*(4+4))</f>
        <v>90899.599999999991</v>
      </c>
      <c r="F26" s="407"/>
      <c r="H26" s="448" t="s">
        <v>39</v>
      </c>
      <c r="I26" s="162"/>
      <c r="J26" s="162"/>
      <c r="K26" s="1233">
        <f>$S$40</f>
        <v>31.13</v>
      </c>
      <c r="L26" s="1234">
        <f>K26*(365*(4+4))</f>
        <v>90899.599999999991</v>
      </c>
      <c r="M26" s="1233">
        <f>$S$40</f>
        <v>31.13</v>
      </c>
      <c r="N26" s="1255">
        <f>M26*(365*(4+4))</f>
        <v>90899.599999999991</v>
      </c>
      <c r="O26" s="638"/>
      <c r="P26" s="162"/>
      <c r="Q26" s="7" t="s">
        <v>19</v>
      </c>
      <c r="S26" s="148">
        <f>'[15]Sunshine Haven'!$J27</f>
        <v>1</v>
      </c>
      <c r="T26" s="149"/>
      <c r="AA26" s="23"/>
      <c r="AB26" s="23"/>
      <c r="AC26" s="23"/>
    </row>
    <row r="27" spans="1:29" ht="13.15" x14ac:dyDescent="0.25">
      <c r="A27" s="29" t="s">
        <v>40</v>
      </c>
      <c r="D27" s="71">
        <f>$S$41</f>
        <v>18.149999999999999</v>
      </c>
      <c r="E27" s="105">
        <f>D27*E6</f>
        <v>59622.749999999993</v>
      </c>
      <c r="F27" s="407"/>
      <c r="H27" s="448" t="s">
        <v>40</v>
      </c>
      <c r="I27" s="162"/>
      <c r="J27" s="162"/>
      <c r="K27" s="1233">
        <f>$S$41</f>
        <v>18.149999999999999</v>
      </c>
      <c r="L27" s="1234">
        <f>K27*L6</f>
        <v>59622.749999999993</v>
      </c>
      <c r="M27" s="1233">
        <f>$S$41</f>
        <v>18.149999999999999</v>
      </c>
      <c r="N27" s="1255">
        <f>M27*N6</f>
        <v>59622.749999999993</v>
      </c>
      <c r="O27" s="638"/>
      <c r="P27" s="162"/>
      <c r="Q27" s="7" t="s">
        <v>227</v>
      </c>
      <c r="S27" s="148"/>
      <c r="T27" s="149"/>
      <c r="AA27" s="23"/>
      <c r="AB27" s="23"/>
      <c r="AC27" s="23"/>
    </row>
    <row r="28" spans="1:29" ht="13.15" x14ac:dyDescent="0.25">
      <c r="A28" s="29" t="s">
        <v>42</v>
      </c>
      <c r="D28" s="71">
        <f>$S$42</f>
        <v>-1.9951315068493152</v>
      </c>
      <c r="E28" s="105">
        <f>D28*E6</f>
        <v>-6554.0070000000005</v>
      </c>
      <c r="F28" s="407"/>
      <c r="H28" s="448" t="s">
        <v>42</v>
      </c>
      <c r="I28" s="162"/>
      <c r="J28" s="162"/>
      <c r="K28" s="1233">
        <f>$S$42</f>
        <v>-1.9951315068493152</v>
      </c>
      <c r="L28" s="1234">
        <f>K28*L6</f>
        <v>-6554.0070000000005</v>
      </c>
      <c r="M28" s="1233">
        <f>$S$42</f>
        <v>-1.9951315068493152</v>
      </c>
      <c r="N28" s="1255">
        <f>M28*N6</f>
        <v>-6554.0070000000005</v>
      </c>
      <c r="O28" s="641"/>
      <c r="P28" s="395"/>
      <c r="Q28" s="11" t="s">
        <v>24</v>
      </c>
      <c r="S28" s="148">
        <f>'[15]Sunshine Haven'!$J29</f>
        <v>1</v>
      </c>
      <c r="T28" s="149"/>
      <c r="W28" s="177"/>
      <c r="X28" s="177"/>
      <c r="Y28" s="177"/>
      <c r="Z28" s="177"/>
      <c r="AA28" s="177"/>
      <c r="AB28" s="177"/>
      <c r="AC28" s="177"/>
    </row>
    <row r="29" spans="1:29" ht="13.15" x14ac:dyDescent="0.25">
      <c r="D29" s="72">
        <f>SUM(D26:D28)</f>
        <v>47.284868493150682</v>
      </c>
      <c r="F29" s="407"/>
      <c r="H29" s="448"/>
      <c r="I29" s="162"/>
      <c r="J29" s="162"/>
      <c r="K29" s="1235">
        <f>SUM(K26:K28)</f>
        <v>47.284868493150682</v>
      </c>
      <c r="L29" s="1221"/>
      <c r="M29" s="1235">
        <f>SUM(M26:M28)</f>
        <v>47.284868493150682</v>
      </c>
      <c r="N29" s="1251"/>
      <c r="O29" s="641"/>
      <c r="P29" s="395"/>
      <c r="Q29" s="11" t="s">
        <v>164</v>
      </c>
      <c r="S29" s="148">
        <f>'[15]Sunshine Haven'!$J30</f>
        <v>1</v>
      </c>
      <c r="T29" s="149"/>
      <c r="V29" s="177"/>
      <c r="AA29" s="23"/>
      <c r="AB29" s="23"/>
      <c r="AC29" s="23"/>
    </row>
    <row r="30" spans="1:29" ht="13.15" x14ac:dyDescent="0.25">
      <c r="F30" s="407"/>
      <c r="H30" s="448"/>
      <c r="I30" s="162"/>
      <c r="J30" s="162"/>
      <c r="K30" s="1220"/>
      <c r="L30" s="1221"/>
      <c r="M30" s="1220"/>
      <c r="N30" s="1251"/>
      <c r="O30" s="641"/>
      <c r="P30" s="395"/>
      <c r="Q30" s="7" t="s">
        <v>5</v>
      </c>
      <c r="S30" s="148"/>
      <c r="T30" s="149"/>
      <c r="V30" s="177"/>
      <c r="AA30" s="23"/>
      <c r="AB30" s="23"/>
      <c r="AC30" s="23"/>
    </row>
    <row r="31" spans="1:29" ht="13.15" x14ac:dyDescent="0.25">
      <c r="A31" s="31" t="s">
        <v>43</v>
      </c>
      <c r="B31" s="31"/>
      <c r="C31" s="31"/>
      <c r="D31" s="31"/>
      <c r="E31" s="33">
        <f>SUM(E23:E28)</f>
        <v>795021.33671560732</v>
      </c>
      <c r="F31" s="407"/>
      <c r="H31" s="1137" t="s">
        <v>43</v>
      </c>
      <c r="I31" s="1039"/>
      <c r="J31" s="1039"/>
      <c r="K31" s="1236"/>
      <c r="L31" s="1230">
        <f>SUM(L23:L28)</f>
        <v>1219806.9613587845</v>
      </c>
      <c r="M31" s="1236"/>
      <c r="N31" s="1254">
        <f>SUM(N23:N28)</f>
        <v>1414525.4253870088</v>
      </c>
      <c r="O31" s="638"/>
      <c r="P31" s="162"/>
      <c r="Q31" s="11" t="s">
        <v>59</v>
      </c>
      <c r="R31" s="29"/>
      <c r="S31" s="148">
        <f>'[15]Sunshine Haven'!$J32</f>
        <v>0.75</v>
      </c>
      <c r="T31" s="149"/>
      <c r="V31" s="177"/>
      <c r="AA31" s="23"/>
      <c r="AB31" s="23"/>
      <c r="AC31" s="23"/>
    </row>
    <row r="32" spans="1:29" ht="13.15" x14ac:dyDescent="0.25">
      <c r="F32" s="407"/>
      <c r="H32" s="448"/>
      <c r="I32" s="162"/>
      <c r="J32" s="162"/>
      <c r="K32" s="1220"/>
      <c r="L32" s="1221"/>
      <c r="M32" s="1220"/>
      <c r="N32" s="1251"/>
      <c r="O32" s="638"/>
      <c r="P32" s="162"/>
      <c r="Q32" s="11" t="s">
        <v>30</v>
      </c>
      <c r="S32" s="148">
        <v>8.5</v>
      </c>
      <c r="T32" s="149"/>
      <c r="AA32" s="23"/>
      <c r="AB32" s="23"/>
      <c r="AC32" s="23"/>
    </row>
    <row r="33" spans="1:29" ht="13.15" x14ac:dyDescent="0.25">
      <c r="A33" s="23" t="s">
        <v>44</v>
      </c>
      <c r="C33" s="97">
        <f>$S$45</f>
        <v>0.11846733793705286</v>
      </c>
      <c r="E33" s="28">
        <f>C33*E31</f>
        <v>94184.061363855348</v>
      </c>
      <c r="F33" s="407"/>
      <c r="H33" s="448" t="s">
        <v>44</v>
      </c>
      <c r="I33" s="162"/>
      <c r="J33" s="1043">
        <f>$S$45</f>
        <v>0.11846733793705286</v>
      </c>
      <c r="K33" s="1220"/>
      <c r="L33" s="1224">
        <f>J33*L31</f>
        <v>144507.28350926068</v>
      </c>
      <c r="M33" s="1220"/>
      <c r="N33" s="1253">
        <f>N31*J33</f>
        <v>167575.06158987622</v>
      </c>
      <c r="O33" s="640"/>
      <c r="P33" s="516"/>
      <c r="Q33" s="42" t="s">
        <v>31</v>
      </c>
      <c r="S33" s="471">
        <f>S32*S10</f>
        <v>1.3403846153846153</v>
      </c>
      <c r="T33" s="111"/>
      <c r="AA33" s="23"/>
      <c r="AB33" s="23"/>
      <c r="AC33" s="23"/>
    </row>
    <row r="34" spans="1:29" ht="13.15" x14ac:dyDescent="0.25">
      <c r="F34" s="407"/>
      <c r="H34" s="448"/>
      <c r="I34" s="162"/>
      <c r="J34" s="162"/>
      <c r="K34" s="1220"/>
      <c r="L34" s="1221"/>
      <c r="M34" s="1220"/>
      <c r="N34" s="1251"/>
      <c r="O34" s="638"/>
      <c r="P34" s="162"/>
      <c r="Q34" s="7" t="s">
        <v>6</v>
      </c>
      <c r="S34" s="148"/>
      <c r="T34" s="149"/>
      <c r="Y34" s="177"/>
      <c r="AA34" s="23"/>
      <c r="AB34" s="23"/>
      <c r="AC34" s="23"/>
    </row>
    <row r="35" spans="1:29" ht="13.9" thickBot="1" x14ac:dyDescent="0.3">
      <c r="A35" s="73" t="s">
        <v>52</v>
      </c>
      <c r="B35" s="74"/>
      <c r="C35" s="74"/>
      <c r="D35" s="74"/>
      <c r="E35" s="75">
        <f>SUM(E31:E33)</f>
        <v>889205.3980794627</v>
      </c>
      <c r="F35" s="407"/>
      <c r="H35" s="1161" t="s">
        <v>52</v>
      </c>
      <c r="I35" s="1050"/>
      <c r="J35" s="1050"/>
      <c r="K35" s="1238"/>
      <c r="L35" s="1239">
        <f>SUM(L31:L33)</f>
        <v>1364314.2448680452</v>
      </c>
      <c r="M35" s="1238"/>
      <c r="N35" s="1256">
        <f>SUM(N31:N33)</f>
        <v>1582100.486976885</v>
      </c>
      <c r="O35" s="639"/>
      <c r="P35" s="395"/>
      <c r="Q35" s="11" t="s">
        <v>166</v>
      </c>
      <c r="S35" s="148">
        <f>'[15]Sunshine Haven'!$J36</f>
        <v>0.5</v>
      </c>
      <c r="T35" s="149"/>
      <c r="AA35" s="23"/>
      <c r="AB35" s="23"/>
      <c r="AC35" s="23"/>
    </row>
    <row r="36" spans="1:29" ht="13.9" thickTop="1" x14ac:dyDescent="0.25">
      <c r="F36" s="407"/>
      <c r="H36" s="448"/>
      <c r="I36" s="162"/>
      <c r="J36" s="162"/>
      <c r="K36" s="1220"/>
      <c r="L36" s="1221"/>
      <c r="M36" s="1220"/>
      <c r="N36" s="1251"/>
      <c r="O36" s="638"/>
      <c r="P36" s="162"/>
      <c r="Q36" s="43"/>
      <c r="R36" s="29"/>
      <c r="S36" s="29"/>
      <c r="T36" s="41"/>
      <c r="AA36" s="23"/>
      <c r="AB36" s="23"/>
      <c r="AC36" s="23"/>
    </row>
    <row r="37" spans="1:29" ht="13.15" x14ac:dyDescent="0.25">
      <c r="A37" s="23" t="s">
        <v>53</v>
      </c>
      <c r="C37" s="98">
        <f>$S$55</f>
        <v>2.3900000000000001E-2</v>
      </c>
      <c r="E37" s="77">
        <f>E35*(1+C37)</f>
        <v>910457.40709356184</v>
      </c>
      <c r="F37" s="407"/>
      <c r="H37" s="448"/>
      <c r="I37" s="162"/>
      <c r="J37" s="1055"/>
      <c r="K37" s="1220"/>
      <c r="L37" s="1240">
        <f>L35*(1+J37)</f>
        <v>1364314.2448680452</v>
      </c>
      <c r="M37" s="1220"/>
      <c r="N37" s="1070">
        <f>N35*(1+J37)+4</f>
        <v>1582104.486976885</v>
      </c>
      <c r="O37" s="640"/>
      <c r="P37" s="516"/>
      <c r="Q37" s="43"/>
      <c r="R37" s="29"/>
      <c r="S37" s="44" t="s">
        <v>100</v>
      </c>
      <c r="T37" s="137"/>
      <c r="AA37" s="23"/>
      <c r="AB37" s="23"/>
      <c r="AC37" s="23"/>
    </row>
    <row r="38" spans="1:29" ht="13.15" x14ac:dyDescent="0.25">
      <c r="F38" s="407"/>
      <c r="H38" s="448"/>
      <c r="I38" s="162"/>
      <c r="J38" s="162"/>
      <c r="K38" s="1220"/>
      <c r="L38" s="1221"/>
      <c r="M38" s="1220"/>
      <c r="N38" s="1251"/>
      <c r="O38" s="638"/>
      <c r="P38" s="162"/>
      <c r="Q38" s="43" t="s">
        <v>22</v>
      </c>
      <c r="R38" s="29"/>
      <c r="S38" s="95">
        <f>'Group Home'!Q47</f>
        <v>0.23424901786252411</v>
      </c>
      <c r="T38" s="138"/>
      <c r="AA38" s="23"/>
      <c r="AB38" s="23"/>
      <c r="AC38" s="23"/>
    </row>
    <row r="39" spans="1:29" ht="13.15" x14ac:dyDescent="0.25">
      <c r="E39" s="92" t="s">
        <v>56</v>
      </c>
      <c r="F39" s="407"/>
      <c r="H39" s="448"/>
      <c r="I39" s="162"/>
      <c r="J39" s="162"/>
      <c r="K39" s="1220"/>
      <c r="L39" s="1242" t="s">
        <v>789</v>
      </c>
      <c r="M39" s="1220"/>
      <c r="N39" s="1257" t="s">
        <v>789</v>
      </c>
      <c r="O39" s="642"/>
      <c r="P39" s="395"/>
      <c r="Q39" s="43"/>
      <c r="R39" s="29"/>
      <c r="S39" s="48"/>
      <c r="T39" s="139"/>
      <c r="AA39" s="23"/>
      <c r="AB39" s="23"/>
      <c r="AC39" s="23"/>
    </row>
    <row r="40" spans="1:29" x14ac:dyDescent="0.2">
      <c r="A40" s="23" t="s">
        <v>55</v>
      </c>
      <c r="D40" s="76">
        <f>E35/E6</f>
        <v>270.68657475782732</v>
      </c>
      <c r="E40" s="76">
        <f>D40*(1+C37)</f>
        <v>277.15598389453942</v>
      </c>
      <c r="F40" s="407"/>
      <c r="H40" s="448" t="s">
        <v>55</v>
      </c>
      <c r="I40" s="162"/>
      <c r="J40" s="162"/>
      <c r="K40" s="398">
        <f>L35/L6</f>
        <v>415.31636069042474</v>
      </c>
      <c r="L40" s="1243">
        <f>K40*(1+J37)</f>
        <v>415.31636069042474</v>
      </c>
      <c r="M40" s="481"/>
      <c r="N40" s="1258">
        <f>N37/N6</f>
        <v>481.61476011472905</v>
      </c>
      <c r="O40" s="638"/>
      <c r="P40" s="162"/>
      <c r="Q40" s="43" t="s">
        <v>39</v>
      </c>
      <c r="R40" s="29"/>
      <c r="S40" s="59">
        <v>31.13</v>
      </c>
      <c r="T40" s="146" t="s">
        <v>139</v>
      </c>
      <c r="U40" s="115"/>
      <c r="AA40" s="23"/>
      <c r="AB40" s="23"/>
      <c r="AC40" s="23"/>
    </row>
    <row r="41" spans="1:29" ht="13.15" x14ac:dyDescent="0.25">
      <c r="A41" s="377" t="s">
        <v>455</v>
      </c>
      <c r="B41" s="378"/>
      <c r="C41" s="379">
        <f>'CAF Spring 2015'!BC24</f>
        <v>2.0354406130268236E-2</v>
      </c>
      <c r="D41" s="380"/>
      <c r="E41" s="380"/>
      <c r="F41" s="386">
        <f>E40*(1+C41)</f>
        <v>282.79732935216299</v>
      </c>
      <c r="H41" s="1080" t="s">
        <v>827</v>
      </c>
      <c r="I41" s="162"/>
      <c r="J41" s="1026"/>
      <c r="K41" s="398"/>
      <c r="L41" s="1243">
        <f>L40*(1+J41)</f>
        <v>415.31636069042474</v>
      </c>
      <c r="M41" s="481"/>
      <c r="N41" s="1258">
        <f>N40*(1+J41)</f>
        <v>481.61476011472905</v>
      </c>
      <c r="O41" s="643"/>
      <c r="P41" s="397"/>
      <c r="Q41" s="43" t="s">
        <v>40</v>
      </c>
      <c r="R41" s="29"/>
      <c r="S41" s="59">
        <v>18.149999999999999</v>
      </c>
      <c r="T41" s="141"/>
      <c r="AA41" s="23"/>
      <c r="AB41" s="23"/>
      <c r="AC41" s="23"/>
    </row>
    <row r="42" spans="1:29" ht="13.9" thickBot="1" x14ac:dyDescent="0.3">
      <c r="A42" s="78" t="s">
        <v>54</v>
      </c>
      <c r="B42" s="79">
        <v>0.9</v>
      </c>
      <c r="C42" s="80"/>
      <c r="D42" s="86">
        <f>E35/(E6*B42)</f>
        <v>300.76286084203036</v>
      </c>
      <c r="E42" s="384">
        <f>D42*(1+C37)</f>
        <v>307.9510932161549</v>
      </c>
      <c r="F42" s="517">
        <f>$F$41/B42</f>
        <v>314.21925483573665</v>
      </c>
      <c r="H42" s="1166" t="s">
        <v>54</v>
      </c>
      <c r="I42" s="1167">
        <v>0.9</v>
      </c>
      <c r="J42" s="1168"/>
      <c r="K42" s="742"/>
      <c r="L42" s="1382">
        <f>L41/I42</f>
        <v>461.4626229893608</v>
      </c>
      <c r="M42" s="742"/>
      <c r="N42" s="1389">
        <f>N41/I42+4.78</f>
        <v>539.90751123858774</v>
      </c>
      <c r="O42" s="416"/>
      <c r="P42" s="394"/>
      <c r="Q42" s="43" t="s">
        <v>42</v>
      </c>
      <c r="R42" s="29"/>
      <c r="S42" s="59">
        <f>'Group Home'!Q52</f>
        <v>-1.9951315068493152</v>
      </c>
      <c r="T42" s="141"/>
      <c r="AA42" s="23"/>
      <c r="AB42" s="23"/>
      <c r="AC42" s="23"/>
    </row>
    <row r="43" spans="1:29" ht="13.9" thickBot="1" x14ac:dyDescent="0.3">
      <c r="A43" s="81"/>
      <c r="B43" s="82">
        <v>0.85</v>
      </c>
      <c r="C43" s="83"/>
      <c r="D43" s="88">
        <f>E35/(E6*B43)</f>
        <v>318.45479383273801</v>
      </c>
      <c r="E43" s="88">
        <f>D43*(1+C37)</f>
        <v>326.06586340534045</v>
      </c>
      <c r="F43" s="386"/>
      <c r="H43" s="1373" t="s">
        <v>761</v>
      </c>
      <c r="I43" s="1374"/>
      <c r="J43" s="1375">
        <f>S55</f>
        <v>2.3900000000000001E-2</v>
      </c>
      <c r="K43" s="1085"/>
      <c r="L43" s="1210">
        <f>L42*(J43+1)</f>
        <v>472.49157967880654</v>
      </c>
      <c r="M43" s="1390"/>
      <c r="N43" s="1210">
        <f>N42*(J43+1)</f>
        <v>552.81130075719</v>
      </c>
      <c r="O43" s="416"/>
      <c r="P43" s="398"/>
      <c r="Q43" s="101" t="s">
        <v>43</v>
      </c>
      <c r="R43" s="102"/>
      <c r="S43" s="103">
        <f>SUM(S40:S42)</f>
        <v>47.284868493150682</v>
      </c>
      <c r="T43" s="142"/>
      <c r="AA43" s="23"/>
      <c r="AB43" s="23"/>
      <c r="AC43" s="23"/>
    </row>
    <row r="44" spans="1:29" ht="13.9" thickBot="1" x14ac:dyDescent="0.3">
      <c r="A44" s="84"/>
      <c r="B44" s="85">
        <v>0.8</v>
      </c>
      <c r="C44" s="34"/>
      <c r="D44" s="90">
        <f>E35/(E6*B44)</f>
        <v>338.35821844728412</v>
      </c>
      <c r="E44" s="90">
        <f>D44*(1+C37)</f>
        <v>346.44497986817424</v>
      </c>
      <c r="F44" s="387"/>
      <c r="H44" s="1173"/>
      <c r="I44" s="1260"/>
      <c r="J44" s="1174"/>
      <c r="K44" s="1200"/>
      <c r="L44" s="1261" t="s">
        <v>829</v>
      </c>
      <c r="M44" s="1263"/>
      <c r="N44" s="1264"/>
      <c r="O44" s="759"/>
      <c r="P44" s="398"/>
      <c r="Q44" s="43"/>
      <c r="R44" s="29"/>
      <c r="S44" s="29"/>
      <c r="T44" s="41"/>
      <c r="AA44" s="23"/>
      <c r="AB44" s="23"/>
      <c r="AC44" s="23"/>
    </row>
    <row r="45" spans="1:29" ht="13.15" x14ac:dyDescent="0.25">
      <c r="O45" s="614"/>
      <c r="P45" s="398"/>
      <c r="Q45" s="43" t="s">
        <v>44</v>
      </c>
      <c r="R45" s="29"/>
      <c r="S45" s="95">
        <f>'Group Home'!Q55</f>
        <v>0.11846733793705286</v>
      </c>
      <c r="T45" s="138"/>
      <c r="AA45" s="23"/>
      <c r="AB45" s="23"/>
      <c r="AC45" s="23"/>
    </row>
    <row r="46" spans="1:29" ht="13.15" x14ac:dyDescent="0.25">
      <c r="O46" s="614"/>
      <c r="P46" s="398"/>
      <c r="Q46" s="43"/>
      <c r="R46" s="29"/>
      <c r="S46" s="95"/>
      <c r="T46" s="138"/>
      <c r="AA46" s="23"/>
      <c r="AB46" s="23"/>
      <c r="AC46" s="23"/>
    </row>
    <row r="47" spans="1:29" ht="13.15" x14ac:dyDescent="0.25">
      <c r="O47" s="614"/>
      <c r="P47" s="398"/>
      <c r="Q47" s="43"/>
      <c r="R47" s="29"/>
      <c r="S47" s="95"/>
      <c r="T47" s="138"/>
      <c r="AA47" s="23"/>
      <c r="AB47" s="23"/>
      <c r="AC47" s="23"/>
    </row>
    <row r="48" spans="1:29" ht="13.15" x14ac:dyDescent="0.25">
      <c r="O48" s="614"/>
      <c r="P48" s="398"/>
      <c r="Q48" s="43"/>
      <c r="R48" s="29"/>
      <c r="S48" s="95"/>
      <c r="T48" s="138"/>
      <c r="AA48" s="23"/>
      <c r="AB48" s="23"/>
      <c r="AC48" s="23"/>
    </row>
    <row r="49" spans="7:29" ht="13.15" x14ac:dyDescent="0.25">
      <c r="O49" s="614"/>
      <c r="P49" s="398"/>
      <c r="Q49" s="43"/>
      <c r="R49" s="29"/>
      <c r="S49" s="95"/>
      <c r="T49" s="138"/>
      <c r="AA49" s="23"/>
      <c r="AB49" s="23"/>
      <c r="AC49" s="23"/>
    </row>
    <row r="50" spans="7:29" ht="13.15" x14ac:dyDescent="0.25">
      <c r="O50" s="614"/>
      <c r="P50" s="398"/>
      <c r="Q50" s="43"/>
      <c r="R50" s="29"/>
      <c r="S50" s="95"/>
      <c r="T50" s="138"/>
      <c r="AA50" s="23"/>
      <c r="AB50" s="23"/>
      <c r="AC50" s="23"/>
    </row>
    <row r="51" spans="7:29" ht="13.15" x14ac:dyDescent="0.25">
      <c r="O51" s="614"/>
      <c r="P51" s="398"/>
      <c r="Q51" s="43"/>
      <c r="R51" s="29"/>
      <c r="S51" s="95"/>
      <c r="T51" s="138"/>
      <c r="AA51" s="23"/>
      <c r="AB51" s="23"/>
      <c r="AC51" s="23"/>
    </row>
    <row r="52" spans="7:29" ht="13.15" x14ac:dyDescent="0.25">
      <c r="O52" s="614"/>
      <c r="P52" s="398"/>
      <c r="Q52" s="43"/>
      <c r="R52" s="29"/>
      <c r="S52" s="95"/>
      <c r="T52" s="138"/>
      <c r="AA52" s="23"/>
      <c r="AB52" s="23"/>
      <c r="AC52" s="23"/>
    </row>
    <row r="53" spans="7:29" ht="13.15" x14ac:dyDescent="0.25">
      <c r="G53" s="506"/>
      <c r="O53" s="614"/>
      <c r="P53" s="398"/>
      <c r="Q53" s="43"/>
      <c r="R53" s="29"/>
      <c r="S53" s="29"/>
      <c r="T53" s="41"/>
      <c r="X53" s="484"/>
      <c r="AA53" s="23"/>
      <c r="AB53" s="23"/>
      <c r="AC53" s="23"/>
    </row>
    <row r="54" spans="7:29" ht="13.15" x14ac:dyDescent="0.25">
      <c r="G54" s="506"/>
      <c r="O54" s="614"/>
      <c r="P54" s="398"/>
      <c r="Q54" s="43"/>
      <c r="R54" s="29"/>
      <c r="S54" s="29"/>
      <c r="T54" s="41"/>
      <c r="X54" s="484"/>
      <c r="AA54" s="23"/>
      <c r="AB54" s="23"/>
      <c r="AC54" s="23"/>
    </row>
    <row r="55" spans="7:29" ht="13.9" customHeight="1" thickBot="1" x14ac:dyDescent="0.25">
      <c r="G55" s="515"/>
      <c r="H55" s="1535" t="s">
        <v>335</v>
      </c>
      <c r="I55" s="1536"/>
      <c r="J55" s="1536"/>
      <c r="K55" s="1536"/>
      <c r="L55" s="1537"/>
      <c r="M55" s="1540" t="s">
        <v>503</v>
      </c>
      <c r="N55" s="1541"/>
      <c r="O55" s="635"/>
      <c r="P55" s="162"/>
      <c r="Q55" s="239" t="s">
        <v>824</v>
      </c>
      <c r="R55" s="52"/>
      <c r="S55" s="96">
        <v>2.3900000000000001E-2</v>
      </c>
      <c r="T55" s="156" t="s">
        <v>145</v>
      </c>
      <c r="AA55" s="23"/>
      <c r="AB55" s="23"/>
      <c r="AC55" s="23"/>
    </row>
    <row r="56" spans="7:29" ht="14.45" customHeight="1" thickBot="1" x14ac:dyDescent="0.25">
      <c r="G56" s="515"/>
      <c r="H56" s="1538"/>
      <c r="I56" s="1530"/>
      <c r="J56" s="1530"/>
      <c r="K56" s="1530"/>
      <c r="L56" s="1539"/>
      <c r="M56" s="1542"/>
      <c r="N56" s="1543"/>
      <c r="P56" s="162"/>
      <c r="Q56" s="29"/>
      <c r="R56" s="29"/>
      <c r="S56" s="519"/>
      <c r="T56" s="520"/>
      <c r="AA56" s="23"/>
      <c r="AB56" s="23"/>
      <c r="AC56" s="23"/>
    </row>
    <row r="57" spans="7:29" ht="13.15" x14ac:dyDescent="0.25">
      <c r="G57" s="162"/>
      <c r="H57" s="1245" t="s">
        <v>0</v>
      </c>
      <c r="I57" s="1246">
        <v>12</v>
      </c>
      <c r="J57" s="1247"/>
      <c r="K57" s="1247" t="s">
        <v>1</v>
      </c>
      <c r="L57" s="1248">
        <f>I57*365</f>
        <v>4380</v>
      </c>
      <c r="M57" s="1249" t="s">
        <v>1</v>
      </c>
      <c r="N57" s="1250">
        <f>I57*365</f>
        <v>4380</v>
      </c>
      <c r="O57" s="636"/>
    </row>
    <row r="58" spans="7:29" ht="13.15" x14ac:dyDescent="0.25">
      <c r="G58" s="162"/>
      <c r="H58" s="448"/>
      <c r="I58" s="162"/>
      <c r="J58" s="162"/>
      <c r="K58" s="162"/>
      <c r="L58" s="1219"/>
      <c r="M58" s="1220"/>
      <c r="N58" s="1251"/>
      <c r="O58" s="636"/>
    </row>
    <row r="59" spans="7:29" ht="13.15" x14ac:dyDescent="0.25">
      <c r="G59" s="335"/>
      <c r="H59" s="1153"/>
      <c r="I59" s="1151"/>
      <c r="J59" s="1152" t="s">
        <v>2</v>
      </c>
      <c r="K59" s="1145" t="s">
        <v>3</v>
      </c>
      <c r="L59" s="1222" t="s">
        <v>4</v>
      </c>
      <c r="M59" s="507" t="s">
        <v>3</v>
      </c>
      <c r="N59" s="1252" t="s">
        <v>4</v>
      </c>
      <c r="O59" s="637"/>
      <c r="AA59" s="23"/>
      <c r="AB59" s="23"/>
      <c r="AC59" s="23"/>
    </row>
    <row r="60" spans="7:29" ht="13.15" x14ac:dyDescent="0.25">
      <c r="G60" s="513"/>
      <c r="H60" s="1156" t="s">
        <v>19</v>
      </c>
      <c r="I60" s="162"/>
      <c r="J60" s="280">
        <f>S13</f>
        <v>56249</v>
      </c>
      <c r="K60" s="1244">
        <v>1.75</v>
      </c>
      <c r="L60" s="824">
        <f>J60*K60</f>
        <v>98435.75</v>
      </c>
      <c r="M60" s="723">
        <v>1.75</v>
      </c>
      <c r="N60" s="1253">
        <f>J60*M60</f>
        <v>98435.75</v>
      </c>
      <c r="O60" s="638"/>
    </row>
    <row r="61" spans="7:29" ht="13.15" x14ac:dyDescent="0.25">
      <c r="G61" s="513"/>
      <c r="H61" s="440" t="s">
        <v>227</v>
      </c>
      <c r="I61" s="162"/>
      <c r="J61" s="280"/>
      <c r="K61" s="1244"/>
      <c r="L61" s="824"/>
      <c r="M61" s="725"/>
      <c r="N61" s="1253"/>
      <c r="O61" s="675"/>
    </row>
    <row r="62" spans="7:29" ht="13.15" x14ac:dyDescent="0.25">
      <c r="G62" s="513"/>
      <c r="H62" s="434" t="s">
        <v>24</v>
      </c>
      <c r="I62" s="162"/>
      <c r="J62" s="280">
        <f>S15</f>
        <v>69547</v>
      </c>
      <c r="K62" s="1267">
        <f>S28*(12/9)</f>
        <v>1.3333333333333333</v>
      </c>
      <c r="L62" s="1278">
        <f>J62*K62</f>
        <v>92729.333333333328</v>
      </c>
      <c r="M62" s="725">
        <f>K62</f>
        <v>1.3333333333333333</v>
      </c>
      <c r="N62" s="1253">
        <f>J62*M62</f>
        <v>92729.333333333328</v>
      </c>
      <c r="O62" s="639"/>
    </row>
    <row r="63" spans="7:29" ht="13.15" x14ac:dyDescent="0.25">
      <c r="G63" s="513"/>
      <c r="H63" s="434" t="s">
        <v>164</v>
      </c>
      <c r="I63" s="162"/>
      <c r="J63" s="280">
        <f>S16</f>
        <v>49093.065313560001</v>
      </c>
      <c r="K63" s="1244">
        <f>S28*(12/9)</f>
        <v>1.3333333333333333</v>
      </c>
      <c r="L63" s="1278">
        <f>J63*K63</f>
        <v>65457.420418080001</v>
      </c>
      <c r="M63" s="1244">
        <v>4.2</v>
      </c>
      <c r="N63" s="1253">
        <f>J63*M63</f>
        <v>206190.87431695202</v>
      </c>
      <c r="O63" s="639"/>
    </row>
    <row r="64" spans="7:29" ht="13.15" x14ac:dyDescent="0.25">
      <c r="G64" s="513"/>
      <c r="H64" s="440" t="s">
        <v>5</v>
      </c>
      <c r="I64" s="162"/>
      <c r="J64" s="280"/>
      <c r="K64" s="1267"/>
      <c r="L64" s="1278"/>
      <c r="M64" s="725"/>
      <c r="N64" s="1253"/>
      <c r="O64" s="639"/>
    </row>
    <row r="65" spans="7:33" ht="13.15" x14ac:dyDescent="0.25">
      <c r="G65" s="513"/>
      <c r="H65" s="434" t="s">
        <v>59</v>
      </c>
      <c r="I65" s="162"/>
      <c r="J65" s="280">
        <f>S18</f>
        <v>47584</v>
      </c>
      <c r="K65" s="1267">
        <f>S31</f>
        <v>0.75</v>
      </c>
      <c r="L65" s="1278">
        <f>J65*K65</f>
        <v>35688</v>
      </c>
      <c r="M65" s="725">
        <f>K65</f>
        <v>0.75</v>
      </c>
      <c r="N65" s="1253">
        <f>J65*M65</f>
        <v>35688</v>
      </c>
      <c r="O65" s="639"/>
    </row>
    <row r="66" spans="7:33" ht="13.15" x14ac:dyDescent="0.25">
      <c r="G66" s="513"/>
      <c r="H66" s="434" t="s">
        <v>30</v>
      </c>
      <c r="I66" s="162"/>
      <c r="J66" s="280">
        <f>S19</f>
        <v>30648</v>
      </c>
      <c r="K66" s="1244">
        <f>H148</f>
        <v>22.4</v>
      </c>
      <c r="L66" s="1278">
        <f>J66*K66</f>
        <v>686515.19999999995</v>
      </c>
      <c r="M66" s="725">
        <f>K66</f>
        <v>22.4</v>
      </c>
      <c r="N66" s="1253">
        <f>J66*M66</f>
        <v>686515.19999999995</v>
      </c>
      <c r="O66" s="639"/>
    </row>
    <row r="67" spans="7:33" ht="13.15" x14ac:dyDescent="0.25">
      <c r="G67" s="513"/>
      <c r="H67" s="443" t="s">
        <v>31</v>
      </c>
      <c r="I67" s="162"/>
      <c r="J67" s="280">
        <f>S20</f>
        <v>30648</v>
      </c>
      <c r="K67" s="1268">
        <f>K66*S10</f>
        <v>3.5323076923076919</v>
      </c>
      <c r="L67" s="1278">
        <f>J67*K67</f>
        <v>108258.16615384615</v>
      </c>
      <c r="M67" s="725">
        <f>K67</f>
        <v>3.5323076923076919</v>
      </c>
      <c r="N67" s="1253">
        <f>J67*M67</f>
        <v>108258.16615384615</v>
      </c>
      <c r="O67" s="639"/>
      <c r="AG67" s="177"/>
    </row>
    <row r="68" spans="7:33" ht="13.15" x14ac:dyDescent="0.25">
      <c r="G68" s="513"/>
      <c r="H68" s="440" t="s">
        <v>6</v>
      </c>
      <c r="I68" s="162"/>
      <c r="J68" s="280"/>
      <c r="K68" s="195"/>
      <c r="L68" s="824"/>
      <c r="M68" s="725"/>
      <c r="N68" s="1253"/>
      <c r="O68" s="513"/>
      <c r="AG68" s="177"/>
    </row>
    <row r="69" spans="7:33" ht="13.15" x14ac:dyDescent="0.25">
      <c r="G69" s="513"/>
      <c r="H69" s="434" t="s">
        <v>32</v>
      </c>
      <c r="I69" s="162"/>
      <c r="J69" s="280">
        <f>S22</f>
        <v>30648</v>
      </c>
      <c r="K69" s="195">
        <f>S35</f>
        <v>0.5</v>
      </c>
      <c r="L69" s="824">
        <f>J69*K69</f>
        <v>15324</v>
      </c>
      <c r="M69" s="1226">
        <f>K69</f>
        <v>0.5</v>
      </c>
      <c r="N69" s="1253">
        <f>J69*M69</f>
        <v>15324</v>
      </c>
      <c r="O69" s="639"/>
    </row>
    <row r="70" spans="7:33" ht="13.15" x14ac:dyDescent="0.25">
      <c r="G70" s="393"/>
      <c r="H70" s="1137" t="s">
        <v>7</v>
      </c>
      <c r="I70" s="1039"/>
      <c r="J70" s="1039"/>
      <c r="K70" s="1040">
        <f>SUM(K60:K69)</f>
        <v>31.598974358974356</v>
      </c>
      <c r="L70" s="1228">
        <f>SUM(L60:L69)</f>
        <v>1102407.8699052595</v>
      </c>
      <c r="M70" s="1229">
        <f>SUM(M60:M69)</f>
        <v>34.46564102564102</v>
      </c>
      <c r="N70" s="1254">
        <f>SUM(N60:N69)</f>
        <v>1243141.3238041315</v>
      </c>
      <c r="O70" s="639"/>
    </row>
    <row r="71" spans="7:33" ht="13.15" x14ac:dyDescent="0.25">
      <c r="G71" s="162"/>
      <c r="H71" s="448"/>
      <c r="I71" s="162"/>
      <c r="J71" s="162"/>
      <c r="K71" s="162"/>
      <c r="L71" s="1219"/>
      <c r="M71" s="1220"/>
      <c r="N71" s="1251"/>
      <c r="O71" s="639"/>
    </row>
    <row r="72" spans="7:33" ht="13.15" x14ac:dyDescent="0.25">
      <c r="G72" s="162"/>
      <c r="H72" s="1135" t="s">
        <v>21</v>
      </c>
      <c r="I72" s="162"/>
      <c r="J72" s="162"/>
      <c r="K72" s="391" t="s">
        <v>20</v>
      </c>
      <c r="L72" s="1219"/>
      <c r="M72" s="1218" t="s">
        <v>20</v>
      </c>
      <c r="N72" s="1251"/>
      <c r="O72" s="640"/>
    </row>
    <row r="73" spans="7:33" ht="13.15" x14ac:dyDescent="0.25">
      <c r="G73" s="395"/>
      <c r="H73" s="448" t="s">
        <v>22</v>
      </c>
      <c r="I73" s="162"/>
      <c r="J73" s="1043">
        <f>$S$38</f>
        <v>0.23424901786252411</v>
      </c>
      <c r="K73" s="162"/>
      <c r="L73" s="824">
        <f>J73*L70</f>
        <v>258237.96080922429</v>
      </c>
      <c r="M73" s="1220"/>
      <c r="N73" s="1253">
        <f>N70*J73</f>
        <v>291204.63416543585</v>
      </c>
      <c r="O73" s="638"/>
    </row>
    <row r="74" spans="7:33" ht="13.15" x14ac:dyDescent="0.25">
      <c r="G74" s="516"/>
      <c r="H74" s="1137" t="s">
        <v>51</v>
      </c>
      <c r="I74" s="1039"/>
      <c r="J74" s="1039"/>
      <c r="K74" s="1044">
        <f>L74/L57</f>
        <v>310.64973303983646</v>
      </c>
      <c r="L74" s="1228">
        <f>L73+L70</f>
        <v>1360645.8307144837</v>
      </c>
      <c r="M74" s="1231">
        <f>N74/N57</f>
        <v>350.30729634008384</v>
      </c>
      <c r="N74" s="1254">
        <f>N73+N70</f>
        <v>1534345.9579695673</v>
      </c>
      <c r="O74" s="638"/>
    </row>
    <row r="75" spans="7:33" ht="13.15" x14ac:dyDescent="0.25">
      <c r="G75" s="162"/>
      <c r="H75" s="448"/>
      <c r="I75" s="162"/>
      <c r="J75" s="162"/>
      <c r="K75" s="162"/>
      <c r="L75" s="1219"/>
      <c r="M75" s="1220"/>
      <c r="N75" s="1251"/>
      <c r="O75" s="639"/>
    </row>
    <row r="76" spans="7:33" ht="13.15" x14ac:dyDescent="0.25">
      <c r="G76" s="162"/>
      <c r="H76" s="448"/>
      <c r="I76" s="162"/>
      <c r="J76" s="162"/>
      <c r="K76" s="162"/>
      <c r="L76" s="1219"/>
      <c r="M76" s="1220"/>
      <c r="N76" s="1251"/>
      <c r="O76" s="640"/>
    </row>
    <row r="77" spans="7:33" ht="13.15" x14ac:dyDescent="0.25">
      <c r="G77" s="395"/>
      <c r="H77" s="448" t="s">
        <v>39</v>
      </c>
      <c r="I77" s="162"/>
      <c r="J77" s="162"/>
      <c r="K77" s="394">
        <f>$S$40</f>
        <v>31.13</v>
      </c>
      <c r="L77" s="1232">
        <f>K77*(365*(4+4))</f>
        <v>90899.599999999991</v>
      </c>
      <c r="M77" s="1233">
        <f>$S$40</f>
        <v>31.13</v>
      </c>
      <c r="N77" s="1255">
        <f>M77*(365*(4+4))</f>
        <v>90899.599999999991</v>
      </c>
      <c r="O77" s="638"/>
    </row>
    <row r="78" spans="7:33" ht="13.15" x14ac:dyDescent="0.25">
      <c r="G78" s="395"/>
      <c r="H78" s="448" t="s">
        <v>40</v>
      </c>
      <c r="I78" s="162"/>
      <c r="J78" s="162"/>
      <c r="K78" s="394">
        <f>$S$41</f>
        <v>18.149999999999999</v>
      </c>
      <c r="L78" s="1232">
        <f>K78*L57</f>
        <v>79497</v>
      </c>
      <c r="M78" s="1233">
        <f>$S$41</f>
        <v>18.149999999999999</v>
      </c>
      <c r="N78" s="1255">
        <f>M78*N57</f>
        <v>79497</v>
      </c>
      <c r="O78" s="638"/>
    </row>
    <row r="79" spans="7:33" ht="13.15" x14ac:dyDescent="0.25">
      <c r="G79" s="395"/>
      <c r="H79" s="448" t="s">
        <v>42</v>
      </c>
      <c r="I79" s="162"/>
      <c r="J79" s="162"/>
      <c r="K79" s="394">
        <f>$S$42</f>
        <v>-1.9951315068493152</v>
      </c>
      <c r="L79" s="1232">
        <f>K79*L57</f>
        <v>-8738.6760000000013</v>
      </c>
      <c r="M79" s="1233">
        <f>$S$42</f>
        <v>-1.9951315068493152</v>
      </c>
      <c r="N79" s="1255">
        <f>M79*N57</f>
        <v>-8738.6760000000013</v>
      </c>
      <c r="O79" s="641"/>
    </row>
    <row r="80" spans="7:33" ht="13.15" x14ac:dyDescent="0.25">
      <c r="G80" s="162"/>
      <c r="H80" s="448"/>
      <c r="I80" s="162"/>
      <c r="J80" s="162"/>
      <c r="K80" s="1049">
        <f>SUM(K77:K79)</f>
        <v>47.284868493150682</v>
      </c>
      <c r="L80" s="1219"/>
      <c r="M80" s="1235">
        <f>SUM(M77:M79)</f>
        <v>47.284868493150682</v>
      </c>
      <c r="N80" s="1251"/>
      <c r="O80" s="641"/>
    </row>
    <row r="81" spans="1:15" ht="13.15" x14ac:dyDescent="0.25">
      <c r="G81" s="162"/>
      <c r="H81" s="448"/>
      <c r="I81" s="162"/>
      <c r="J81" s="162"/>
      <c r="K81" s="162"/>
      <c r="L81" s="1219"/>
      <c r="M81" s="1220"/>
      <c r="N81" s="1251"/>
      <c r="O81" s="641"/>
    </row>
    <row r="82" spans="1:15" ht="13.15" x14ac:dyDescent="0.25">
      <c r="G82" s="516"/>
      <c r="H82" s="1137" t="s">
        <v>43</v>
      </c>
      <c r="I82" s="1039"/>
      <c r="J82" s="1039"/>
      <c r="K82" s="1039"/>
      <c r="L82" s="1228">
        <f>SUM(L74:L79)</f>
        <v>1522303.7547144839</v>
      </c>
      <c r="M82" s="1236"/>
      <c r="N82" s="1254">
        <f>SUM(N74:N79)</f>
        <v>1696003.8819695674</v>
      </c>
      <c r="O82" s="638"/>
    </row>
    <row r="83" spans="1:15" ht="13.15" x14ac:dyDescent="0.25">
      <c r="G83" s="162"/>
      <c r="H83" s="448"/>
      <c r="I83" s="162"/>
      <c r="J83" s="162"/>
      <c r="K83" s="162"/>
      <c r="L83" s="1219"/>
      <c r="M83" s="1220"/>
      <c r="N83" s="1251"/>
      <c r="O83" s="638"/>
    </row>
    <row r="84" spans="1:15" ht="13.15" x14ac:dyDescent="0.25">
      <c r="G84" s="395"/>
      <c r="H84" s="448" t="s">
        <v>44</v>
      </c>
      <c r="I84" s="162"/>
      <c r="J84" s="1043">
        <f>$S$45</f>
        <v>0.11846733793705286</v>
      </c>
      <c r="K84" s="162"/>
      <c r="L84" s="824">
        <f>J84*L82</f>
        <v>180343.27335260517</v>
      </c>
      <c r="M84" s="1220"/>
      <c r="N84" s="1253">
        <f>N82*J84</f>
        <v>200921.06502784224</v>
      </c>
      <c r="O84" s="640"/>
    </row>
    <row r="85" spans="1:15" ht="13.15" x14ac:dyDescent="0.25">
      <c r="G85" s="162"/>
      <c r="H85" s="448"/>
      <c r="I85" s="162"/>
      <c r="J85" s="162"/>
      <c r="K85" s="162"/>
      <c r="L85" s="1219"/>
      <c r="M85" s="1220"/>
      <c r="N85" s="1251"/>
      <c r="O85" s="638"/>
    </row>
    <row r="86" spans="1:15" ht="13.9" thickBot="1" x14ac:dyDescent="0.3">
      <c r="G86" s="516"/>
      <c r="H86" s="1161" t="s">
        <v>52</v>
      </c>
      <c r="I86" s="1050"/>
      <c r="J86" s="1050"/>
      <c r="K86" s="1050"/>
      <c r="L86" s="1237">
        <f>SUM(L82:L84)</f>
        <v>1702647.0280670892</v>
      </c>
      <c r="M86" s="1238"/>
      <c r="N86" s="1256">
        <f>SUM(N82:N84)</f>
        <v>1896924.9469974097</v>
      </c>
      <c r="O86" s="639"/>
    </row>
    <row r="87" spans="1:15" ht="13.9" thickTop="1" x14ac:dyDescent="0.25">
      <c r="G87" s="162"/>
      <c r="H87" s="448"/>
      <c r="I87" s="162"/>
      <c r="J87" s="162"/>
      <c r="K87" s="162"/>
      <c r="L87" s="1219"/>
      <c r="M87" s="1220"/>
      <c r="N87" s="1251"/>
      <c r="O87" s="638"/>
    </row>
    <row r="88" spans="1:15" ht="13.15" x14ac:dyDescent="0.25">
      <c r="G88" s="395"/>
      <c r="H88" s="448"/>
      <c r="I88" s="162"/>
      <c r="J88" s="1055"/>
      <c r="K88" s="162"/>
      <c r="L88" s="1056">
        <f>L86*(1+J88)</f>
        <v>1702647.0280670892</v>
      </c>
      <c r="M88" s="1220"/>
      <c r="N88" s="1070">
        <f>N86*(1+J88)</f>
        <v>1896924.9469974097</v>
      </c>
      <c r="O88" s="640"/>
    </row>
    <row r="89" spans="1:15" ht="13.15" x14ac:dyDescent="0.25">
      <c r="G89" s="162"/>
      <c r="H89" s="448"/>
      <c r="I89" s="162"/>
      <c r="J89" s="162"/>
      <c r="K89" s="162"/>
      <c r="L89" s="1219"/>
      <c r="M89" s="1220"/>
      <c r="N89" s="1251"/>
      <c r="O89" s="638"/>
    </row>
    <row r="90" spans="1:15" ht="13.15" x14ac:dyDescent="0.25">
      <c r="G90" s="397"/>
      <c r="H90" s="448"/>
      <c r="I90" s="162"/>
      <c r="J90" s="162"/>
      <c r="K90" s="162"/>
      <c r="L90" s="1241" t="s">
        <v>789</v>
      </c>
      <c r="M90" s="1220"/>
      <c r="N90" s="1257" t="s">
        <v>789</v>
      </c>
      <c r="O90" s="642"/>
    </row>
    <row r="91" spans="1:15" ht="13.15" x14ac:dyDescent="0.25">
      <c r="G91" s="394"/>
      <c r="H91" s="448" t="s">
        <v>55</v>
      </c>
      <c r="I91" s="162"/>
      <c r="J91" s="162"/>
      <c r="K91" s="398"/>
      <c r="L91" s="1243">
        <f>L86/L57+0.24</f>
        <v>388.97219818883315</v>
      </c>
      <c r="M91" s="481"/>
      <c r="N91" s="1258">
        <f>N88/N57+3.33</f>
        <v>436.41788744233094</v>
      </c>
      <c r="O91" s="638"/>
    </row>
    <row r="92" spans="1:15" ht="13.15" x14ac:dyDescent="0.25">
      <c r="G92" s="398"/>
      <c r="H92" s="1080" t="s">
        <v>827</v>
      </c>
      <c r="I92" s="162"/>
      <c r="J92" s="1026"/>
      <c r="K92" s="398"/>
      <c r="L92" s="1271">
        <f>L86/L57+0.24</f>
        <v>388.97219818883315</v>
      </c>
      <c r="M92" s="481"/>
      <c r="N92" s="1258">
        <f>N88/N57+3.33</f>
        <v>436.41788744233094</v>
      </c>
      <c r="O92" s="643"/>
    </row>
    <row r="93" spans="1:15" ht="13.9" thickBot="1" x14ac:dyDescent="0.3">
      <c r="G93" s="398"/>
      <c r="H93" s="1259" t="s">
        <v>54</v>
      </c>
      <c r="I93" s="1167">
        <v>0.9</v>
      </c>
      <c r="J93" s="1168"/>
      <c r="K93" s="1198"/>
      <c r="L93" s="1034">
        <f>L92/I93</f>
        <v>432.19133132092571</v>
      </c>
      <c r="M93" s="1272"/>
      <c r="N93" s="1273">
        <f>N92/I93</f>
        <v>484.90876382481213</v>
      </c>
      <c r="O93" s="416"/>
    </row>
    <row r="94" spans="1:15" ht="13.5" thickBot="1" x14ac:dyDescent="0.25">
      <c r="G94" s="398"/>
      <c r="H94" s="1373" t="s">
        <v>761</v>
      </c>
      <c r="I94" s="1374"/>
      <c r="J94" s="1375">
        <f>S55</f>
        <v>2.3900000000000001E-2</v>
      </c>
      <c r="K94" s="1085"/>
      <c r="L94" s="1210">
        <f>L93*(J94+1)</f>
        <v>442.52070413949588</v>
      </c>
      <c r="M94" s="1390"/>
      <c r="N94" s="1210">
        <f>N93*(J94+1)</f>
        <v>496.49808328022516</v>
      </c>
      <c r="O94" s="416"/>
    </row>
    <row r="95" spans="1:15" ht="13.5" thickBot="1" x14ac:dyDescent="0.25">
      <c r="G95" s="398"/>
      <c r="H95" s="1173"/>
      <c r="I95" s="1260"/>
      <c r="J95" s="1174"/>
      <c r="K95" s="1200"/>
      <c r="L95" s="1261"/>
      <c r="M95" s="1200"/>
      <c r="N95" s="1262"/>
      <c r="O95" s="759"/>
    </row>
    <row r="96" spans="1:15" x14ac:dyDescent="0.2">
      <c r="A96" s="480"/>
      <c r="B96" s="177"/>
      <c r="G96" s="162"/>
      <c r="H96" s="71"/>
      <c r="I96" s="177"/>
      <c r="M96" s="161"/>
      <c r="N96" s="161"/>
    </row>
    <row r="97" spans="7:15" x14ac:dyDescent="0.2">
      <c r="G97" s="162"/>
      <c r="H97" s="71"/>
      <c r="I97" s="177"/>
      <c r="M97" s="161"/>
      <c r="N97" s="161"/>
    </row>
    <row r="98" spans="7:15" ht="13.15" customHeight="1" x14ac:dyDescent="0.2">
      <c r="G98" s="515"/>
      <c r="H98" s="1535" t="s">
        <v>335</v>
      </c>
      <c r="I98" s="1536"/>
      <c r="J98" s="1536"/>
      <c r="K98" s="1536"/>
      <c r="L98" s="1537"/>
      <c r="M98" s="1540" t="s">
        <v>503</v>
      </c>
      <c r="N98" s="1541"/>
      <c r="O98" s="635"/>
    </row>
    <row r="99" spans="7:15" ht="13.5" thickBot="1" x14ac:dyDescent="0.25">
      <c r="G99" s="515"/>
      <c r="H99" s="1538"/>
      <c r="I99" s="1530"/>
      <c r="J99" s="1530"/>
      <c r="K99" s="1530"/>
      <c r="L99" s="1539"/>
      <c r="M99" s="1542"/>
      <c r="N99" s="1543"/>
    </row>
    <row r="100" spans="7:15" x14ac:dyDescent="0.2">
      <c r="G100" s="162"/>
      <c r="H100" s="1245" t="s">
        <v>0</v>
      </c>
      <c r="I100" s="1246">
        <v>6</v>
      </c>
      <c r="J100" s="1247"/>
      <c r="K100" s="1247" t="s">
        <v>1</v>
      </c>
      <c r="L100" s="1248">
        <f>I100*365</f>
        <v>2190</v>
      </c>
      <c r="M100" s="1249" t="s">
        <v>1</v>
      </c>
      <c r="N100" s="1250">
        <f>I100*365</f>
        <v>2190</v>
      </c>
      <c r="O100" s="636"/>
    </row>
    <row r="101" spans="7:15" x14ac:dyDescent="0.2">
      <c r="G101" s="162"/>
      <c r="H101" s="448"/>
      <c r="I101" s="162"/>
      <c r="J101" s="162"/>
      <c r="K101" s="162"/>
      <c r="L101" s="1219"/>
      <c r="M101" s="1220"/>
      <c r="N101" s="1251"/>
      <c r="O101" s="636"/>
    </row>
    <row r="102" spans="7:15" x14ac:dyDescent="0.2">
      <c r="G102" s="335"/>
      <c r="H102" s="1153"/>
      <c r="I102" s="1151"/>
      <c r="J102" s="1152" t="s">
        <v>2</v>
      </c>
      <c r="K102" s="1145" t="s">
        <v>3</v>
      </c>
      <c r="L102" s="1222" t="s">
        <v>4</v>
      </c>
      <c r="M102" s="507" t="s">
        <v>3</v>
      </c>
      <c r="N102" s="1252" t="s">
        <v>4</v>
      </c>
      <c r="O102" s="637"/>
    </row>
    <row r="103" spans="7:15" x14ac:dyDescent="0.2">
      <c r="G103" s="513"/>
      <c r="H103" s="1156" t="s">
        <v>19</v>
      </c>
      <c r="I103" s="162"/>
      <c r="J103" s="280">
        <f>S13</f>
        <v>56249</v>
      </c>
      <c r="K103" s="1223">
        <v>1</v>
      </c>
      <c r="L103" s="824">
        <f>J103*K103</f>
        <v>56249</v>
      </c>
      <c r="M103" s="723">
        <f>K103</f>
        <v>1</v>
      </c>
      <c r="N103" s="1253">
        <f>J103*M103</f>
        <v>56249</v>
      </c>
      <c r="O103" s="638"/>
    </row>
    <row r="104" spans="7:15" x14ac:dyDescent="0.2">
      <c r="G104" s="513"/>
      <c r="H104" s="440" t="s">
        <v>227</v>
      </c>
      <c r="I104" s="162"/>
      <c r="J104" s="280"/>
      <c r="K104" s="195"/>
      <c r="L104" s="824"/>
      <c r="M104" s="725"/>
      <c r="N104" s="1253"/>
      <c r="O104" s="675"/>
    </row>
    <row r="105" spans="7:15" x14ac:dyDescent="0.2">
      <c r="G105" s="513"/>
      <c r="H105" s="434" t="s">
        <v>24</v>
      </c>
      <c r="I105" s="162"/>
      <c r="J105" s="1270">
        <f t="shared" ref="J105:J112" si="1">S15</f>
        <v>69547</v>
      </c>
      <c r="K105" s="1275">
        <v>0.67</v>
      </c>
      <c r="L105" s="1269">
        <f>J105*K105</f>
        <v>46596.490000000005</v>
      </c>
      <c r="M105" s="725">
        <f>K105</f>
        <v>0.67</v>
      </c>
      <c r="N105" s="1253">
        <f>J105*M105</f>
        <v>46596.490000000005</v>
      </c>
      <c r="O105" s="639"/>
    </row>
    <row r="106" spans="7:15" x14ac:dyDescent="0.2">
      <c r="G106" s="513"/>
      <c r="H106" s="434" t="s">
        <v>164</v>
      </c>
      <c r="I106" s="162"/>
      <c r="J106" s="1270">
        <f t="shared" si="1"/>
        <v>49093.065313560001</v>
      </c>
      <c r="K106" s="1265">
        <v>0.67</v>
      </c>
      <c r="L106" s="1269">
        <f>J106*K106</f>
        <v>32892.3537600852</v>
      </c>
      <c r="M106" s="725">
        <v>4.2</v>
      </c>
      <c r="N106" s="1253">
        <f>J106*M106</f>
        <v>206190.87431695202</v>
      </c>
      <c r="O106" s="639"/>
    </row>
    <row r="107" spans="7:15" x14ac:dyDescent="0.2">
      <c r="G107" s="513"/>
      <c r="H107" s="440" t="s">
        <v>5</v>
      </c>
      <c r="I107" s="162"/>
      <c r="J107" s="280"/>
      <c r="K107" s="1265"/>
      <c r="L107" s="1224"/>
      <c r="M107" s="725"/>
      <c r="N107" s="1253"/>
      <c r="O107" s="639"/>
    </row>
    <row r="108" spans="7:15" x14ac:dyDescent="0.2">
      <c r="G108" s="513"/>
      <c r="H108" s="434" t="s">
        <v>59</v>
      </c>
      <c r="I108" s="162"/>
      <c r="J108" s="280">
        <f t="shared" si="1"/>
        <v>47584</v>
      </c>
      <c r="K108" s="1276">
        <v>0.75</v>
      </c>
      <c r="L108" s="1224">
        <f>J108*K108</f>
        <v>35688</v>
      </c>
      <c r="M108" s="725">
        <f>K108</f>
        <v>0.75</v>
      </c>
      <c r="N108" s="1253">
        <f>J108*M108</f>
        <v>35688</v>
      </c>
      <c r="O108" s="639"/>
    </row>
    <row r="109" spans="7:15" x14ac:dyDescent="0.2">
      <c r="G109" s="513"/>
      <c r="H109" s="434" t="s">
        <v>30</v>
      </c>
      <c r="I109" s="162"/>
      <c r="J109" s="280">
        <f t="shared" si="1"/>
        <v>30648</v>
      </c>
      <c r="K109" s="1277">
        <v>11.2</v>
      </c>
      <c r="L109" s="1269">
        <f>J109*K109</f>
        <v>343257.59999999998</v>
      </c>
      <c r="M109" s="725">
        <v>11.2</v>
      </c>
      <c r="N109" s="1253">
        <f>J109*M109</f>
        <v>343257.59999999998</v>
      </c>
      <c r="O109" s="639"/>
    </row>
    <row r="110" spans="7:15" x14ac:dyDescent="0.2">
      <c r="G110" s="513"/>
      <c r="H110" s="443" t="s">
        <v>31</v>
      </c>
      <c r="I110" s="162"/>
      <c r="J110" s="280">
        <f t="shared" si="1"/>
        <v>30648</v>
      </c>
      <c r="K110" s="1277">
        <v>1.77</v>
      </c>
      <c r="L110" s="1269">
        <f>J110*K110</f>
        <v>54246.96</v>
      </c>
      <c r="M110" s="725">
        <f>K110</f>
        <v>1.77</v>
      </c>
      <c r="N110" s="1253">
        <f>J110*M110</f>
        <v>54246.96</v>
      </c>
      <c r="O110" s="639"/>
    </row>
    <row r="111" spans="7:15" x14ac:dyDescent="0.2">
      <c r="G111" s="513"/>
      <c r="H111" s="440" t="s">
        <v>6</v>
      </c>
      <c r="I111" s="162"/>
      <c r="J111" s="280"/>
      <c r="K111" s="1265"/>
      <c r="L111" s="1224"/>
      <c r="M111" s="725"/>
      <c r="N111" s="1253"/>
      <c r="O111" s="513"/>
    </row>
    <row r="112" spans="7:15" x14ac:dyDescent="0.2">
      <c r="G112" s="513"/>
      <c r="H112" s="434" t="s">
        <v>32</v>
      </c>
      <c r="I112" s="162"/>
      <c r="J112" s="280">
        <f t="shared" si="1"/>
        <v>30648</v>
      </c>
      <c r="K112" s="1225">
        <v>0.5</v>
      </c>
      <c r="L112" s="824">
        <f>J112*K112</f>
        <v>15324</v>
      </c>
      <c r="M112" s="1226">
        <f>K112</f>
        <v>0.5</v>
      </c>
      <c r="N112" s="1253">
        <f>J112*M112</f>
        <v>15324</v>
      </c>
      <c r="O112" s="639"/>
    </row>
    <row r="113" spans="3:17" x14ac:dyDescent="0.2">
      <c r="C113" s="29"/>
      <c r="G113" s="393"/>
      <c r="H113" s="1137" t="s">
        <v>7</v>
      </c>
      <c r="I113" s="1039"/>
      <c r="J113" s="1039"/>
      <c r="K113" s="1227">
        <f>SUM(K103:K112)</f>
        <v>16.559999999999999</v>
      </c>
      <c r="L113" s="1228">
        <f>SUM(L103:L112)</f>
        <v>584254.40376008512</v>
      </c>
      <c r="M113" s="1229">
        <f>SUM(M103:M112)</f>
        <v>20.09</v>
      </c>
      <c r="N113" s="1254">
        <f>SUM(N103:N112)</f>
        <v>757552.92431695201</v>
      </c>
      <c r="O113" s="639"/>
    </row>
    <row r="114" spans="3:17" x14ac:dyDescent="0.2">
      <c r="G114" s="162"/>
      <c r="H114" s="448"/>
      <c r="I114" s="162"/>
      <c r="J114" s="162"/>
      <c r="K114" s="162"/>
      <c r="L114" s="1219"/>
      <c r="M114" s="1220"/>
      <c r="N114" s="1251"/>
      <c r="O114" s="639"/>
    </row>
    <row r="115" spans="3:17" x14ac:dyDescent="0.2">
      <c r="G115" s="162"/>
      <c r="H115" s="1135" t="s">
        <v>21</v>
      </c>
      <c r="I115" s="162"/>
      <c r="J115" s="162"/>
      <c r="K115" s="391" t="s">
        <v>20</v>
      </c>
      <c r="L115" s="1219"/>
      <c r="M115" s="1218" t="s">
        <v>20</v>
      </c>
      <c r="N115" s="1251"/>
      <c r="O115" s="640"/>
    </row>
    <row r="116" spans="3:17" x14ac:dyDescent="0.2">
      <c r="G116" s="395"/>
      <c r="H116" s="448" t="s">
        <v>22</v>
      </c>
      <c r="I116" s="162"/>
      <c r="J116" s="1043">
        <f>$S$38</f>
        <v>0.23424901786252411</v>
      </c>
      <c r="K116" s="162"/>
      <c r="L116" s="824">
        <f>J116*L113</f>
        <v>136861.02026265455</v>
      </c>
      <c r="M116" s="1220"/>
      <c r="N116" s="1253">
        <f>N113*J116</f>
        <v>177456.02850012906</v>
      </c>
      <c r="O116" s="638"/>
    </row>
    <row r="117" spans="3:17" x14ac:dyDescent="0.2">
      <c r="G117" s="516"/>
      <c r="H117" s="1137" t="s">
        <v>51</v>
      </c>
      <c r="I117" s="1039"/>
      <c r="J117" s="1039"/>
      <c r="K117" s="1044">
        <f>L117/L100</f>
        <v>329.27644932545189</v>
      </c>
      <c r="L117" s="1228">
        <f>L116+L113</f>
        <v>721115.42402273964</v>
      </c>
      <c r="M117" s="1231">
        <f>N117/N100</f>
        <v>426.9447273137356</v>
      </c>
      <c r="N117" s="1254">
        <f>N116+N113</f>
        <v>935008.95281708101</v>
      </c>
      <c r="O117" s="638"/>
    </row>
    <row r="118" spans="3:17" x14ac:dyDescent="0.2">
      <c r="G118" s="162"/>
      <c r="H118" s="448"/>
      <c r="I118" s="162"/>
      <c r="J118" s="162"/>
      <c r="K118" s="162"/>
      <c r="L118" s="1219"/>
      <c r="M118" s="1220"/>
      <c r="N118" s="1251"/>
      <c r="O118" s="639"/>
    </row>
    <row r="119" spans="3:17" x14ac:dyDescent="0.2">
      <c r="G119" s="162"/>
      <c r="H119" s="448"/>
      <c r="I119" s="162"/>
      <c r="J119" s="162"/>
      <c r="K119" s="162"/>
      <c r="L119" s="1219"/>
      <c r="M119" s="1220"/>
      <c r="N119" s="1251"/>
      <c r="O119" s="640"/>
    </row>
    <row r="120" spans="3:17" x14ac:dyDescent="0.2">
      <c r="G120" s="395"/>
      <c r="H120" s="448" t="s">
        <v>39</v>
      </c>
      <c r="I120" s="162"/>
      <c r="J120" s="162"/>
      <c r="K120" s="394">
        <v>31.13</v>
      </c>
      <c r="L120" s="1232">
        <f>K120*(365*(4+4))</f>
        <v>90899.599999999991</v>
      </c>
      <c r="M120" s="1233">
        <f>$S$40</f>
        <v>31.13</v>
      </c>
      <c r="N120" s="1255">
        <f>M120*(365*(4+4))</f>
        <v>90899.599999999991</v>
      </c>
      <c r="O120" s="638"/>
    </row>
    <row r="121" spans="3:17" x14ac:dyDescent="0.2">
      <c r="E121" s="29"/>
      <c r="G121" s="395"/>
      <c r="H121" s="448" t="s">
        <v>40</v>
      </c>
      <c r="I121" s="162"/>
      <c r="J121" s="162"/>
      <c r="K121" s="394">
        <f>$S$41</f>
        <v>18.149999999999999</v>
      </c>
      <c r="L121" s="1232">
        <f>K121*L100</f>
        <v>39748.5</v>
      </c>
      <c r="M121" s="1233">
        <f>$S$41</f>
        <v>18.149999999999999</v>
      </c>
      <c r="N121" s="1255">
        <f>M121*N100</f>
        <v>39748.5</v>
      </c>
      <c r="O121" s="638"/>
    </row>
    <row r="122" spans="3:17" x14ac:dyDescent="0.2">
      <c r="G122" s="395"/>
      <c r="H122" s="448" t="s">
        <v>42</v>
      </c>
      <c r="I122" s="162"/>
      <c r="J122" s="162"/>
      <c r="K122" s="394">
        <f>$S$42</f>
        <v>-1.9951315068493152</v>
      </c>
      <c r="L122" s="1232">
        <f>K122*L100</f>
        <v>-4369.3380000000006</v>
      </c>
      <c r="M122" s="1233">
        <f>$S$42</f>
        <v>-1.9951315068493152</v>
      </c>
      <c r="N122" s="1255">
        <f>M122*N100</f>
        <v>-4369.3380000000006</v>
      </c>
      <c r="O122" s="641"/>
    </row>
    <row r="123" spans="3:17" x14ac:dyDescent="0.2">
      <c r="G123" s="162"/>
      <c r="H123" s="448"/>
      <c r="I123" s="162"/>
      <c r="J123" s="162"/>
      <c r="K123" s="1049">
        <f>SUM(K120:K122)</f>
        <v>47.284868493150682</v>
      </c>
      <c r="L123" s="1219"/>
      <c r="M123" s="1235">
        <f>SUM(M120:M122)</f>
        <v>47.284868493150682</v>
      </c>
      <c r="N123" s="1251"/>
      <c r="O123" s="641"/>
    </row>
    <row r="124" spans="3:17" x14ac:dyDescent="0.2">
      <c r="G124" s="162"/>
      <c r="H124" s="448"/>
      <c r="I124" s="162"/>
      <c r="J124" s="162"/>
      <c r="K124" s="162"/>
      <c r="L124" s="1219"/>
      <c r="M124" s="1220"/>
      <c r="N124" s="1251"/>
      <c r="O124" s="641"/>
    </row>
    <row r="125" spans="3:17" x14ac:dyDescent="0.2">
      <c r="G125" s="516"/>
      <c r="H125" s="1137" t="s">
        <v>43</v>
      </c>
      <c r="I125" s="1039"/>
      <c r="J125" s="1039"/>
      <c r="K125" s="1039"/>
      <c r="L125" s="1228">
        <f>SUM(L117:L122)</f>
        <v>847394.18602273962</v>
      </c>
      <c r="M125" s="1236"/>
      <c r="N125" s="1254">
        <f>SUM(N117:N122)</f>
        <v>1061287.7148170811</v>
      </c>
      <c r="O125" s="638"/>
    </row>
    <row r="126" spans="3:17" x14ac:dyDescent="0.2">
      <c r="G126" s="162"/>
      <c r="H126" s="448"/>
      <c r="I126" s="162"/>
      <c r="J126" s="162"/>
      <c r="K126" s="162"/>
      <c r="L126" s="1219"/>
      <c r="M126" s="1220"/>
      <c r="N126" s="1251"/>
      <c r="O126" s="638"/>
    </row>
    <row r="127" spans="3:17" x14ac:dyDescent="0.2">
      <c r="G127" s="395"/>
      <c r="H127" s="448" t="s">
        <v>44</v>
      </c>
      <c r="I127" s="162"/>
      <c r="J127" s="1043">
        <f>$S$45</f>
        <v>0.11846733793705286</v>
      </c>
      <c r="K127" s="162"/>
      <c r="L127" s="824">
        <f>J127*L125</f>
        <v>100388.53340144973</v>
      </c>
      <c r="M127" s="1220"/>
      <c r="N127" s="1253">
        <f>N125*J127</f>
        <v>125727.93035967773</v>
      </c>
      <c r="O127" s="640"/>
    </row>
    <row r="128" spans="3:17" x14ac:dyDescent="0.2">
      <c r="G128" s="162"/>
      <c r="H128" s="448"/>
      <c r="I128" s="162"/>
      <c r="J128" s="162"/>
      <c r="K128" s="162"/>
      <c r="L128" s="1219"/>
      <c r="M128" s="1220"/>
      <c r="N128" s="1251"/>
      <c r="O128" s="638"/>
      <c r="Q128" s="71"/>
    </row>
    <row r="129" spans="1:15" ht="13.5" thickBot="1" x14ac:dyDescent="0.25">
      <c r="G129" s="516"/>
      <c r="H129" s="1161" t="s">
        <v>52</v>
      </c>
      <c r="I129" s="1050"/>
      <c r="J129" s="1050"/>
      <c r="K129" s="1050"/>
      <c r="L129" s="1237">
        <f>SUM(L125:L127)</f>
        <v>947782.7194241893</v>
      </c>
      <c r="M129" s="1238"/>
      <c r="N129" s="1256">
        <f>SUM(N125:N127)</f>
        <v>1187015.6451767588</v>
      </c>
      <c r="O129" s="639"/>
    </row>
    <row r="130" spans="1:15" ht="13.5" thickTop="1" x14ac:dyDescent="0.2">
      <c r="G130" s="162"/>
      <c r="H130" s="448"/>
      <c r="I130" s="162"/>
      <c r="J130" s="162"/>
      <c r="K130" s="162"/>
      <c r="L130" s="1219"/>
      <c r="M130" s="1220"/>
      <c r="N130" s="1251"/>
      <c r="O130" s="638"/>
    </row>
    <row r="131" spans="1:15" x14ac:dyDescent="0.2">
      <c r="G131" s="395"/>
      <c r="H131" s="448" t="s">
        <v>53</v>
      </c>
      <c r="I131" s="162"/>
      <c r="J131" s="1055"/>
      <c r="K131" s="162"/>
      <c r="L131" s="1056">
        <f>L129*(1+J131)</f>
        <v>947782.7194241893</v>
      </c>
      <c r="M131" s="1220"/>
      <c r="N131" s="1070">
        <f>N129*(1+J131)</f>
        <v>1187015.6451767588</v>
      </c>
      <c r="O131" s="640"/>
    </row>
    <row r="132" spans="1:15" x14ac:dyDescent="0.2">
      <c r="G132" s="162"/>
      <c r="H132" s="448"/>
      <c r="I132" s="162"/>
      <c r="J132" s="162"/>
      <c r="K132" s="162"/>
      <c r="L132" s="1219"/>
      <c r="M132" s="1220"/>
      <c r="N132" s="1251"/>
      <c r="O132" s="638"/>
    </row>
    <row r="133" spans="1:15" x14ac:dyDescent="0.2">
      <c r="G133" s="397"/>
      <c r="H133" s="448"/>
      <c r="I133" s="162"/>
      <c r="J133" s="162"/>
      <c r="K133" s="162"/>
      <c r="L133" s="1241" t="s">
        <v>56</v>
      </c>
      <c r="M133" s="1220"/>
      <c r="N133" s="1257" t="s">
        <v>56</v>
      </c>
      <c r="O133" s="642"/>
    </row>
    <row r="134" spans="1:15" x14ac:dyDescent="0.2">
      <c r="G134" s="394"/>
      <c r="H134" s="448" t="s">
        <v>55</v>
      </c>
      <c r="I134" s="162"/>
      <c r="J134" s="162"/>
      <c r="K134" s="398"/>
      <c r="L134" s="1243">
        <f>L129/L100-0.829</f>
        <v>431.94849745396772</v>
      </c>
      <c r="M134" s="481"/>
      <c r="N134" s="1258">
        <f>N131/N100+6.885</f>
        <v>548.90127633641953</v>
      </c>
      <c r="O134" s="638"/>
    </row>
    <row r="135" spans="1:15" x14ac:dyDescent="0.2">
      <c r="G135" s="398"/>
      <c r="H135" s="1080" t="s">
        <v>827</v>
      </c>
      <c r="I135" s="162"/>
      <c r="J135" s="1026"/>
      <c r="K135" s="398"/>
      <c r="L135" s="1243">
        <f>L134</f>
        <v>431.94849745396772</v>
      </c>
      <c r="M135" s="481"/>
      <c r="N135" s="1258">
        <f>N134*(1+J135)</f>
        <v>548.90127633641953</v>
      </c>
      <c r="O135" s="643"/>
    </row>
    <row r="136" spans="1:15" ht="13.5" thickBot="1" x14ac:dyDescent="0.25">
      <c r="G136" s="398"/>
      <c r="H136" s="1259" t="s">
        <v>54</v>
      </c>
      <c r="I136" s="1167">
        <v>0.9</v>
      </c>
      <c r="J136" s="1168"/>
      <c r="K136" s="742"/>
      <c r="L136" s="1391">
        <f>L135/I136+0.01</f>
        <v>479.952774948853</v>
      </c>
      <c r="M136" s="1274"/>
      <c r="N136" s="1273">
        <f>N135/I136</f>
        <v>609.89030704046615</v>
      </c>
      <c r="O136" s="416"/>
    </row>
    <row r="137" spans="1:15" ht="13.5" thickBot="1" x14ac:dyDescent="0.25">
      <c r="G137" s="398"/>
      <c r="H137" s="1373" t="s">
        <v>761</v>
      </c>
      <c r="I137" s="1374"/>
      <c r="J137" s="1375">
        <f>S55</f>
        <v>2.3900000000000001E-2</v>
      </c>
      <c r="K137" s="1085"/>
      <c r="L137" s="1210">
        <f>L136*(J137+1)</f>
        <v>491.42364627013063</v>
      </c>
      <c r="M137" s="1390"/>
      <c r="N137" s="1210">
        <f>N136*(J137+1)</f>
        <v>624.46668537873336</v>
      </c>
      <c r="O137" s="416"/>
    </row>
    <row r="138" spans="1:15" ht="13.5" thickBot="1" x14ac:dyDescent="0.25">
      <c r="G138" s="398"/>
      <c r="H138" s="1173"/>
      <c r="I138" s="1260"/>
      <c r="J138" s="1174"/>
      <c r="K138" s="1200"/>
      <c r="L138" s="1261"/>
      <c r="M138" s="1200"/>
      <c r="N138" s="1262"/>
      <c r="O138" s="759"/>
    </row>
    <row r="139" spans="1:15" x14ac:dyDescent="0.2">
      <c r="A139" s="177"/>
    </row>
    <row r="140" spans="1:15" x14ac:dyDescent="0.2">
      <c r="A140" s="177"/>
    </row>
    <row r="141" spans="1:15" x14ac:dyDescent="0.2">
      <c r="D141" s="177"/>
    </row>
    <row r="142" spans="1:15" ht="13.15" hidden="1" x14ac:dyDescent="0.25">
      <c r="B142" s="196" t="s">
        <v>502</v>
      </c>
    </row>
    <row r="143" spans="1:15" ht="13.15" hidden="1" x14ac:dyDescent="0.25">
      <c r="B143" s="518" t="s">
        <v>462</v>
      </c>
      <c r="C143" s="518" t="s">
        <v>463</v>
      </c>
      <c r="D143" s="518" t="s">
        <v>464</v>
      </c>
      <c r="E143" s="518" t="s">
        <v>465</v>
      </c>
      <c r="F143" s="518" t="s">
        <v>466</v>
      </c>
      <c r="G143" s="518" t="s">
        <v>467</v>
      </c>
      <c r="H143" s="518" t="s">
        <v>468</v>
      </c>
    </row>
    <row r="144" spans="1:15" ht="13.15" hidden="1" x14ac:dyDescent="0.25">
      <c r="A144" s="514" t="s">
        <v>469</v>
      </c>
      <c r="B144" s="563">
        <f>6*8</f>
        <v>48</v>
      </c>
      <c r="C144" s="563">
        <f t="shared" ref="C144:H145" si="2">6*8</f>
        <v>48</v>
      </c>
      <c r="D144" s="563">
        <f t="shared" si="2"/>
        <v>48</v>
      </c>
      <c r="E144" s="563">
        <f t="shared" si="2"/>
        <v>48</v>
      </c>
      <c r="F144" s="563">
        <f t="shared" si="2"/>
        <v>48</v>
      </c>
      <c r="G144" s="563">
        <f t="shared" si="2"/>
        <v>48</v>
      </c>
      <c r="H144" s="563">
        <f t="shared" si="2"/>
        <v>48</v>
      </c>
    </row>
    <row r="145" spans="1:9" ht="13.15" hidden="1" x14ac:dyDescent="0.25">
      <c r="A145" s="514" t="s">
        <v>470</v>
      </c>
      <c r="B145" s="563">
        <f t="shared" ref="B145" si="3">6*8</f>
        <v>48</v>
      </c>
      <c r="C145" s="563">
        <f t="shared" si="2"/>
        <v>48</v>
      </c>
      <c r="D145" s="563">
        <f t="shared" si="2"/>
        <v>48</v>
      </c>
      <c r="E145" s="563">
        <f t="shared" si="2"/>
        <v>48</v>
      </c>
      <c r="F145" s="563">
        <f t="shared" si="2"/>
        <v>48</v>
      </c>
      <c r="G145" s="563">
        <f t="shared" si="2"/>
        <v>48</v>
      </c>
      <c r="H145" s="563">
        <f t="shared" si="2"/>
        <v>48</v>
      </c>
    </row>
    <row r="146" spans="1:9" ht="13.15" hidden="1" x14ac:dyDescent="0.25">
      <c r="A146" s="514" t="s">
        <v>471</v>
      </c>
      <c r="B146" s="564">
        <v>32</v>
      </c>
      <c r="C146" s="564">
        <v>32</v>
      </c>
      <c r="D146" s="564">
        <v>32</v>
      </c>
      <c r="E146" s="564">
        <v>32</v>
      </c>
      <c r="F146" s="564">
        <v>32</v>
      </c>
      <c r="G146" s="564">
        <v>32</v>
      </c>
      <c r="H146" s="564">
        <v>32</v>
      </c>
    </row>
    <row r="147" spans="1:9" ht="13.15" hidden="1" x14ac:dyDescent="0.25">
      <c r="H147" s="23">
        <f>SUM(B144:H146)</f>
        <v>896</v>
      </c>
      <c r="I147" s="177" t="s">
        <v>476</v>
      </c>
    </row>
    <row r="148" spans="1:9" ht="13.15" hidden="1" x14ac:dyDescent="0.25">
      <c r="H148" s="552">
        <f>H147/40</f>
        <v>22.4</v>
      </c>
      <c r="I148" s="177" t="s">
        <v>475</v>
      </c>
    </row>
    <row r="149" spans="1:9" ht="13.15" hidden="1" x14ac:dyDescent="0.25"/>
    <row r="150" spans="1:9" ht="13.15" hidden="1" x14ac:dyDescent="0.25"/>
    <row r="151" spans="1:9" ht="13.15" hidden="1" x14ac:dyDescent="0.25">
      <c r="B151" s="196" t="s">
        <v>514</v>
      </c>
    </row>
    <row r="152" spans="1:9" ht="13.15" hidden="1" x14ac:dyDescent="0.25">
      <c r="B152" s="518" t="s">
        <v>462</v>
      </c>
      <c r="C152" s="518" t="s">
        <v>463</v>
      </c>
      <c r="D152" s="518" t="s">
        <v>464</v>
      </c>
      <c r="E152" s="518" t="s">
        <v>465</v>
      </c>
      <c r="F152" s="518" t="s">
        <v>466</v>
      </c>
      <c r="G152" s="518" t="s">
        <v>467</v>
      </c>
      <c r="H152" s="518" t="s">
        <v>468</v>
      </c>
    </row>
    <row r="153" spans="1:9" ht="13.15" hidden="1" x14ac:dyDescent="0.25">
      <c r="A153" s="514" t="s">
        <v>469</v>
      </c>
      <c r="B153" s="563">
        <v>40</v>
      </c>
      <c r="C153" s="563">
        <v>40</v>
      </c>
      <c r="D153" s="563">
        <v>40</v>
      </c>
      <c r="E153" s="563">
        <v>40</v>
      </c>
      <c r="F153" s="563">
        <v>40</v>
      </c>
      <c r="G153" s="563">
        <v>40</v>
      </c>
      <c r="H153" s="563">
        <v>40</v>
      </c>
    </row>
    <row r="154" spans="1:9" ht="13.15" hidden="1" x14ac:dyDescent="0.25">
      <c r="A154" s="514" t="s">
        <v>470</v>
      </c>
      <c r="B154" s="563">
        <v>40</v>
      </c>
      <c r="C154" s="563">
        <v>40</v>
      </c>
      <c r="D154" s="563">
        <v>40</v>
      </c>
      <c r="E154" s="563">
        <v>40</v>
      </c>
      <c r="F154" s="563">
        <v>40</v>
      </c>
      <c r="G154" s="563">
        <v>40</v>
      </c>
      <c r="H154" s="563">
        <v>40</v>
      </c>
    </row>
    <row r="155" spans="1:9" ht="13.15" hidden="1" x14ac:dyDescent="0.25">
      <c r="A155" s="514" t="s">
        <v>471</v>
      </c>
      <c r="B155" s="563">
        <v>24</v>
      </c>
      <c r="C155" s="563">
        <v>24</v>
      </c>
      <c r="D155" s="563">
        <v>24</v>
      </c>
      <c r="E155" s="563">
        <v>24</v>
      </c>
      <c r="F155" s="563">
        <v>24</v>
      </c>
      <c r="G155" s="563">
        <v>24</v>
      </c>
      <c r="H155" s="563">
        <v>24</v>
      </c>
    </row>
    <row r="156" spans="1:9" ht="13.15" hidden="1" x14ac:dyDescent="0.25">
      <c r="H156" s="23">
        <f>SUM(B153:H155)</f>
        <v>728</v>
      </c>
      <c r="I156" s="177" t="s">
        <v>476</v>
      </c>
    </row>
    <row r="157" spans="1:9" ht="13.15" hidden="1" x14ac:dyDescent="0.25">
      <c r="H157" s="552">
        <f>H156/40</f>
        <v>18.2</v>
      </c>
      <c r="I157" s="177" t="s">
        <v>475</v>
      </c>
    </row>
    <row r="158" spans="1:9" ht="13.15" hidden="1" x14ac:dyDescent="0.25">
      <c r="H158" s="552">
        <f>H157*S10</f>
        <v>2.8699999999999997</v>
      </c>
      <c r="I158" s="177" t="s">
        <v>504</v>
      </c>
    </row>
    <row r="161" spans="1:9" ht="13.15" hidden="1" x14ac:dyDescent="0.25">
      <c r="B161" s="196" t="s">
        <v>524</v>
      </c>
    </row>
    <row r="162" spans="1:9" ht="13.15" hidden="1" x14ac:dyDescent="0.25">
      <c r="B162" s="518" t="s">
        <v>462</v>
      </c>
      <c r="C162" s="518" t="s">
        <v>463</v>
      </c>
      <c r="D162" s="518" t="s">
        <v>464</v>
      </c>
      <c r="E162" s="518" t="s">
        <v>465</v>
      </c>
      <c r="F162" s="518" t="s">
        <v>466</v>
      </c>
      <c r="G162" s="518" t="s">
        <v>467</v>
      </c>
      <c r="H162" s="518" t="s">
        <v>468</v>
      </c>
    </row>
    <row r="163" spans="1:9" ht="13.15" hidden="1" x14ac:dyDescent="0.25">
      <c r="A163" s="514" t="s">
        <v>469</v>
      </c>
      <c r="B163" s="563">
        <v>24</v>
      </c>
      <c r="C163" s="563">
        <v>24</v>
      </c>
      <c r="D163" s="563">
        <v>24</v>
      </c>
      <c r="E163" s="563">
        <v>24</v>
      </c>
      <c r="F163" s="563">
        <v>24</v>
      </c>
      <c r="G163" s="563">
        <v>24</v>
      </c>
      <c r="H163" s="563">
        <v>24</v>
      </c>
    </row>
    <row r="164" spans="1:9" ht="13.15" hidden="1" x14ac:dyDescent="0.25">
      <c r="A164" s="514" t="s">
        <v>470</v>
      </c>
      <c r="B164" s="563">
        <v>24</v>
      </c>
      <c r="C164" s="563">
        <v>24</v>
      </c>
      <c r="D164" s="563">
        <v>24</v>
      </c>
      <c r="E164" s="563">
        <v>24</v>
      </c>
      <c r="F164" s="563">
        <v>24</v>
      </c>
      <c r="G164" s="563">
        <v>24</v>
      </c>
      <c r="H164" s="563">
        <v>24</v>
      </c>
    </row>
    <row r="165" spans="1:9" ht="13.15" hidden="1" x14ac:dyDescent="0.25">
      <c r="A165" s="514" t="s">
        <v>471</v>
      </c>
      <c r="B165" s="563">
        <v>16</v>
      </c>
      <c r="C165" s="563">
        <v>16</v>
      </c>
      <c r="D165" s="563">
        <v>16</v>
      </c>
      <c r="E165" s="563">
        <v>16</v>
      </c>
      <c r="F165" s="563">
        <v>16</v>
      </c>
      <c r="G165" s="563">
        <v>16</v>
      </c>
      <c r="H165" s="563">
        <v>16</v>
      </c>
    </row>
    <row r="166" spans="1:9" ht="13.15" hidden="1" x14ac:dyDescent="0.25">
      <c r="H166" s="23">
        <f>SUM(B163:H165)</f>
        <v>448</v>
      </c>
      <c r="I166" s="177" t="s">
        <v>476</v>
      </c>
    </row>
    <row r="167" spans="1:9" ht="13.15" hidden="1" x14ac:dyDescent="0.25">
      <c r="H167" s="552">
        <f>H166/40</f>
        <v>11.2</v>
      </c>
      <c r="I167" s="177" t="s">
        <v>475</v>
      </c>
    </row>
    <row r="168" spans="1:9" ht="13.15" hidden="1" x14ac:dyDescent="0.25"/>
    <row r="169" spans="1:9" ht="13.15" hidden="1" x14ac:dyDescent="0.25"/>
  </sheetData>
  <mergeCells count="10">
    <mergeCell ref="H98:L99"/>
    <mergeCell ref="M98:N99"/>
    <mergeCell ref="Q1:T1"/>
    <mergeCell ref="R3:S3"/>
    <mergeCell ref="A4:E5"/>
    <mergeCell ref="F4:F5"/>
    <mergeCell ref="H4:L5"/>
    <mergeCell ref="M4:N5"/>
    <mergeCell ref="H55:L56"/>
    <mergeCell ref="M55:N56"/>
  </mergeCells>
  <pageMargins left="0.7" right="0.7" top="0.75" bottom="0.75" header="0.3" footer="0.3"/>
  <pageSetup fitToHeight="0" orientation="portrait" r:id="rId1"/>
  <headerFooter>
    <oddFooter>&amp;R
&amp;A
Caring Together rate review</oddFooter>
  </headerFooter>
  <rowBreaks count="2" manualBreakCount="2">
    <brk id="97" min="7" max="13" man="1"/>
    <brk id="138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zoomScaleNormal="100" workbookViewId="0">
      <selection activeCell="U10" sqref="U10"/>
    </sheetView>
  </sheetViews>
  <sheetFormatPr defaultColWidth="8.85546875" defaultRowHeight="12.75" x14ac:dyDescent="0.2"/>
  <cols>
    <col min="1" max="1" width="34.7109375" style="868" customWidth="1"/>
    <col min="2" max="2" width="20.85546875" style="868" hidden="1" customWidth="1"/>
    <col min="3" max="4" width="15.140625" style="868" hidden="1" customWidth="1"/>
    <col min="5" max="5" width="11.7109375" style="868" customWidth="1"/>
    <col min="6" max="6" width="10.140625" style="901" hidden="1" customWidth="1"/>
    <col min="7" max="7" width="2.7109375" style="925" customWidth="1"/>
    <col min="8" max="8" width="11.7109375" style="868" customWidth="1"/>
    <col min="9" max="9" width="11.7109375" style="868" hidden="1" customWidth="1"/>
    <col min="10" max="10" width="2.7109375" style="869" customWidth="1"/>
    <col min="11" max="11" width="11.7109375" style="868" customWidth="1"/>
    <col min="12" max="13" width="8.85546875" style="868"/>
    <col min="14" max="14" width="8.85546875" style="926"/>
    <col min="15" max="15" width="12.28515625" style="870" customWidth="1"/>
    <col min="16" max="16" width="13" style="868" customWidth="1"/>
    <col min="17" max="17" width="13.5703125" style="868" bestFit="1" customWidth="1"/>
    <col min="18" max="16384" width="8.85546875" style="868"/>
  </cols>
  <sheetData>
    <row r="1" spans="1:17" ht="13.9" x14ac:dyDescent="0.3">
      <c r="A1" s="865" t="s">
        <v>709</v>
      </c>
      <c r="B1" s="865"/>
      <c r="C1" s="865"/>
      <c r="D1" s="865"/>
      <c r="E1" s="865"/>
      <c r="F1" s="866"/>
      <c r="G1" s="867"/>
    </row>
    <row r="2" spans="1:17" ht="14.45" thickBot="1" x14ac:dyDescent="0.35">
      <c r="A2" s="871"/>
      <c r="B2" s="872"/>
      <c r="C2" s="872"/>
      <c r="D2" s="872"/>
      <c r="E2" s="871"/>
      <c r="F2" s="873"/>
      <c r="G2" s="874"/>
      <c r="H2" s="1419" t="s">
        <v>710</v>
      </c>
      <c r="I2" s="1420"/>
      <c r="J2" s="1421"/>
      <c r="K2" s="1420"/>
      <c r="O2" s="870" t="s">
        <v>710</v>
      </c>
    </row>
    <row r="3" spans="1:17" ht="46.15" customHeight="1" thickBot="1" x14ac:dyDescent="0.35">
      <c r="A3" s="832" t="s">
        <v>711</v>
      </c>
      <c r="B3" s="875" t="s">
        <v>712</v>
      </c>
      <c r="C3" s="876" t="s">
        <v>713</v>
      </c>
      <c r="D3" s="877" t="s">
        <v>714</v>
      </c>
      <c r="E3" s="833" t="s">
        <v>715</v>
      </c>
      <c r="F3" s="878" t="s">
        <v>716</v>
      </c>
      <c r="G3" s="879"/>
      <c r="H3" s="833" t="s">
        <v>690</v>
      </c>
      <c r="I3" s="833" t="s">
        <v>691</v>
      </c>
      <c r="J3" s="880"/>
      <c r="K3" s="833" t="s">
        <v>692</v>
      </c>
      <c r="M3" s="868" t="s">
        <v>717</v>
      </c>
      <c r="N3" s="927" t="s">
        <v>718</v>
      </c>
      <c r="O3" s="881" t="s">
        <v>690</v>
      </c>
      <c r="P3" s="878" t="s">
        <v>719</v>
      </c>
      <c r="Q3" s="833" t="s">
        <v>752</v>
      </c>
    </row>
    <row r="4" spans="1:17" ht="13.9" customHeight="1" x14ac:dyDescent="0.3">
      <c r="A4" s="882"/>
      <c r="B4" s="883"/>
      <c r="C4" s="884"/>
      <c r="D4" s="884"/>
      <c r="E4" s="885"/>
      <c r="F4" s="886"/>
      <c r="G4" s="887"/>
      <c r="H4" s="885"/>
      <c r="I4" s="885"/>
      <c r="J4" s="888"/>
      <c r="K4" s="885"/>
    </row>
    <row r="5" spans="1:17" ht="13.9" customHeight="1" x14ac:dyDescent="0.3">
      <c r="A5" s="889" t="s">
        <v>258</v>
      </c>
      <c r="B5" s="890"/>
      <c r="C5" s="891"/>
      <c r="D5" s="891"/>
      <c r="E5" s="891"/>
      <c r="F5" s="892"/>
      <c r="G5" s="886"/>
      <c r="H5" s="893"/>
      <c r="I5" s="893"/>
      <c r="J5" s="885"/>
      <c r="K5" s="893"/>
    </row>
    <row r="6" spans="1:17" ht="13.9" x14ac:dyDescent="0.3">
      <c r="A6" s="894" t="s">
        <v>720</v>
      </c>
      <c r="B6" s="894">
        <v>413.09</v>
      </c>
      <c r="C6" s="895">
        <v>119</v>
      </c>
      <c r="D6" s="894">
        <f>C6*12</f>
        <v>1428</v>
      </c>
      <c r="E6" s="896">
        <v>8490119.4000000004</v>
      </c>
      <c r="F6" s="897">
        <v>0.1605</v>
      </c>
      <c r="G6" s="898"/>
      <c r="H6" s="899">
        <f>E6*2.04%*0.5</f>
        <v>86599.217880000011</v>
      </c>
      <c r="I6" s="899">
        <f>E6*F6*0.5</f>
        <v>681332.08185000008</v>
      </c>
      <c r="J6" s="900"/>
      <c r="K6" s="899">
        <f>E6*F6</f>
        <v>1362664.1637000002</v>
      </c>
      <c r="M6" s="926">
        <v>355.95</v>
      </c>
      <c r="N6" s="926">
        <f>'Rate summary - 2016 PH'!H10</f>
        <v>418.49866286843718</v>
      </c>
      <c r="O6" s="870">
        <v>86599.217880000011</v>
      </c>
      <c r="P6" s="901">
        <f>(N6-M6)/M6</f>
        <v>0.1757231714241809</v>
      </c>
      <c r="Q6" s="870">
        <f>E6*P6</f>
        <v>1491910.7067379639</v>
      </c>
    </row>
    <row r="7" spans="1:17" ht="13.9" x14ac:dyDescent="0.3">
      <c r="A7" s="894" t="s">
        <v>721</v>
      </c>
      <c r="B7" s="894">
        <v>366.89</v>
      </c>
      <c r="C7" s="895">
        <v>150</v>
      </c>
      <c r="D7" s="894">
        <f t="shared" ref="D7:D9" si="0">C7*12</f>
        <v>1800</v>
      </c>
      <c r="E7" s="896">
        <v>10888766.75</v>
      </c>
      <c r="F7" s="897">
        <v>4.9000000000000002E-2</v>
      </c>
      <c r="G7" s="898"/>
      <c r="H7" s="899">
        <f>E7*2.04%*0.5</f>
        <v>111065.42085000001</v>
      </c>
      <c r="I7" s="899">
        <f>E7*F7*0.5</f>
        <v>266774.78537500004</v>
      </c>
      <c r="J7" s="900"/>
      <c r="K7" s="899">
        <f>E7*F7</f>
        <v>533549.57075000007</v>
      </c>
      <c r="M7" s="926">
        <v>349.75</v>
      </c>
      <c r="N7" s="926">
        <f>'Rate summary - 2016 PH'!H12</f>
        <v>367.72787815634462</v>
      </c>
      <c r="O7" s="870">
        <v>111065.42085000001</v>
      </c>
      <c r="P7" s="901">
        <f t="shared" ref="P7:P9" si="1">(N7-M7)/M7</f>
        <v>5.1402081933794468E-2</v>
      </c>
      <c r="Q7" s="902">
        <f>E7*P7</f>
        <v>559705.28064147686</v>
      </c>
    </row>
    <row r="8" spans="1:17" ht="13.9" x14ac:dyDescent="0.3">
      <c r="A8" s="894" t="s">
        <v>722</v>
      </c>
      <c r="B8" s="894">
        <v>336.77</v>
      </c>
      <c r="C8" s="895">
        <v>228</v>
      </c>
      <c r="D8" s="894">
        <f t="shared" si="0"/>
        <v>2736</v>
      </c>
      <c r="E8" s="896">
        <v>14819707.98</v>
      </c>
      <c r="F8" s="897">
        <v>3.2199999999999999E-2</v>
      </c>
      <c r="G8" s="898"/>
      <c r="H8" s="899">
        <f>E8*2.04%*0.5</f>
        <v>151161.02139600003</v>
      </c>
      <c r="I8" s="899">
        <f>E8*F8*0.5</f>
        <v>238597.29847800001</v>
      </c>
      <c r="J8" s="900"/>
      <c r="K8" s="899">
        <f>E8*F8</f>
        <v>477194.59695600002</v>
      </c>
      <c r="M8" s="926">
        <v>326.26</v>
      </c>
      <c r="N8" s="926">
        <f>'Rate summary - 2016 PH'!H14</f>
        <v>337.66841581477894</v>
      </c>
      <c r="O8" s="870">
        <v>151161.02139600003</v>
      </c>
      <c r="P8" s="901">
        <f t="shared" si="1"/>
        <v>3.4967252543305793E-2</v>
      </c>
      <c r="Q8" s="902">
        <f>E8*P8</f>
        <v>518204.47155470419</v>
      </c>
    </row>
    <row r="9" spans="1:17" ht="14.45" thickBot="1" x14ac:dyDescent="0.35">
      <c r="A9" s="894" t="s">
        <v>723</v>
      </c>
      <c r="B9" s="894">
        <v>326.64</v>
      </c>
      <c r="C9" s="895">
        <v>171</v>
      </c>
      <c r="D9" s="894">
        <f t="shared" si="0"/>
        <v>2052</v>
      </c>
      <c r="E9" s="896">
        <v>10913730</v>
      </c>
      <c r="F9" s="897">
        <v>3.2599999999999997E-2</v>
      </c>
      <c r="G9" s="898"/>
      <c r="H9" s="899">
        <f>E9*2.04%*0.5</f>
        <v>111320.046</v>
      </c>
      <c r="I9" s="899">
        <f>E9*F9*0.5</f>
        <v>177893.79899999997</v>
      </c>
      <c r="J9" s="900"/>
      <c r="K9" s="899">
        <f>E9*F9</f>
        <v>355787.59799999994</v>
      </c>
      <c r="M9" s="926">
        <v>316.33999999999997</v>
      </c>
      <c r="N9" s="926">
        <f>'Rate summary - 2016 PH'!H16</f>
        <v>324.49153758614744</v>
      </c>
      <c r="O9" s="870">
        <v>111320.046</v>
      </c>
      <c r="P9" s="901">
        <f t="shared" si="1"/>
        <v>2.576827965526797E-2</v>
      </c>
      <c r="Q9" s="903">
        <f>E9*P9</f>
        <v>281228.04672208772</v>
      </c>
    </row>
    <row r="10" spans="1:17" s="869" customFormat="1" ht="14.45" thickTop="1" x14ac:dyDescent="0.3">
      <c r="A10" s="904"/>
      <c r="B10" s="904"/>
      <c r="C10" s="905"/>
      <c r="D10" s="904"/>
      <c r="E10" s="906"/>
      <c r="F10" s="907"/>
      <c r="G10" s="908"/>
      <c r="H10" s="909"/>
      <c r="I10" s="909"/>
      <c r="J10" s="910"/>
      <c r="K10" s="909"/>
      <c r="M10" s="928"/>
      <c r="N10" s="928"/>
      <c r="O10" s="911"/>
      <c r="Q10" s="912"/>
    </row>
    <row r="11" spans="1:17" s="869" customFormat="1" ht="13.9" x14ac:dyDescent="0.3">
      <c r="A11" s="913" t="s">
        <v>260</v>
      </c>
      <c r="B11" s="913"/>
      <c r="C11" s="914"/>
      <c r="D11" s="915"/>
      <c r="E11" s="916"/>
      <c r="F11" s="917"/>
      <c r="G11" s="908"/>
      <c r="H11" s="918"/>
      <c r="I11" s="918"/>
      <c r="J11" s="910"/>
      <c r="K11" s="918"/>
      <c r="M11" s="928"/>
      <c r="N11" s="928"/>
      <c r="O11" s="911"/>
    </row>
    <row r="12" spans="1:17" ht="13.9" x14ac:dyDescent="0.3">
      <c r="A12" s="894" t="s">
        <v>724</v>
      </c>
      <c r="B12" s="894"/>
      <c r="C12" s="894">
        <v>9</v>
      </c>
      <c r="D12" s="894">
        <f>C12*12</f>
        <v>108</v>
      </c>
      <c r="E12" s="899">
        <v>520459.87</v>
      </c>
      <c r="F12" s="897">
        <v>2.0400000000000001E-2</v>
      </c>
      <c r="G12" s="898"/>
      <c r="H12" s="899">
        <f t="shared" ref="H12:H24" si="2">E12*2.04%*0.5</f>
        <v>5308.6906740000004</v>
      </c>
      <c r="I12" s="899">
        <f t="shared" ref="I12:I24" si="3">E12*F12*0.5</f>
        <v>5308.6906740000004</v>
      </c>
      <c r="J12" s="900"/>
      <c r="K12" s="899">
        <f t="shared" ref="K12:K24" si="4">E12*F12</f>
        <v>10617.381348000001</v>
      </c>
      <c r="M12" s="926"/>
      <c r="O12" s="934">
        <v>5308.6906740000004</v>
      </c>
      <c r="P12" s="931">
        <f>F12</f>
        <v>2.0400000000000001E-2</v>
      </c>
      <c r="Q12" s="932">
        <f>E12*P12</f>
        <v>10617.381348000001</v>
      </c>
    </row>
    <row r="13" spans="1:17" ht="13.9" x14ac:dyDescent="0.3">
      <c r="A13" s="894" t="s">
        <v>725</v>
      </c>
      <c r="B13" s="894">
        <v>67.819999999999993</v>
      </c>
      <c r="C13" s="894">
        <v>29</v>
      </c>
      <c r="D13" s="894">
        <f t="shared" ref="D13:D43" si="5">C13*12</f>
        <v>348</v>
      </c>
      <c r="E13" s="899">
        <v>704847.87</v>
      </c>
      <c r="F13" s="897">
        <v>2.0400000000000001E-2</v>
      </c>
      <c r="G13" s="898"/>
      <c r="H13" s="899">
        <f t="shared" si="2"/>
        <v>7189.4482740000003</v>
      </c>
      <c r="I13" s="899">
        <f t="shared" si="3"/>
        <v>7189.4482740000003</v>
      </c>
      <c r="J13" s="900"/>
      <c r="K13" s="899">
        <f t="shared" si="4"/>
        <v>14378.896548000001</v>
      </c>
      <c r="M13" s="926">
        <f>'Rate summary - 2016 PH'!B27</f>
        <v>67.824854151011294</v>
      </c>
      <c r="N13" s="926" t="e">
        <f>'Rate summary - 2016 PH'!H27</f>
        <v>#REF!</v>
      </c>
      <c r="O13" s="870">
        <v>7189.4482740000003</v>
      </c>
      <c r="P13" s="929" t="e">
        <f>(N13-M13)/M13</f>
        <v>#REF!</v>
      </c>
      <c r="Q13" s="930" t="e">
        <f>E13*P13</f>
        <v>#REF!</v>
      </c>
    </row>
    <row r="14" spans="1:17" ht="13.9" x14ac:dyDescent="0.3">
      <c r="A14" s="894" t="s">
        <v>726</v>
      </c>
      <c r="B14" s="894">
        <v>281.54000000000002</v>
      </c>
      <c r="C14" s="894">
        <v>222</v>
      </c>
      <c r="D14" s="894">
        <f t="shared" si="5"/>
        <v>2664</v>
      </c>
      <c r="E14" s="899">
        <v>22316424.890000001</v>
      </c>
      <c r="F14" s="897">
        <v>3.3799999999999997E-2</v>
      </c>
      <c r="G14" s="898"/>
      <c r="H14" s="899">
        <f t="shared" si="2"/>
        <v>227627.53387800002</v>
      </c>
      <c r="I14" s="899">
        <f t="shared" si="3"/>
        <v>377147.58064099995</v>
      </c>
      <c r="J14" s="900"/>
      <c r="K14" s="950">
        <f t="shared" si="4"/>
        <v>754295.1612819999</v>
      </c>
      <c r="M14" s="926">
        <f>'Rate summary - 2016 PH'!B4</f>
        <v>272.34164056800336</v>
      </c>
      <c r="N14" s="926">
        <f>'Rate summary - 2016 PH'!H4</f>
        <v>282.31260516675383</v>
      </c>
      <c r="O14" s="870">
        <v>227627.53387800002</v>
      </c>
      <c r="P14" s="929">
        <f t="shared" ref="P14:P23" si="6">(N14-M14)/M14</f>
        <v>3.6611972293163639E-2</v>
      </c>
      <c r="Q14" s="949">
        <f t="shared" ref="Q14:Q23" si="7">E14*P14</f>
        <v>817048.32975514745</v>
      </c>
    </row>
    <row r="15" spans="1:17" ht="13.9" x14ac:dyDescent="0.3">
      <c r="A15" s="894" t="s">
        <v>727</v>
      </c>
      <c r="B15" s="894">
        <v>103.63</v>
      </c>
      <c r="C15" s="894">
        <v>82</v>
      </c>
      <c r="D15" s="894">
        <f t="shared" si="5"/>
        <v>984</v>
      </c>
      <c r="E15" s="899">
        <v>3127756.64</v>
      </c>
      <c r="F15" s="897">
        <v>2.0400000000000001E-2</v>
      </c>
      <c r="G15" s="898"/>
      <c r="H15" s="899">
        <f t="shared" si="2"/>
        <v>31903.117728000005</v>
      </c>
      <c r="I15" s="899">
        <f t="shared" si="3"/>
        <v>31903.117728000005</v>
      </c>
      <c r="J15" s="900"/>
      <c r="K15" s="899">
        <f t="shared" si="4"/>
        <v>63806.235456000009</v>
      </c>
      <c r="M15" s="926">
        <f>'Rate summary - 2016 PH'!B6</f>
        <v>101.56129404855095</v>
      </c>
      <c r="N15" s="926">
        <f>'Rate summary - 2016 PH'!H6</f>
        <v>103.62851387473076</v>
      </c>
      <c r="O15" s="870">
        <v>31903.117728000005</v>
      </c>
      <c r="P15" s="929">
        <f t="shared" si="6"/>
        <v>2.0354406130268319E-2</v>
      </c>
      <c r="Q15" s="930">
        <f t="shared" si="7"/>
        <v>63663.628927203441</v>
      </c>
    </row>
    <row r="16" spans="1:17" ht="13.9" x14ac:dyDescent="0.3">
      <c r="A16" s="894" t="s">
        <v>728</v>
      </c>
      <c r="B16" s="894">
        <v>659.34</v>
      </c>
      <c r="C16" s="894">
        <v>4</v>
      </c>
      <c r="D16" s="894">
        <f t="shared" si="5"/>
        <v>48</v>
      </c>
      <c r="E16" s="899">
        <v>935593.41</v>
      </c>
      <c r="F16" s="897">
        <v>2.0400000000000001E-2</v>
      </c>
      <c r="G16" s="898"/>
      <c r="H16" s="899">
        <f t="shared" si="2"/>
        <v>9543.0527820000007</v>
      </c>
      <c r="I16" s="899">
        <f t="shared" si="3"/>
        <v>9543.0527820000007</v>
      </c>
      <c r="J16" s="900"/>
      <c r="K16" s="899">
        <f t="shared" si="4"/>
        <v>19086.105564000001</v>
      </c>
      <c r="M16" s="926">
        <f>'Rate summary - 2016 PH'!B32</f>
        <v>646.19025007947585</v>
      </c>
      <c r="N16" s="926" t="e">
        <f>'Rate summary - 2016 PH'!H32</f>
        <v>#REF!</v>
      </c>
      <c r="O16" s="870">
        <v>9543.0527820000007</v>
      </c>
      <c r="P16" s="929" t="e">
        <f t="shared" si="6"/>
        <v>#REF!</v>
      </c>
      <c r="Q16" s="930" t="e">
        <f t="shared" si="7"/>
        <v>#REF!</v>
      </c>
    </row>
    <row r="17" spans="1:17" ht="13.9" x14ac:dyDescent="0.3">
      <c r="A17" s="894" t="s">
        <v>729</v>
      </c>
      <c r="B17" s="894">
        <v>380.1</v>
      </c>
      <c r="C17" s="894">
        <v>17</v>
      </c>
      <c r="D17" s="894">
        <f t="shared" si="5"/>
        <v>204</v>
      </c>
      <c r="E17" s="899">
        <v>2242938.81</v>
      </c>
      <c r="F17" s="897">
        <v>2.0400000000000001E-2</v>
      </c>
      <c r="G17" s="898"/>
      <c r="H17" s="899">
        <f t="shared" si="2"/>
        <v>22877.975862000003</v>
      </c>
      <c r="I17" s="899">
        <f t="shared" si="3"/>
        <v>22877.975862000003</v>
      </c>
      <c r="J17" s="900"/>
      <c r="K17" s="899">
        <f t="shared" si="4"/>
        <v>45755.951724000006</v>
      </c>
      <c r="M17" s="926">
        <f>'Rate summary - 2016 PH'!B33</f>
        <v>372.51757751167486</v>
      </c>
      <c r="N17" s="926" t="e">
        <f>'Rate summary - 2016 PH'!H33</f>
        <v>#REF!</v>
      </c>
      <c r="O17" s="870">
        <v>22877.975862000003</v>
      </c>
      <c r="P17" s="929" t="e">
        <f t="shared" si="6"/>
        <v>#REF!</v>
      </c>
      <c r="Q17" s="930" t="e">
        <f t="shared" si="7"/>
        <v>#REF!</v>
      </c>
    </row>
    <row r="18" spans="1:17" ht="13.9" x14ac:dyDescent="0.3">
      <c r="A18" s="894" t="s">
        <v>730</v>
      </c>
      <c r="B18" s="894">
        <v>334.96</v>
      </c>
      <c r="C18" s="894">
        <v>616</v>
      </c>
      <c r="D18" s="894">
        <f t="shared" si="5"/>
        <v>7392</v>
      </c>
      <c r="E18" s="899">
        <v>72408504.189999998</v>
      </c>
      <c r="F18" s="897">
        <v>3.1600000000000003E-2</v>
      </c>
      <c r="G18" s="898"/>
      <c r="H18" s="899">
        <f t="shared" si="2"/>
        <v>738566.742738</v>
      </c>
      <c r="I18" s="899">
        <f t="shared" si="3"/>
        <v>1144054.3662020001</v>
      </c>
      <c r="J18" s="900"/>
      <c r="K18" s="950">
        <f t="shared" si="4"/>
        <v>2288108.7324040001</v>
      </c>
      <c r="M18" s="926">
        <f>'Rate summary - 2016 PH'!B3</f>
        <v>324.69932507240469</v>
      </c>
      <c r="N18" s="926">
        <f>'Rate summary - 2016 PH'!H3</f>
        <v>335.73658395920756</v>
      </c>
      <c r="O18" s="870">
        <v>738566.742738</v>
      </c>
      <c r="P18" s="929">
        <f t="shared" si="6"/>
        <v>3.3992244623057583E-2</v>
      </c>
      <c r="Q18" s="949">
        <f t="shared" si="7"/>
        <v>2461327.58721617</v>
      </c>
    </row>
    <row r="19" spans="1:17" ht="13.9" x14ac:dyDescent="0.3">
      <c r="A19" s="894" t="s">
        <v>731</v>
      </c>
      <c r="B19" s="894">
        <v>386.45</v>
      </c>
      <c r="C19" s="894">
        <v>23</v>
      </c>
      <c r="D19" s="894">
        <f t="shared" si="5"/>
        <v>276</v>
      </c>
      <c r="E19" s="899">
        <v>3143822.43</v>
      </c>
      <c r="F19" s="897">
        <v>2.0400000000000001E-2</v>
      </c>
      <c r="G19" s="898"/>
      <c r="H19" s="899">
        <f t="shared" si="2"/>
        <v>32066.988786000005</v>
      </c>
      <c r="I19" s="899">
        <f t="shared" si="3"/>
        <v>32066.988786000005</v>
      </c>
      <c r="J19" s="900"/>
      <c r="K19" s="899">
        <f t="shared" si="4"/>
        <v>64133.977572000011</v>
      </c>
      <c r="M19" s="926">
        <f>'Rate summary - 2016 PH'!B34</f>
        <v>378.73995030015982</v>
      </c>
      <c r="N19" s="926" t="e">
        <f>'Rate summary - 2016 PH'!H34</f>
        <v>#REF!</v>
      </c>
      <c r="O19" s="870">
        <v>32066.988786000005</v>
      </c>
      <c r="P19" s="929" t="e">
        <f t="shared" si="6"/>
        <v>#REF!</v>
      </c>
      <c r="Q19" s="930" t="e">
        <f t="shared" si="7"/>
        <v>#REF!</v>
      </c>
    </row>
    <row r="20" spans="1:17" ht="13.9" x14ac:dyDescent="0.3">
      <c r="A20" s="894" t="s">
        <v>732</v>
      </c>
      <c r="B20" s="894">
        <v>431.61</v>
      </c>
      <c r="C20" s="894">
        <v>9</v>
      </c>
      <c r="D20" s="894">
        <f t="shared" si="5"/>
        <v>108</v>
      </c>
      <c r="E20" s="899">
        <v>485484.69</v>
      </c>
      <c r="F20" s="897">
        <v>0.46810000000000002</v>
      </c>
      <c r="G20" s="898"/>
      <c r="H20" s="899">
        <f t="shared" si="2"/>
        <v>4951.9438380000001</v>
      </c>
      <c r="I20" s="899">
        <f t="shared" si="3"/>
        <v>113627.6916945</v>
      </c>
      <c r="J20" s="900"/>
      <c r="K20" s="899">
        <f t="shared" si="4"/>
        <v>227255.383389</v>
      </c>
      <c r="M20" s="926"/>
      <c r="O20" s="870">
        <v>4951.9438380000001</v>
      </c>
      <c r="P20" s="929">
        <f>F20</f>
        <v>0.46810000000000002</v>
      </c>
      <c r="Q20" s="930">
        <f t="shared" si="7"/>
        <v>227255.383389</v>
      </c>
    </row>
    <row r="21" spans="1:17" ht="13.9" x14ac:dyDescent="0.3">
      <c r="A21" s="894" t="s">
        <v>733</v>
      </c>
      <c r="B21" s="894">
        <v>241.78</v>
      </c>
      <c r="C21" s="894">
        <v>43</v>
      </c>
      <c r="D21" s="894">
        <f t="shared" si="5"/>
        <v>516</v>
      </c>
      <c r="E21" s="899">
        <v>2926735.78</v>
      </c>
      <c r="F21" s="897">
        <v>0.29559999999999997</v>
      </c>
      <c r="G21" s="898"/>
      <c r="H21" s="899">
        <f t="shared" si="2"/>
        <v>29852.704956000001</v>
      </c>
      <c r="I21" s="899">
        <f t="shared" si="3"/>
        <v>432571.54828399996</v>
      </c>
      <c r="J21" s="900"/>
      <c r="K21" s="950">
        <f t="shared" si="4"/>
        <v>865143.09656799992</v>
      </c>
      <c r="M21" s="926">
        <f>'Rate summary - 2016 PH'!B5</f>
        <v>186.61375764818357</v>
      </c>
      <c r="N21" s="926">
        <f>'Rate summary - 2016 PH'!H5</f>
        <v>241.78009637919018</v>
      </c>
      <c r="O21" s="870">
        <v>29852.704956000001</v>
      </c>
      <c r="P21" s="929">
        <f t="shared" si="6"/>
        <v>0.29561774772795585</v>
      </c>
      <c r="Q21" s="949">
        <f t="shared" si="7"/>
        <v>865195.03947842203</v>
      </c>
    </row>
    <row r="22" spans="1:17" ht="13.9" x14ac:dyDescent="0.3">
      <c r="A22" s="894" t="s">
        <v>734</v>
      </c>
      <c r="B22" s="894">
        <v>151.19999999999999</v>
      </c>
      <c r="C22" s="894">
        <v>6</v>
      </c>
      <c r="D22" s="894">
        <f t="shared" si="5"/>
        <v>72</v>
      </c>
      <c r="E22" s="899">
        <v>341538.82</v>
      </c>
      <c r="F22" s="897">
        <v>2.0400000000000001E-2</v>
      </c>
      <c r="G22" s="898"/>
      <c r="H22" s="899">
        <f t="shared" si="2"/>
        <v>3483.6959640000005</v>
      </c>
      <c r="I22" s="899">
        <f t="shared" si="3"/>
        <v>3483.6959640000005</v>
      </c>
      <c r="J22" s="900"/>
      <c r="K22" s="899">
        <f t="shared" si="4"/>
        <v>6967.3919280000009</v>
      </c>
      <c r="M22" s="926">
        <f>'Rate summary - 2016 PH'!B41</f>
        <v>148.17926423585394</v>
      </c>
      <c r="N22" s="926">
        <f>'Rate summary - 2016 PH'!H41</f>
        <v>151.19536516019485</v>
      </c>
      <c r="O22" s="870">
        <v>3483.6959640000005</v>
      </c>
      <c r="P22" s="929">
        <f t="shared" si="6"/>
        <v>2.0354406130268343E-2</v>
      </c>
      <c r="Q22" s="930">
        <f t="shared" si="7"/>
        <v>6951.8198515326167</v>
      </c>
    </row>
    <row r="23" spans="1:17" ht="13.9" x14ac:dyDescent="0.3">
      <c r="A23" s="894" t="s">
        <v>735</v>
      </c>
      <c r="B23" s="894">
        <v>45.91</v>
      </c>
      <c r="C23" s="894">
        <v>1</v>
      </c>
      <c r="D23" s="894">
        <f t="shared" si="5"/>
        <v>12</v>
      </c>
      <c r="E23" s="899">
        <v>19890</v>
      </c>
      <c r="F23" s="897">
        <v>2.0400000000000001E-2</v>
      </c>
      <c r="G23" s="898"/>
      <c r="H23" s="899">
        <f t="shared" si="2"/>
        <v>202.87800000000001</v>
      </c>
      <c r="I23" s="899">
        <f t="shared" si="3"/>
        <v>202.87800000000001</v>
      </c>
      <c r="J23" s="900"/>
      <c r="K23" s="899">
        <f t="shared" si="4"/>
        <v>405.75600000000003</v>
      </c>
      <c r="M23" s="926">
        <f>'Rate summary - 2016 PH'!B28</f>
        <v>45.912773715385221</v>
      </c>
      <c r="N23" s="926" t="e">
        <f>'Rate summary - 2016 PH'!H28</f>
        <v>#REF!</v>
      </c>
      <c r="O23" s="870">
        <v>202.87800000000001</v>
      </c>
      <c r="P23" s="929" t="e">
        <f t="shared" si="6"/>
        <v>#REF!</v>
      </c>
      <c r="Q23" s="930" t="e">
        <f t="shared" si="7"/>
        <v>#REF!</v>
      </c>
    </row>
    <row r="24" spans="1:17" ht="14.45" thickBot="1" x14ac:dyDescent="0.35">
      <c r="A24" s="894" t="s">
        <v>736</v>
      </c>
      <c r="B24" s="894">
        <v>69.52</v>
      </c>
      <c r="C24" s="894">
        <v>4</v>
      </c>
      <c r="D24" s="894">
        <f t="shared" si="5"/>
        <v>48</v>
      </c>
      <c r="E24" s="899">
        <v>58815</v>
      </c>
      <c r="F24" s="897">
        <v>2.0400000000000001E-2</v>
      </c>
      <c r="G24" s="898"/>
      <c r="H24" s="899">
        <f t="shared" si="2"/>
        <v>599.91300000000001</v>
      </c>
      <c r="I24" s="899">
        <f t="shared" si="3"/>
        <v>599.91300000000001</v>
      </c>
      <c r="J24" s="900"/>
      <c r="K24" s="899">
        <f t="shared" si="4"/>
        <v>1199.826</v>
      </c>
      <c r="M24" s="926"/>
      <c r="O24" s="870">
        <v>599.91300000000001</v>
      </c>
      <c r="P24" s="931">
        <v>2.0400000000000001E-2</v>
      </c>
      <c r="Q24" s="935">
        <f>E24*P24</f>
        <v>1199.826</v>
      </c>
    </row>
    <row r="25" spans="1:17" s="869" customFormat="1" ht="14.45" thickTop="1" x14ac:dyDescent="0.3">
      <c r="A25" s="904"/>
      <c r="B25" s="904"/>
      <c r="C25" s="904"/>
      <c r="D25" s="904"/>
      <c r="E25" s="909"/>
      <c r="F25" s="907"/>
      <c r="G25" s="908"/>
      <c r="H25" s="909"/>
      <c r="I25" s="909"/>
      <c r="J25" s="910"/>
      <c r="K25" s="909"/>
      <c r="M25" s="928"/>
      <c r="N25" s="928"/>
      <c r="O25" s="911"/>
      <c r="Q25" s="936"/>
    </row>
    <row r="26" spans="1:17" s="869" customFormat="1" ht="13.9" x14ac:dyDescent="0.3">
      <c r="A26" s="913" t="s">
        <v>737</v>
      </c>
      <c r="B26" s="913"/>
      <c r="C26" s="913"/>
      <c r="D26" s="913"/>
      <c r="E26" s="918"/>
      <c r="F26" s="919"/>
      <c r="G26" s="908"/>
      <c r="H26" s="918"/>
      <c r="I26" s="918"/>
      <c r="J26" s="910"/>
      <c r="K26" s="918"/>
      <c r="M26" s="928"/>
      <c r="N26" s="928"/>
      <c r="O26" s="911"/>
    </row>
    <row r="27" spans="1:17" ht="13.9" x14ac:dyDescent="0.3">
      <c r="A27" s="894" t="s">
        <v>738</v>
      </c>
      <c r="B27" s="894">
        <v>277</v>
      </c>
      <c r="C27" s="894">
        <v>13</v>
      </c>
      <c r="D27" s="894">
        <f t="shared" si="5"/>
        <v>156</v>
      </c>
      <c r="E27" s="899">
        <v>1317523.18</v>
      </c>
      <c r="F27" s="897">
        <v>2.0400000000000001E-2</v>
      </c>
      <c r="G27" s="898"/>
      <c r="H27" s="899">
        <f>E27*2.04%*0.5</f>
        <v>13438.736436000001</v>
      </c>
      <c r="I27" s="899">
        <f>E27*F27*0.5</f>
        <v>13438.736436000001</v>
      </c>
      <c r="J27" s="900"/>
      <c r="K27" s="899">
        <f>E27*F27</f>
        <v>26877.472872000002</v>
      </c>
      <c r="M27" s="926">
        <f>'Rate summary - 2016 PH'!B20</f>
        <v>278.5543520445832</v>
      </c>
      <c r="N27" s="926">
        <f>'Rate summary - 2016 PH'!H20</f>
        <v>278.5543520445832</v>
      </c>
      <c r="O27" s="870">
        <v>13438.736436000001</v>
      </c>
      <c r="P27" s="933">
        <f>F27</f>
        <v>2.0400000000000001E-2</v>
      </c>
      <c r="Q27" s="930">
        <f>E27*P27</f>
        <v>26877.472872000002</v>
      </c>
    </row>
    <row r="28" spans="1:17" ht="13.9" x14ac:dyDescent="0.3">
      <c r="A28" s="894" t="s">
        <v>739</v>
      </c>
      <c r="B28" s="894">
        <v>223.18</v>
      </c>
      <c r="C28" s="894">
        <v>2</v>
      </c>
      <c r="D28" s="894">
        <f t="shared" si="5"/>
        <v>24</v>
      </c>
      <c r="E28" s="899">
        <v>176833.81</v>
      </c>
      <c r="F28" s="897">
        <v>2.0400000000000001E-2</v>
      </c>
      <c r="G28" s="898"/>
      <c r="H28" s="899">
        <f>E28*2.04%*0.5</f>
        <v>1803.704862</v>
      </c>
      <c r="I28" s="899">
        <f>E28*F28*0.5</f>
        <v>1803.704862</v>
      </c>
      <c r="J28" s="900"/>
      <c r="K28" s="899">
        <f>E28*F28</f>
        <v>3607.4097240000001</v>
      </c>
      <c r="M28" s="926">
        <f>'Rate summary - 2016 PH'!B22</f>
        <v>239.09452556583673</v>
      </c>
      <c r="N28" s="926">
        <f>'Rate summary - 2016 PH'!H22</f>
        <v>6679</v>
      </c>
      <c r="O28" s="870">
        <v>1803.704862</v>
      </c>
      <c r="P28" s="933">
        <f t="shared" ref="P28:P29" si="8">F28</f>
        <v>2.0400000000000001E-2</v>
      </c>
      <c r="Q28" s="930">
        <f t="shared" ref="Q28:Q29" si="9">E28*P28</f>
        <v>3607.4097240000001</v>
      </c>
    </row>
    <row r="29" spans="1:17" ht="14.45" thickBot="1" x14ac:dyDescent="0.35">
      <c r="A29" s="894" t="s">
        <v>740</v>
      </c>
      <c r="B29" s="894">
        <v>221.12</v>
      </c>
      <c r="C29" s="894">
        <v>16</v>
      </c>
      <c r="D29" s="894">
        <f t="shared" si="5"/>
        <v>192</v>
      </c>
      <c r="E29" s="899">
        <v>1254004.3500000001</v>
      </c>
      <c r="F29" s="897">
        <v>2.0400000000000001E-2</v>
      </c>
      <c r="G29" s="898"/>
      <c r="H29" s="899">
        <f>E29*2.04%*0.5</f>
        <v>12790.844370000003</v>
      </c>
      <c r="I29" s="899">
        <f>E29*F29*0.5</f>
        <v>12790.844370000003</v>
      </c>
      <c r="J29" s="900"/>
      <c r="K29" s="899">
        <f>E29*F29</f>
        <v>25581.688740000005</v>
      </c>
      <c r="M29" s="926">
        <f>'Rate summary - 2016 PH'!B21</f>
        <v>237.14858814860082</v>
      </c>
      <c r="N29" s="926">
        <f>'Rate summary - 2016 PH'!H21</f>
        <v>6625</v>
      </c>
      <c r="O29" s="870">
        <v>12790.844370000003</v>
      </c>
      <c r="P29" s="933">
        <f t="shared" si="8"/>
        <v>2.0400000000000001E-2</v>
      </c>
      <c r="Q29" s="937">
        <f t="shared" si="9"/>
        <v>25581.688740000005</v>
      </c>
    </row>
    <row r="30" spans="1:17" s="869" customFormat="1" ht="14.45" thickTop="1" x14ac:dyDescent="0.3">
      <c r="A30" s="904"/>
      <c r="B30" s="904"/>
      <c r="C30" s="904"/>
      <c r="D30" s="904"/>
      <c r="E30" s="909"/>
      <c r="F30" s="907"/>
      <c r="G30" s="908"/>
      <c r="H30" s="909"/>
      <c r="I30" s="909"/>
      <c r="J30" s="910"/>
      <c r="K30" s="909"/>
      <c r="M30" s="928"/>
      <c r="N30" s="928"/>
      <c r="O30" s="911"/>
      <c r="Q30" s="936"/>
    </row>
    <row r="31" spans="1:17" s="869" customFormat="1" ht="13.9" x14ac:dyDescent="0.3">
      <c r="A31" s="913" t="s">
        <v>309</v>
      </c>
      <c r="B31" s="913"/>
      <c r="C31" s="913"/>
      <c r="D31" s="913"/>
      <c r="E31" s="918"/>
      <c r="F31" s="919"/>
      <c r="G31" s="908"/>
      <c r="H31" s="918"/>
      <c r="I31" s="918"/>
      <c r="J31" s="910"/>
      <c r="K31" s="918"/>
      <c r="M31" s="928"/>
      <c r="N31" s="928"/>
      <c r="O31" s="911"/>
    </row>
    <row r="32" spans="1:17" ht="13.9" x14ac:dyDescent="0.3">
      <c r="A32" s="894" t="s">
        <v>741</v>
      </c>
      <c r="B32" s="894">
        <v>334.96</v>
      </c>
      <c r="C32" s="894">
        <v>17</v>
      </c>
      <c r="D32" s="894">
        <f t="shared" si="5"/>
        <v>204</v>
      </c>
      <c r="E32" s="899">
        <v>1884686.89</v>
      </c>
      <c r="F32" s="897">
        <v>3.1600000000000003E-2</v>
      </c>
      <c r="G32" s="898"/>
      <c r="H32" s="899">
        <f>E32*2.04%*0.5</f>
        <v>19223.806278</v>
      </c>
      <c r="I32" s="899">
        <f>E32*F32*0.5</f>
        <v>29778.052862</v>
      </c>
      <c r="J32" s="900"/>
      <c r="K32" s="899">
        <f>E32*F32</f>
        <v>59556.105724000001</v>
      </c>
      <c r="M32" s="926">
        <f>'Rate summary - 2016 PH'!B25</f>
        <v>324.69932507240469</v>
      </c>
      <c r="N32" s="926">
        <f>'Rate summary - 2016 PH'!H25</f>
        <v>0</v>
      </c>
      <c r="O32" s="870">
        <v>19223.806278</v>
      </c>
      <c r="P32" s="929">
        <f>(N32-M32)/M32</f>
        <v>-1</v>
      </c>
      <c r="Q32" s="930">
        <f>E32*P32</f>
        <v>-1884686.89</v>
      </c>
    </row>
    <row r="33" spans="1:17" ht="13.9" x14ac:dyDescent="0.3">
      <c r="A33" s="894" t="s">
        <v>742</v>
      </c>
      <c r="B33" s="894">
        <v>334.96</v>
      </c>
      <c r="C33" s="894">
        <v>7</v>
      </c>
      <c r="D33" s="894">
        <f t="shared" si="5"/>
        <v>84</v>
      </c>
      <c r="E33" s="899">
        <v>752077.74</v>
      </c>
      <c r="F33" s="897">
        <v>3.1600000000000003E-2</v>
      </c>
      <c r="G33" s="898"/>
      <c r="H33" s="899">
        <f>E33*2.04%*0.5</f>
        <v>7671.1929480000008</v>
      </c>
      <c r="I33" s="899">
        <f>E33*F33*0.5</f>
        <v>11882.828292</v>
      </c>
      <c r="J33" s="900"/>
      <c r="K33" s="899">
        <f>E33*F33</f>
        <v>23765.656584</v>
      </c>
      <c r="M33" s="926"/>
      <c r="O33" s="870">
        <v>7671.1929480000008</v>
      </c>
      <c r="P33" s="929">
        <f>P32</f>
        <v>-1</v>
      </c>
      <c r="Q33" s="930">
        <f t="shared" ref="Q33:Q36" si="10">E33*P33</f>
        <v>-752077.74</v>
      </c>
    </row>
    <row r="34" spans="1:17" ht="13.9" x14ac:dyDescent="0.3">
      <c r="A34" s="894" t="s">
        <v>743</v>
      </c>
      <c r="B34" s="894">
        <v>281.54000000000002</v>
      </c>
      <c r="C34" s="894">
        <v>1</v>
      </c>
      <c r="D34" s="894">
        <f t="shared" si="5"/>
        <v>12</v>
      </c>
      <c r="E34" s="899">
        <v>39199.96</v>
      </c>
      <c r="F34" s="897">
        <v>3.3799999999999997E-2</v>
      </c>
      <c r="G34" s="898"/>
      <c r="H34" s="899">
        <f>E34*2.04%*0.5</f>
        <v>399.83959200000004</v>
      </c>
      <c r="I34" s="899">
        <f>E34*F34*0.5</f>
        <v>662.47932399999991</v>
      </c>
      <c r="J34" s="900"/>
      <c r="K34" s="899">
        <f>E34*F34</f>
        <v>1324.9586479999998</v>
      </c>
      <c r="M34" s="926">
        <f>'Rate summary - 2016 PH'!B26</f>
        <v>272.34164056800336</v>
      </c>
      <c r="N34" s="926">
        <f>'Rate summary - 2016 PH'!D26</f>
        <v>281.53826600525116</v>
      </c>
      <c r="O34" s="870">
        <v>399.83959200000004</v>
      </c>
      <c r="P34" s="929">
        <f>(N34-M34)/M34</f>
        <v>3.3768708369631112E-2</v>
      </c>
      <c r="Q34" s="930">
        <f t="shared" si="10"/>
        <v>1323.7320173412047</v>
      </c>
    </row>
    <row r="35" spans="1:17" ht="13.9" x14ac:dyDescent="0.3">
      <c r="A35" s="894" t="s">
        <v>744</v>
      </c>
      <c r="B35" s="894">
        <v>281.54000000000002</v>
      </c>
      <c r="C35" s="894">
        <v>1</v>
      </c>
      <c r="D35" s="894">
        <f t="shared" si="5"/>
        <v>12</v>
      </c>
      <c r="E35" s="899">
        <v>77928.259999999995</v>
      </c>
      <c r="F35" s="897">
        <v>3.3799999999999997E-2</v>
      </c>
      <c r="G35" s="898"/>
      <c r="H35" s="899">
        <f>E35*2.04%*0.5</f>
        <v>794.86825199999998</v>
      </c>
      <c r="I35" s="899">
        <f>E35*F35*0.5</f>
        <v>1316.9875939999997</v>
      </c>
      <c r="J35" s="900"/>
      <c r="K35" s="899">
        <f>E35*F35</f>
        <v>2633.9751879999994</v>
      </c>
      <c r="M35" s="926"/>
      <c r="O35" s="870">
        <v>794.86825199999998</v>
      </c>
      <c r="P35" s="929">
        <f>P34</f>
        <v>3.3768708369631112E-2</v>
      </c>
      <c r="Q35" s="930">
        <f t="shared" si="10"/>
        <v>2631.5366856927894</v>
      </c>
    </row>
    <row r="36" spans="1:17" ht="14.45" thickBot="1" x14ac:dyDescent="0.35">
      <c r="A36" s="894" t="s">
        <v>745</v>
      </c>
      <c r="B36" s="894">
        <v>114.92</v>
      </c>
      <c r="C36" s="894">
        <v>97</v>
      </c>
      <c r="D36" s="894">
        <f t="shared" si="5"/>
        <v>1164</v>
      </c>
      <c r="E36" s="899">
        <v>3977303.19</v>
      </c>
      <c r="F36" s="897">
        <v>2.0400000000000001E-2</v>
      </c>
      <c r="G36" s="898"/>
      <c r="H36" s="899">
        <f>E36*2.04%*0.5</f>
        <v>40568.492538000006</v>
      </c>
      <c r="I36" s="899">
        <f>E36*F36*0.5</f>
        <v>40568.492538000006</v>
      </c>
      <c r="J36" s="900"/>
      <c r="K36" s="899">
        <f>E36*F36</f>
        <v>81136.985076000012</v>
      </c>
      <c r="M36" s="926">
        <f>'Rate summary - 2016 PH'!B24</f>
        <v>112.62568877780143</v>
      </c>
      <c r="N36" s="926">
        <f>'Rate summary - 2016 PH'!H24</f>
        <v>116.1580273719737</v>
      </c>
      <c r="O36" s="870">
        <v>40568.492538000006</v>
      </c>
      <c r="P36" s="929">
        <f>(N36-M36)/M36</f>
        <v>3.136352489831342E-2</v>
      </c>
      <c r="Q36" s="937">
        <f t="shared" si="10"/>
        <v>124742.2476277064</v>
      </c>
    </row>
    <row r="37" spans="1:17" s="869" customFormat="1" ht="14.45" thickTop="1" x14ac:dyDescent="0.3">
      <c r="A37" s="904"/>
      <c r="B37" s="904"/>
      <c r="C37" s="904"/>
      <c r="D37" s="904"/>
      <c r="E37" s="909"/>
      <c r="F37" s="907"/>
      <c r="G37" s="908"/>
      <c r="H37" s="909"/>
      <c r="I37" s="909"/>
      <c r="J37" s="910"/>
      <c r="K37" s="909"/>
      <c r="M37" s="928"/>
      <c r="N37" s="928"/>
      <c r="O37" s="911"/>
      <c r="P37" s="938"/>
      <c r="Q37" s="936"/>
    </row>
    <row r="38" spans="1:17" s="869" customFormat="1" ht="13.9" x14ac:dyDescent="0.3">
      <c r="A38" s="913" t="s">
        <v>746</v>
      </c>
      <c r="B38" s="913"/>
      <c r="C38" s="913"/>
      <c r="D38" s="913"/>
      <c r="E38" s="918"/>
      <c r="F38" s="919"/>
      <c r="G38" s="908"/>
      <c r="H38" s="918"/>
      <c r="I38" s="918"/>
      <c r="J38" s="910"/>
      <c r="K38" s="918"/>
      <c r="M38" s="928"/>
      <c r="N38" s="928"/>
      <c r="O38" s="911"/>
      <c r="P38" s="938"/>
    </row>
    <row r="39" spans="1:17" ht="13.9" x14ac:dyDescent="0.3">
      <c r="A39" s="894" t="s">
        <v>747</v>
      </c>
      <c r="B39" s="894"/>
      <c r="C39" s="894">
        <v>26</v>
      </c>
      <c r="D39" s="894">
        <f t="shared" si="5"/>
        <v>312</v>
      </c>
      <c r="E39" s="899">
        <v>156823.79999999999</v>
      </c>
      <c r="F39" s="897">
        <v>2.0400000000000001E-2</v>
      </c>
      <c r="G39" s="898"/>
      <c r="H39" s="899">
        <f>E39*2.04%*0.5</f>
        <v>1599.60276</v>
      </c>
      <c r="I39" s="899">
        <f>E39*F39*0.5</f>
        <v>1599.60276</v>
      </c>
      <c r="J39" s="900"/>
      <c r="K39" s="899">
        <f>E39*F39</f>
        <v>3199.20552</v>
      </c>
      <c r="M39" s="926"/>
      <c r="O39" s="870">
        <v>1599.60276</v>
      </c>
      <c r="P39" s="929">
        <f>F39</f>
        <v>2.0400000000000001E-2</v>
      </c>
      <c r="Q39" s="930">
        <f>E39*P39</f>
        <v>3199.20552</v>
      </c>
    </row>
    <row r="40" spans="1:17" ht="13.9" x14ac:dyDescent="0.3">
      <c r="A40" s="894" t="s">
        <v>748</v>
      </c>
      <c r="B40" s="894"/>
      <c r="C40" s="894">
        <v>21</v>
      </c>
      <c r="D40" s="894">
        <f t="shared" si="5"/>
        <v>252</v>
      </c>
      <c r="E40" s="899">
        <v>127569.05</v>
      </c>
      <c r="F40" s="897">
        <v>2.0400000000000001E-2</v>
      </c>
      <c r="G40" s="898"/>
      <c r="H40" s="899">
        <f>E40*2.04%*0.5</f>
        <v>1301.2043100000001</v>
      </c>
      <c r="I40" s="899">
        <f>E40*F40*0.5</f>
        <v>1301.2043100000001</v>
      </c>
      <c r="J40" s="900"/>
      <c r="K40" s="899">
        <f>E40*F40</f>
        <v>2602.4086200000002</v>
      </c>
      <c r="M40" s="926"/>
      <c r="O40" s="870">
        <v>1301.2043100000001</v>
      </c>
      <c r="P40" s="929">
        <f t="shared" ref="P40:P43" si="11">F40</f>
        <v>2.0400000000000001E-2</v>
      </c>
      <c r="Q40" s="930">
        <f t="shared" ref="Q40:Q43" si="12">E40*P40</f>
        <v>2602.4086200000002</v>
      </c>
    </row>
    <row r="41" spans="1:17" ht="13.9" x14ac:dyDescent="0.3">
      <c r="A41" s="894" t="s">
        <v>749</v>
      </c>
      <c r="B41" s="894"/>
      <c r="C41" s="894">
        <v>112</v>
      </c>
      <c r="D41" s="894">
        <f t="shared" si="5"/>
        <v>1344</v>
      </c>
      <c r="E41" s="899">
        <v>929697.78</v>
      </c>
      <c r="F41" s="897">
        <v>2.0400000000000001E-2</v>
      </c>
      <c r="G41" s="898"/>
      <c r="H41" s="899">
        <f>E41*2.04%*0.5</f>
        <v>9482.9173560000017</v>
      </c>
      <c r="I41" s="899">
        <f>E41*F41*0.5</f>
        <v>9482.9173560000017</v>
      </c>
      <c r="J41" s="900"/>
      <c r="K41" s="899">
        <f>E41*F41</f>
        <v>18965.834712000003</v>
      </c>
      <c r="M41" s="926"/>
      <c r="O41" s="870">
        <v>9482.9173560000017</v>
      </c>
      <c r="P41" s="929">
        <f t="shared" si="11"/>
        <v>2.0400000000000001E-2</v>
      </c>
      <c r="Q41" s="930">
        <f t="shared" si="12"/>
        <v>18965.834712000003</v>
      </c>
    </row>
    <row r="42" spans="1:17" ht="13.9" x14ac:dyDescent="0.3">
      <c r="A42" s="894" t="s">
        <v>750</v>
      </c>
      <c r="B42" s="894"/>
      <c r="C42" s="894">
        <v>2</v>
      </c>
      <c r="D42" s="894">
        <f t="shared" si="5"/>
        <v>24</v>
      </c>
      <c r="E42" s="899">
        <v>28374.18</v>
      </c>
      <c r="F42" s="897">
        <v>2.0400000000000001E-2</v>
      </c>
      <c r="G42" s="898"/>
      <c r="H42" s="899">
        <f>E42*2.04%*0.5</f>
        <v>289.41663600000004</v>
      </c>
      <c r="I42" s="899">
        <f>E42*F42*0.5</f>
        <v>289.41663600000004</v>
      </c>
      <c r="J42" s="900"/>
      <c r="K42" s="899">
        <f>E42*F42</f>
        <v>578.83327200000008</v>
      </c>
      <c r="M42" s="926"/>
      <c r="O42" s="870">
        <v>289.41663600000004</v>
      </c>
      <c r="P42" s="929">
        <f t="shared" si="11"/>
        <v>2.0400000000000001E-2</v>
      </c>
      <c r="Q42" s="930">
        <f t="shared" si="12"/>
        <v>578.83327200000008</v>
      </c>
    </row>
    <row r="43" spans="1:17" ht="14.45" thickBot="1" x14ac:dyDescent="0.35">
      <c r="A43" s="894" t="s">
        <v>751</v>
      </c>
      <c r="B43" s="894"/>
      <c r="C43" s="894">
        <v>2</v>
      </c>
      <c r="D43" s="894">
        <f t="shared" si="5"/>
        <v>24</v>
      </c>
      <c r="E43" s="899">
        <v>30768.48</v>
      </c>
      <c r="F43" s="897">
        <v>2.0400000000000001E-2</v>
      </c>
      <c r="G43" s="898"/>
      <c r="H43" s="899">
        <f>E43*2.04%*0.5</f>
        <v>313.83849600000002</v>
      </c>
      <c r="I43" s="899">
        <f>E43*F43*0.5</f>
        <v>313.83849600000002</v>
      </c>
      <c r="J43" s="900"/>
      <c r="K43" s="899">
        <f>E43*F43</f>
        <v>627.67699200000004</v>
      </c>
      <c r="M43" s="926"/>
      <c r="O43" s="870">
        <v>313.83849600000002</v>
      </c>
      <c r="P43" s="929">
        <f t="shared" si="11"/>
        <v>2.0400000000000001E-2</v>
      </c>
      <c r="Q43" s="937">
        <f t="shared" si="12"/>
        <v>627.67699200000004</v>
      </c>
    </row>
    <row r="44" spans="1:17" ht="14.45" thickTop="1" x14ac:dyDescent="0.3">
      <c r="A44" s="904"/>
      <c r="B44" s="904"/>
      <c r="C44" s="904"/>
      <c r="D44" s="904"/>
      <c r="E44" s="920"/>
      <c r="F44" s="921"/>
      <c r="G44" s="874"/>
      <c r="H44" s="904"/>
      <c r="I44" s="904"/>
      <c r="J44" s="922"/>
      <c r="K44" s="904"/>
      <c r="M44" s="926"/>
      <c r="P44" s="929"/>
      <c r="Q44" s="930"/>
    </row>
    <row r="45" spans="1:17" ht="14.45" thickBot="1" x14ac:dyDescent="0.35">
      <c r="A45" s="939"/>
      <c r="B45" s="940"/>
      <c r="C45" s="940"/>
      <c r="D45" s="940"/>
      <c r="E45" s="941"/>
      <c r="F45" s="948"/>
      <c r="G45" s="874"/>
      <c r="H45" s="904"/>
      <c r="I45" s="904"/>
      <c r="J45" s="922"/>
      <c r="K45" s="904"/>
      <c r="M45" s="926"/>
      <c r="P45" s="929"/>
      <c r="Q45" s="930"/>
    </row>
    <row r="46" spans="1:17" ht="37.15" thickBot="1" x14ac:dyDescent="0.35">
      <c r="A46" s="939"/>
      <c r="B46" s="940"/>
      <c r="C46" s="940"/>
      <c r="D46" s="940"/>
      <c r="E46" s="833" t="s">
        <v>715</v>
      </c>
      <c r="F46" s="879"/>
      <c r="G46" s="879"/>
      <c r="H46" s="833" t="s">
        <v>690</v>
      </c>
      <c r="I46" s="833" t="s">
        <v>691</v>
      </c>
      <c r="J46" s="880"/>
      <c r="K46" s="833" t="s">
        <v>756</v>
      </c>
      <c r="N46" s="927"/>
      <c r="O46" s="947" t="s">
        <v>690</v>
      </c>
      <c r="P46" s="879"/>
      <c r="Q46" s="833" t="s">
        <v>752</v>
      </c>
    </row>
    <row r="47" spans="1:17" ht="13.9" x14ac:dyDescent="0.3">
      <c r="A47" s="1422">
        <f>SUM(E6:E43)</f>
        <v>165097927.20000002</v>
      </c>
      <c r="B47" s="1423"/>
      <c r="C47" s="1423"/>
      <c r="D47" s="1423"/>
      <c r="E47" s="1424"/>
      <c r="F47" s="921"/>
      <c r="G47" s="874"/>
      <c r="H47" s="923">
        <f>SUM(H6:H43)</f>
        <v>1683998.8574400002</v>
      </c>
      <c r="I47" s="923">
        <f>SUM(I6:I43)</f>
        <v>3670404.0184305003</v>
      </c>
      <c r="J47" s="923"/>
      <c r="K47" s="923">
        <f>SUM(K6:K43)</f>
        <v>7340808.0368610006</v>
      </c>
      <c r="M47" s="926"/>
      <c r="O47" s="942">
        <f>SUM(O6:O46)</f>
        <v>1683998.8574400002</v>
      </c>
      <c r="P47" s="929"/>
      <c r="Q47" s="943" t="e">
        <f>SUM(Q6:Q46)</f>
        <v>#REF!</v>
      </c>
    </row>
    <row r="48" spans="1:17" x14ac:dyDescent="0.2">
      <c r="E48" s="924"/>
      <c r="M48" s="926"/>
    </row>
    <row r="49" spans="1:17" x14ac:dyDescent="0.2">
      <c r="E49" s="924"/>
      <c r="M49" s="926"/>
    </row>
    <row r="50" spans="1:17" x14ac:dyDescent="0.2">
      <c r="E50" s="924"/>
    </row>
    <row r="51" spans="1:17" s="901" customFormat="1" x14ac:dyDescent="0.2">
      <c r="A51" s="869"/>
      <c r="B51" s="868"/>
      <c r="C51" s="868"/>
      <c r="D51" s="868"/>
      <c r="E51" s="924"/>
      <c r="G51" s="925"/>
      <c r="H51" s="868"/>
      <c r="I51" s="868"/>
      <c r="J51" s="869"/>
      <c r="K51" s="868"/>
      <c r="L51" s="868"/>
      <c r="M51" s="868"/>
      <c r="N51" s="926"/>
      <c r="O51" s="870"/>
      <c r="P51" s="868"/>
      <c r="Q51" s="868"/>
    </row>
    <row r="52" spans="1:17" s="901" customFormat="1" x14ac:dyDescent="0.2">
      <c r="A52" s="868"/>
      <c r="B52" s="868"/>
      <c r="C52" s="868"/>
      <c r="D52" s="868"/>
      <c r="E52" s="924"/>
      <c r="G52" s="925"/>
      <c r="H52" s="868"/>
      <c r="I52" s="868"/>
      <c r="J52" s="869"/>
      <c r="K52" s="868"/>
      <c r="L52" s="868"/>
      <c r="M52" s="868"/>
      <c r="N52" s="926"/>
      <c r="O52" s="870"/>
      <c r="P52" s="868"/>
      <c r="Q52" s="868"/>
    </row>
    <row r="53" spans="1:17" s="901" customFormat="1" x14ac:dyDescent="0.2">
      <c r="A53" s="868"/>
      <c r="B53" s="868"/>
      <c r="C53" s="868"/>
      <c r="D53" s="868"/>
      <c r="E53" s="924"/>
      <c r="G53" s="925"/>
      <c r="H53" s="868"/>
      <c r="I53" s="868"/>
      <c r="J53" s="869"/>
      <c r="K53" s="868"/>
      <c r="L53" s="868"/>
      <c r="M53" s="868"/>
      <c r="N53" s="926"/>
      <c r="O53" s="870"/>
      <c r="P53" s="868"/>
      <c r="Q53" s="868"/>
    </row>
    <row r="54" spans="1:17" s="901" customFormat="1" x14ac:dyDescent="0.2">
      <c r="A54" s="868"/>
      <c r="B54" s="868"/>
      <c r="C54" s="868"/>
      <c r="D54" s="868"/>
      <c r="E54" s="924"/>
      <c r="G54" s="925"/>
      <c r="H54" s="868"/>
      <c r="I54" s="868"/>
      <c r="J54" s="869"/>
      <c r="K54" s="868"/>
      <c r="L54" s="868"/>
      <c r="M54" s="868"/>
      <c r="N54" s="926"/>
      <c r="O54" s="870"/>
      <c r="P54" s="868"/>
      <c r="Q54" s="868"/>
    </row>
    <row r="55" spans="1:17" s="901" customFormat="1" x14ac:dyDescent="0.2">
      <c r="A55" s="868"/>
      <c r="B55" s="868"/>
      <c r="C55" s="868"/>
      <c r="D55" s="868"/>
      <c r="E55" s="924"/>
      <c r="G55" s="925"/>
      <c r="H55" s="868"/>
      <c r="I55" s="868"/>
      <c r="J55" s="869"/>
      <c r="K55" s="868"/>
      <c r="L55" s="868"/>
      <c r="M55" s="868"/>
      <c r="N55" s="926"/>
      <c r="O55" s="870"/>
      <c r="P55" s="868"/>
      <c r="Q55" s="868"/>
    </row>
    <row r="56" spans="1:17" s="901" customFormat="1" x14ac:dyDescent="0.2">
      <c r="A56" s="868"/>
      <c r="B56" s="868"/>
      <c r="C56" s="868"/>
      <c r="D56" s="868"/>
      <c r="E56" s="924"/>
      <c r="G56" s="925"/>
      <c r="H56" s="868"/>
      <c r="I56" s="868"/>
      <c r="J56" s="869"/>
      <c r="K56" s="868"/>
      <c r="L56" s="868"/>
      <c r="M56" s="868"/>
      <c r="N56" s="926"/>
      <c r="O56" s="870"/>
      <c r="P56" s="868"/>
      <c r="Q56" s="868"/>
    </row>
    <row r="57" spans="1:17" s="901" customFormat="1" x14ac:dyDescent="0.2">
      <c r="A57" s="868"/>
      <c r="B57" s="868"/>
      <c r="C57" s="868"/>
      <c r="D57" s="868"/>
      <c r="E57" s="924"/>
      <c r="G57" s="925"/>
      <c r="H57" s="868"/>
      <c r="I57" s="868"/>
      <c r="J57" s="869"/>
      <c r="K57" s="868"/>
      <c r="L57" s="868"/>
      <c r="M57" s="868"/>
      <c r="N57" s="926"/>
      <c r="O57" s="870"/>
      <c r="P57" s="868"/>
      <c r="Q57" s="868"/>
    </row>
    <row r="58" spans="1:17" s="901" customFormat="1" x14ac:dyDescent="0.2">
      <c r="A58" s="868"/>
      <c r="B58" s="868"/>
      <c r="C58" s="868"/>
      <c r="D58" s="868"/>
      <c r="E58" s="924"/>
      <c r="G58" s="925"/>
      <c r="H58" s="868"/>
      <c r="I58" s="868"/>
      <c r="J58" s="869"/>
      <c r="K58" s="868"/>
      <c r="L58" s="868"/>
      <c r="M58" s="868"/>
      <c r="N58" s="926"/>
      <c r="O58" s="870"/>
      <c r="P58" s="868"/>
      <c r="Q58" s="868"/>
    </row>
    <row r="59" spans="1:17" s="901" customFormat="1" x14ac:dyDescent="0.2">
      <c r="A59" s="868"/>
      <c r="B59" s="868"/>
      <c r="C59" s="868"/>
      <c r="D59" s="868"/>
      <c r="E59" s="924"/>
      <c r="G59" s="925"/>
      <c r="H59" s="868"/>
      <c r="I59" s="868"/>
      <c r="J59" s="869"/>
      <c r="K59" s="868"/>
      <c r="L59" s="868"/>
      <c r="M59" s="868"/>
      <c r="N59" s="926"/>
      <c r="O59" s="870"/>
      <c r="P59" s="868"/>
      <c r="Q59" s="868"/>
    </row>
    <row r="60" spans="1:17" s="901" customFormat="1" x14ac:dyDescent="0.2">
      <c r="A60" s="868"/>
      <c r="B60" s="868"/>
      <c r="C60" s="868"/>
      <c r="D60" s="868"/>
      <c r="E60" s="924"/>
      <c r="G60" s="925"/>
      <c r="H60" s="868"/>
      <c r="I60" s="868"/>
      <c r="J60" s="869"/>
      <c r="K60" s="868"/>
      <c r="L60" s="868"/>
      <c r="M60" s="868"/>
      <c r="N60" s="926"/>
      <c r="O60" s="870"/>
      <c r="P60" s="868"/>
      <c r="Q60" s="868"/>
    </row>
    <row r="61" spans="1:17" s="901" customFormat="1" x14ac:dyDescent="0.2">
      <c r="A61" s="868"/>
      <c r="B61" s="868"/>
      <c r="C61" s="868"/>
      <c r="D61" s="868"/>
      <c r="E61" s="924"/>
      <c r="G61" s="925"/>
      <c r="H61" s="868"/>
      <c r="I61" s="868"/>
      <c r="J61" s="869"/>
      <c r="K61" s="868"/>
      <c r="L61" s="868"/>
      <c r="M61" s="868"/>
      <c r="N61" s="926"/>
      <c r="O61" s="870"/>
      <c r="P61" s="868"/>
      <c r="Q61" s="868"/>
    </row>
    <row r="62" spans="1:17" s="901" customFormat="1" x14ac:dyDescent="0.2">
      <c r="A62" s="868"/>
      <c r="B62" s="868"/>
      <c r="C62" s="868"/>
      <c r="D62" s="868"/>
      <c r="E62" s="924"/>
      <c r="G62" s="925"/>
      <c r="H62" s="868"/>
      <c r="I62" s="868"/>
      <c r="J62" s="869"/>
      <c r="K62" s="868"/>
      <c r="L62" s="868"/>
      <c r="M62" s="868"/>
      <c r="N62" s="926"/>
      <c r="O62" s="870"/>
      <c r="P62" s="868"/>
      <c r="Q62" s="868"/>
    </row>
    <row r="63" spans="1:17" s="901" customFormat="1" x14ac:dyDescent="0.2">
      <c r="A63" s="868"/>
      <c r="B63" s="868"/>
      <c r="C63" s="868"/>
      <c r="D63" s="868"/>
      <c r="E63" s="924"/>
      <c r="G63" s="925"/>
      <c r="H63" s="868"/>
      <c r="I63" s="868"/>
      <c r="J63" s="869"/>
      <c r="K63" s="868"/>
      <c r="L63" s="868"/>
      <c r="M63" s="868"/>
      <c r="N63" s="926"/>
      <c r="O63" s="870"/>
      <c r="P63" s="868"/>
      <c r="Q63" s="868"/>
    </row>
    <row r="64" spans="1:17" s="901" customFormat="1" x14ac:dyDescent="0.2">
      <c r="A64" s="868"/>
      <c r="B64" s="868"/>
      <c r="C64" s="868"/>
      <c r="D64" s="868"/>
      <c r="E64" s="924"/>
      <c r="G64" s="925"/>
      <c r="H64" s="868"/>
      <c r="I64" s="868"/>
      <c r="J64" s="869"/>
      <c r="K64" s="868"/>
      <c r="L64" s="868"/>
      <c r="M64" s="868"/>
      <c r="N64" s="926"/>
      <c r="O64" s="870"/>
      <c r="P64" s="868"/>
      <c r="Q64" s="868"/>
    </row>
    <row r="65" spans="1:17" s="901" customFormat="1" x14ac:dyDescent="0.2">
      <c r="A65" s="868"/>
      <c r="B65" s="868"/>
      <c r="C65" s="868"/>
      <c r="D65" s="868"/>
      <c r="E65" s="924"/>
      <c r="G65" s="925"/>
      <c r="H65" s="868"/>
      <c r="I65" s="868"/>
      <c r="J65" s="869"/>
      <c r="K65" s="868"/>
      <c r="L65" s="868"/>
      <c r="M65" s="868"/>
      <c r="N65" s="926"/>
      <c r="O65" s="870"/>
      <c r="P65" s="868"/>
      <c r="Q65" s="868"/>
    </row>
    <row r="66" spans="1:17" s="901" customFormat="1" x14ac:dyDescent="0.2">
      <c r="A66" s="868"/>
      <c r="B66" s="868"/>
      <c r="C66" s="868"/>
      <c r="D66" s="868"/>
      <c r="E66" s="924"/>
      <c r="G66" s="925"/>
      <c r="H66" s="868"/>
      <c r="I66" s="868"/>
      <c r="J66" s="869"/>
      <c r="K66" s="868"/>
      <c r="L66" s="868"/>
      <c r="M66" s="868"/>
      <c r="N66" s="926"/>
      <c r="O66" s="870"/>
      <c r="P66" s="868"/>
      <c r="Q66" s="868"/>
    </row>
    <row r="67" spans="1:17" s="901" customFormat="1" x14ac:dyDescent="0.2">
      <c r="A67" s="868"/>
      <c r="B67" s="868"/>
      <c r="C67" s="868"/>
      <c r="D67" s="868"/>
      <c r="E67" s="924"/>
      <c r="G67" s="925"/>
      <c r="H67" s="868"/>
      <c r="I67" s="868"/>
      <c r="J67" s="869"/>
      <c r="K67" s="868"/>
      <c r="L67" s="868"/>
      <c r="M67" s="868"/>
      <c r="N67" s="926"/>
      <c r="O67" s="870"/>
      <c r="P67" s="868"/>
      <c r="Q67" s="868"/>
    </row>
    <row r="68" spans="1:17" s="901" customFormat="1" x14ac:dyDescent="0.2">
      <c r="A68" s="868"/>
      <c r="B68" s="868"/>
      <c r="C68" s="868"/>
      <c r="D68" s="868"/>
      <c r="E68" s="924"/>
      <c r="G68" s="925"/>
      <c r="H68" s="868"/>
      <c r="I68" s="868"/>
      <c r="J68" s="869"/>
      <c r="K68" s="868"/>
      <c r="L68" s="868"/>
      <c r="M68" s="868"/>
      <c r="N68" s="926"/>
      <c r="O68" s="870"/>
      <c r="P68" s="868"/>
      <c r="Q68" s="868"/>
    </row>
    <row r="69" spans="1:17" s="901" customFormat="1" x14ac:dyDescent="0.2">
      <c r="A69" s="868"/>
      <c r="B69" s="868"/>
      <c r="C69" s="868"/>
      <c r="D69" s="868"/>
      <c r="E69" s="924"/>
      <c r="G69" s="925"/>
      <c r="H69" s="868"/>
      <c r="I69" s="868"/>
      <c r="J69" s="869"/>
      <c r="K69" s="868"/>
      <c r="L69" s="868"/>
      <c r="M69" s="868"/>
      <c r="N69" s="926"/>
      <c r="O69" s="870"/>
      <c r="P69" s="868"/>
      <c r="Q69" s="868"/>
    </row>
    <row r="70" spans="1:17" s="901" customFormat="1" x14ac:dyDescent="0.2">
      <c r="A70" s="868"/>
      <c r="B70" s="868"/>
      <c r="C70" s="868"/>
      <c r="D70" s="868"/>
      <c r="E70" s="924"/>
      <c r="G70" s="925"/>
      <c r="H70" s="868"/>
      <c r="I70" s="868"/>
      <c r="J70" s="869"/>
      <c r="K70" s="868"/>
      <c r="L70" s="868"/>
      <c r="M70" s="868"/>
      <c r="N70" s="926"/>
      <c r="O70" s="870"/>
      <c r="P70" s="868"/>
      <c r="Q70" s="868"/>
    </row>
    <row r="71" spans="1:17" s="901" customFormat="1" x14ac:dyDescent="0.2">
      <c r="A71" s="868"/>
      <c r="B71" s="868"/>
      <c r="C71" s="868"/>
      <c r="D71" s="868"/>
      <c r="E71" s="924"/>
      <c r="G71" s="925"/>
      <c r="H71" s="868"/>
      <c r="I71" s="868"/>
      <c r="J71" s="869"/>
      <c r="K71" s="868"/>
      <c r="L71" s="868"/>
      <c r="M71" s="868"/>
      <c r="N71" s="926"/>
      <c r="O71" s="870"/>
      <c r="P71" s="868"/>
      <c r="Q71" s="868"/>
    </row>
    <row r="72" spans="1:17" s="901" customFormat="1" x14ac:dyDescent="0.2">
      <c r="A72" s="868"/>
      <c r="B72" s="868"/>
      <c r="C72" s="868"/>
      <c r="D72" s="868"/>
      <c r="E72" s="924"/>
      <c r="G72" s="925"/>
      <c r="H72" s="868"/>
      <c r="I72" s="868"/>
      <c r="J72" s="869"/>
      <c r="K72" s="868"/>
      <c r="L72" s="868"/>
      <c r="M72" s="868"/>
      <c r="N72" s="926"/>
      <c r="O72" s="870"/>
      <c r="P72" s="868"/>
      <c r="Q72" s="868"/>
    </row>
    <row r="73" spans="1:17" s="901" customFormat="1" x14ac:dyDescent="0.2">
      <c r="A73" s="868"/>
      <c r="B73" s="868"/>
      <c r="C73" s="868"/>
      <c r="D73" s="868"/>
      <c r="E73" s="924"/>
      <c r="G73" s="925"/>
      <c r="H73" s="868"/>
      <c r="I73" s="868"/>
      <c r="J73" s="869"/>
      <c r="K73" s="868"/>
      <c r="L73" s="868"/>
      <c r="M73" s="868"/>
      <c r="N73" s="926"/>
      <c r="O73" s="870"/>
      <c r="P73" s="868"/>
      <c r="Q73" s="868"/>
    </row>
    <row r="74" spans="1:17" s="901" customFormat="1" x14ac:dyDescent="0.2">
      <c r="A74" s="868"/>
      <c r="B74" s="868"/>
      <c r="C74" s="868"/>
      <c r="D74" s="868"/>
      <c r="E74" s="924"/>
      <c r="G74" s="925"/>
      <c r="H74" s="868"/>
      <c r="I74" s="868"/>
      <c r="J74" s="869"/>
      <c r="K74" s="868"/>
      <c r="L74" s="868"/>
      <c r="M74" s="868"/>
      <c r="N74" s="926"/>
      <c r="O74" s="870"/>
      <c r="P74" s="868"/>
      <c r="Q74" s="868"/>
    </row>
    <row r="75" spans="1:17" s="901" customFormat="1" x14ac:dyDescent="0.2">
      <c r="A75" s="868"/>
      <c r="B75" s="868"/>
      <c r="C75" s="868"/>
      <c r="D75" s="868"/>
      <c r="E75" s="924"/>
      <c r="G75" s="925"/>
      <c r="H75" s="868"/>
      <c r="I75" s="868"/>
      <c r="J75" s="869"/>
      <c r="K75" s="868"/>
      <c r="L75" s="868"/>
      <c r="M75" s="868"/>
      <c r="N75" s="926"/>
      <c r="O75" s="870"/>
      <c r="P75" s="868"/>
      <c r="Q75" s="868"/>
    </row>
    <row r="76" spans="1:17" s="901" customFormat="1" x14ac:dyDescent="0.2">
      <c r="A76" s="868"/>
      <c r="B76" s="868"/>
      <c r="C76" s="868"/>
      <c r="D76" s="868"/>
      <c r="E76" s="924"/>
      <c r="G76" s="925"/>
      <c r="H76" s="868"/>
      <c r="I76" s="868"/>
      <c r="J76" s="869"/>
      <c r="K76" s="868"/>
      <c r="L76" s="868"/>
      <c r="M76" s="868"/>
      <c r="N76" s="926"/>
      <c r="O76" s="870"/>
      <c r="P76" s="868"/>
      <c r="Q76" s="868"/>
    </row>
    <row r="77" spans="1:17" s="901" customFormat="1" x14ac:dyDescent="0.2">
      <c r="A77" s="868"/>
      <c r="B77" s="868"/>
      <c r="C77" s="868"/>
      <c r="D77" s="868"/>
      <c r="E77" s="924"/>
      <c r="G77" s="925"/>
      <c r="H77" s="868"/>
      <c r="I77" s="868"/>
      <c r="J77" s="869"/>
      <c r="K77" s="868"/>
      <c r="L77" s="868"/>
      <c r="M77" s="868"/>
      <c r="N77" s="926"/>
      <c r="O77" s="870"/>
      <c r="P77" s="868"/>
      <c r="Q77" s="868"/>
    </row>
    <row r="78" spans="1:17" s="901" customFormat="1" x14ac:dyDescent="0.2">
      <c r="A78" s="868"/>
      <c r="B78" s="868"/>
      <c r="C78" s="868"/>
      <c r="D78" s="868"/>
      <c r="E78" s="924"/>
      <c r="G78" s="925"/>
      <c r="H78" s="868"/>
      <c r="I78" s="868"/>
      <c r="J78" s="869"/>
      <c r="K78" s="868"/>
      <c r="L78" s="868"/>
      <c r="M78" s="868"/>
      <c r="N78" s="926"/>
      <c r="O78" s="870"/>
      <c r="P78" s="868"/>
      <c r="Q78" s="868"/>
    </row>
    <row r="79" spans="1:17" s="901" customFormat="1" x14ac:dyDescent="0.2">
      <c r="A79" s="868"/>
      <c r="B79" s="868"/>
      <c r="C79" s="868"/>
      <c r="D79" s="868"/>
      <c r="E79" s="924"/>
      <c r="G79" s="925"/>
      <c r="H79" s="868"/>
      <c r="I79" s="868"/>
      <c r="J79" s="869"/>
      <c r="K79" s="868"/>
      <c r="L79" s="868"/>
      <c r="M79" s="868"/>
      <c r="N79" s="926"/>
      <c r="O79" s="870"/>
      <c r="P79" s="868"/>
      <c r="Q79" s="868"/>
    </row>
    <row r="80" spans="1:17" s="901" customFormat="1" x14ac:dyDescent="0.2">
      <c r="A80" s="868"/>
      <c r="B80" s="868"/>
      <c r="C80" s="868"/>
      <c r="D80" s="868"/>
      <c r="E80" s="924"/>
      <c r="G80" s="925"/>
      <c r="H80" s="868"/>
      <c r="I80" s="868"/>
      <c r="J80" s="869"/>
      <c r="K80" s="868"/>
      <c r="L80" s="868"/>
      <c r="M80" s="868"/>
      <c r="N80" s="926"/>
      <c r="O80" s="870"/>
      <c r="P80" s="868"/>
      <c r="Q80" s="868"/>
    </row>
    <row r="81" spans="1:17" s="901" customFormat="1" x14ac:dyDescent="0.2">
      <c r="A81" s="868"/>
      <c r="B81" s="868"/>
      <c r="C81" s="868"/>
      <c r="D81" s="868"/>
      <c r="E81" s="924"/>
      <c r="G81" s="925"/>
      <c r="H81" s="868"/>
      <c r="I81" s="868"/>
      <c r="J81" s="869"/>
      <c r="K81" s="868"/>
      <c r="L81" s="868"/>
      <c r="M81" s="868"/>
      <c r="N81" s="926"/>
      <c r="O81" s="870"/>
      <c r="P81" s="868"/>
      <c r="Q81" s="868"/>
    </row>
    <row r="82" spans="1:17" s="901" customFormat="1" x14ac:dyDescent="0.2">
      <c r="A82" s="868"/>
      <c r="B82" s="868"/>
      <c r="C82" s="868"/>
      <c r="D82" s="868"/>
      <c r="E82" s="924"/>
      <c r="G82" s="925"/>
      <c r="H82" s="868"/>
      <c r="I82" s="868"/>
      <c r="J82" s="869"/>
      <c r="K82" s="868"/>
      <c r="L82" s="868"/>
      <c r="M82" s="868"/>
      <c r="N82" s="926"/>
      <c r="O82" s="870"/>
      <c r="P82" s="868"/>
      <c r="Q82" s="868"/>
    </row>
    <row r="83" spans="1:17" s="901" customFormat="1" x14ac:dyDescent="0.2">
      <c r="A83" s="868"/>
      <c r="B83" s="868"/>
      <c r="C83" s="868"/>
      <c r="D83" s="868"/>
      <c r="E83" s="924"/>
      <c r="G83" s="925"/>
      <c r="H83" s="868"/>
      <c r="I83" s="868"/>
      <c r="J83" s="869"/>
      <c r="K83" s="868"/>
      <c r="L83" s="868"/>
      <c r="M83" s="868"/>
      <c r="N83" s="926"/>
      <c r="O83" s="870"/>
      <c r="P83" s="868"/>
      <c r="Q83" s="868"/>
    </row>
    <row r="84" spans="1:17" s="901" customFormat="1" x14ac:dyDescent="0.2">
      <c r="A84" s="868"/>
      <c r="B84" s="868"/>
      <c r="C84" s="868"/>
      <c r="D84" s="868"/>
      <c r="E84" s="924"/>
      <c r="G84" s="925"/>
      <c r="H84" s="868"/>
      <c r="I84" s="868"/>
      <c r="J84" s="869"/>
      <c r="K84" s="868"/>
      <c r="L84" s="868"/>
      <c r="M84" s="868"/>
      <c r="N84" s="926"/>
      <c r="O84" s="870"/>
      <c r="P84" s="868"/>
      <c r="Q84" s="868"/>
    </row>
    <row r="85" spans="1:17" s="901" customFormat="1" x14ac:dyDescent="0.2">
      <c r="A85" s="868"/>
      <c r="B85" s="868"/>
      <c r="C85" s="868"/>
      <c r="D85" s="868"/>
      <c r="E85" s="924"/>
      <c r="G85" s="925"/>
      <c r="H85" s="868"/>
      <c r="I85" s="868"/>
      <c r="J85" s="869"/>
      <c r="K85" s="868"/>
      <c r="L85" s="868"/>
      <c r="M85" s="868"/>
      <c r="N85" s="926"/>
      <c r="O85" s="870"/>
      <c r="P85" s="868"/>
      <c r="Q85" s="868"/>
    </row>
    <row r="86" spans="1:17" s="901" customFormat="1" x14ac:dyDescent="0.2">
      <c r="A86" s="868"/>
      <c r="B86" s="868"/>
      <c r="C86" s="868"/>
      <c r="D86" s="868"/>
      <c r="E86" s="924"/>
      <c r="G86" s="925"/>
      <c r="H86" s="868"/>
      <c r="I86" s="868"/>
      <c r="J86" s="869"/>
      <c r="K86" s="868"/>
      <c r="L86" s="868"/>
      <c r="M86" s="868"/>
      <c r="N86" s="926"/>
      <c r="O86" s="870"/>
      <c r="P86" s="868"/>
      <c r="Q86" s="868"/>
    </row>
    <row r="87" spans="1:17" s="901" customFormat="1" x14ac:dyDescent="0.2">
      <c r="A87" s="868"/>
      <c r="B87" s="868"/>
      <c r="C87" s="868"/>
      <c r="D87" s="868"/>
      <c r="E87" s="924"/>
      <c r="G87" s="925"/>
      <c r="H87" s="868"/>
      <c r="I87" s="868"/>
      <c r="J87" s="869"/>
      <c r="K87" s="868"/>
      <c r="L87" s="868"/>
      <c r="M87" s="868"/>
      <c r="N87" s="926"/>
      <c r="O87" s="870"/>
      <c r="P87" s="868"/>
      <c r="Q87" s="868"/>
    </row>
    <row r="88" spans="1:17" s="901" customFormat="1" x14ac:dyDescent="0.2">
      <c r="A88" s="868"/>
      <c r="B88" s="868"/>
      <c r="C88" s="868"/>
      <c r="D88" s="868"/>
      <c r="E88" s="924"/>
      <c r="G88" s="925"/>
      <c r="H88" s="868"/>
      <c r="I88" s="868"/>
      <c r="J88" s="869"/>
      <c r="K88" s="868"/>
      <c r="L88" s="868"/>
      <c r="M88" s="868"/>
      <c r="N88" s="926"/>
      <c r="O88" s="870"/>
      <c r="P88" s="868"/>
      <c r="Q88" s="868"/>
    </row>
    <row r="89" spans="1:17" s="901" customFormat="1" x14ac:dyDescent="0.2">
      <c r="A89" s="868"/>
      <c r="B89" s="868"/>
      <c r="C89" s="868"/>
      <c r="D89" s="868"/>
      <c r="E89" s="924"/>
      <c r="G89" s="925"/>
      <c r="H89" s="868"/>
      <c r="I89" s="868"/>
      <c r="J89" s="869"/>
      <c r="K89" s="868"/>
      <c r="L89" s="868"/>
      <c r="M89" s="868"/>
      <c r="N89" s="926"/>
      <c r="O89" s="870"/>
      <c r="P89" s="868"/>
      <c r="Q89" s="868"/>
    </row>
    <row r="90" spans="1:17" s="901" customFormat="1" x14ac:dyDescent="0.2">
      <c r="A90" s="868"/>
      <c r="B90" s="868"/>
      <c r="C90" s="868"/>
      <c r="D90" s="868"/>
      <c r="E90" s="924"/>
      <c r="G90" s="925"/>
      <c r="H90" s="868"/>
      <c r="I90" s="868"/>
      <c r="J90" s="869"/>
      <c r="K90" s="868"/>
      <c r="L90" s="868"/>
      <c r="M90" s="868"/>
      <c r="N90" s="926"/>
      <c r="O90" s="870"/>
      <c r="P90" s="868"/>
      <c r="Q90" s="868"/>
    </row>
    <row r="91" spans="1:17" s="901" customFormat="1" x14ac:dyDescent="0.2">
      <c r="A91" s="868"/>
      <c r="B91" s="868"/>
      <c r="C91" s="868"/>
      <c r="D91" s="868"/>
      <c r="E91" s="924"/>
      <c r="G91" s="925"/>
      <c r="H91" s="868"/>
      <c r="I91" s="868"/>
      <c r="J91" s="869"/>
      <c r="K91" s="868"/>
      <c r="L91" s="868"/>
      <c r="M91" s="868"/>
      <c r="N91" s="926"/>
      <c r="O91" s="870"/>
      <c r="P91" s="868"/>
      <c r="Q91" s="868"/>
    </row>
    <row r="92" spans="1:17" s="901" customFormat="1" x14ac:dyDescent="0.2">
      <c r="A92" s="868"/>
      <c r="B92" s="868"/>
      <c r="C92" s="868"/>
      <c r="D92" s="868"/>
      <c r="E92" s="924"/>
      <c r="G92" s="925"/>
      <c r="H92" s="868"/>
      <c r="I92" s="868"/>
      <c r="J92" s="869"/>
      <c r="K92" s="868"/>
      <c r="L92" s="868"/>
      <c r="M92" s="868"/>
      <c r="N92" s="926"/>
      <c r="O92" s="870"/>
      <c r="P92" s="868"/>
      <c r="Q92" s="868"/>
    </row>
    <row r="93" spans="1:17" s="901" customFormat="1" x14ac:dyDescent="0.2">
      <c r="A93" s="868"/>
      <c r="B93" s="868"/>
      <c r="C93" s="868"/>
      <c r="D93" s="868"/>
      <c r="E93" s="924"/>
      <c r="G93" s="925"/>
      <c r="H93" s="868"/>
      <c r="I93" s="868"/>
      <c r="J93" s="869"/>
      <c r="K93" s="868"/>
      <c r="L93" s="868"/>
      <c r="M93" s="868"/>
      <c r="N93" s="926"/>
      <c r="O93" s="870"/>
      <c r="P93" s="868"/>
      <c r="Q93" s="868"/>
    </row>
    <row r="94" spans="1:17" s="901" customFormat="1" x14ac:dyDescent="0.2">
      <c r="A94" s="868"/>
      <c r="B94" s="868"/>
      <c r="C94" s="868"/>
      <c r="D94" s="868"/>
      <c r="E94" s="924"/>
      <c r="G94" s="925"/>
      <c r="H94" s="868"/>
      <c r="I94" s="868"/>
      <c r="J94" s="869"/>
      <c r="K94" s="868"/>
      <c r="L94" s="868"/>
      <c r="M94" s="868"/>
      <c r="N94" s="926"/>
      <c r="O94" s="870"/>
      <c r="P94" s="868"/>
      <c r="Q94" s="868"/>
    </row>
    <row r="95" spans="1:17" s="901" customFormat="1" x14ac:dyDescent="0.2">
      <c r="A95" s="868"/>
      <c r="B95" s="868"/>
      <c r="C95" s="868"/>
      <c r="D95" s="868"/>
      <c r="E95" s="924"/>
      <c r="G95" s="925"/>
      <c r="H95" s="868"/>
      <c r="I95" s="868"/>
      <c r="J95" s="869"/>
      <c r="K95" s="868"/>
      <c r="L95" s="868"/>
      <c r="M95" s="868"/>
      <c r="N95" s="926"/>
      <c r="O95" s="870"/>
      <c r="P95" s="868"/>
      <c r="Q95" s="868"/>
    </row>
    <row r="96" spans="1:17" s="901" customFormat="1" x14ac:dyDescent="0.2">
      <c r="A96" s="868"/>
      <c r="B96" s="868"/>
      <c r="C96" s="868"/>
      <c r="D96" s="868"/>
      <c r="E96" s="924"/>
      <c r="G96" s="925"/>
      <c r="H96" s="868"/>
      <c r="I96" s="868"/>
      <c r="J96" s="869"/>
      <c r="K96" s="868"/>
      <c r="L96" s="868"/>
      <c r="M96" s="868"/>
      <c r="N96" s="926"/>
      <c r="O96" s="870"/>
      <c r="P96" s="868"/>
      <c r="Q96" s="868"/>
    </row>
    <row r="97" spans="1:17" s="901" customFormat="1" x14ac:dyDescent="0.2">
      <c r="A97" s="868"/>
      <c r="B97" s="868"/>
      <c r="C97" s="868"/>
      <c r="D97" s="868"/>
      <c r="E97" s="924"/>
      <c r="G97" s="925"/>
      <c r="H97" s="868"/>
      <c r="I97" s="868"/>
      <c r="J97" s="869"/>
      <c r="K97" s="868"/>
      <c r="L97" s="868"/>
      <c r="M97" s="868"/>
      <c r="N97" s="926"/>
      <c r="O97" s="870"/>
      <c r="P97" s="868"/>
      <c r="Q97" s="868"/>
    </row>
    <row r="98" spans="1:17" s="901" customFormat="1" x14ac:dyDescent="0.2">
      <c r="A98" s="868"/>
      <c r="B98" s="868"/>
      <c r="C98" s="868"/>
      <c r="D98" s="868"/>
      <c r="E98" s="924"/>
      <c r="G98" s="925"/>
      <c r="H98" s="868"/>
      <c r="I98" s="868"/>
      <c r="J98" s="869"/>
      <c r="K98" s="868"/>
      <c r="L98" s="868"/>
      <c r="M98" s="868"/>
      <c r="N98" s="926"/>
      <c r="O98" s="870"/>
      <c r="P98" s="868"/>
      <c r="Q98" s="868"/>
    </row>
    <row r="99" spans="1:17" s="901" customFormat="1" x14ac:dyDescent="0.2">
      <c r="A99" s="868"/>
      <c r="B99" s="868"/>
      <c r="C99" s="868"/>
      <c r="D99" s="868"/>
      <c r="E99" s="924"/>
      <c r="G99" s="925"/>
      <c r="H99" s="868"/>
      <c r="I99" s="868"/>
      <c r="J99" s="869"/>
      <c r="K99" s="868"/>
      <c r="L99" s="868"/>
      <c r="M99" s="868"/>
      <c r="N99" s="926"/>
      <c r="O99" s="870"/>
      <c r="P99" s="868"/>
      <c r="Q99" s="868"/>
    </row>
    <row r="100" spans="1:17" s="901" customFormat="1" x14ac:dyDescent="0.2">
      <c r="A100" s="868"/>
      <c r="B100" s="868"/>
      <c r="C100" s="868"/>
      <c r="D100" s="868"/>
      <c r="E100" s="924"/>
      <c r="G100" s="925"/>
      <c r="H100" s="868"/>
      <c r="I100" s="868"/>
      <c r="J100" s="869"/>
      <c r="K100" s="868"/>
      <c r="L100" s="868"/>
      <c r="M100" s="868"/>
      <c r="N100" s="926"/>
      <c r="O100" s="870"/>
      <c r="P100" s="868"/>
      <c r="Q100" s="868"/>
    </row>
    <row r="101" spans="1:17" s="901" customFormat="1" x14ac:dyDescent="0.2">
      <c r="A101" s="868"/>
      <c r="B101" s="868"/>
      <c r="C101" s="868"/>
      <c r="D101" s="868"/>
      <c r="E101" s="924"/>
      <c r="G101" s="925"/>
      <c r="H101" s="868"/>
      <c r="I101" s="868"/>
      <c r="J101" s="869"/>
      <c r="K101" s="868"/>
      <c r="L101" s="868"/>
      <c r="M101" s="868"/>
      <c r="N101" s="926"/>
      <c r="O101" s="870"/>
      <c r="P101" s="868"/>
      <c r="Q101" s="868"/>
    </row>
    <row r="102" spans="1:17" s="901" customFormat="1" x14ac:dyDescent="0.2">
      <c r="A102" s="868"/>
      <c r="B102" s="868"/>
      <c r="C102" s="868"/>
      <c r="D102" s="868"/>
      <c r="E102" s="924"/>
      <c r="G102" s="925"/>
      <c r="H102" s="868"/>
      <c r="I102" s="868"/>
      <c r="J102" s="869"/>
      <c r="K102" s="868"/>
      <c r="L102" s="868"/>
      <c r="M102" s="868"/>
      <c r="N102" s="926"/>
      <c r="O102" s="870"/>
      <c r="P102" s="868"/>
      <c r="Q102" s="868"/>
    </row>
    <row r="103" spans="1:17" s="901" customFormat="1" x14ac:dyDescent="0.2">
      <c r="A103" s="868"/>
      <c r="B103" s="868"/>
      <c r="C103" s="868"/>
      <c r="D103" s="868"/>
      <c r="E103" s="924"/>
      <c r="G103" s="925"/>
      <c r="H103" s="868"/>
      <c r="I103" s="868"/>
      <c r="J103" s="869"/>
      <c r="K103" s="868"/>
      <c r="L103" s="868"/>
      <c r="M103" s="868"/>
      <c r="N103" s="926"/>
      <c r="O103" s="870"/>
      <c r="P103" s="868"/>
      <c r="Q103" s="868"/>
    </row>
    <row r="104" spans="1:17" s="901" customFormat="1" x14ac:dyDescent="0.2">
      <c r="A104" s="868"/>
      <c r="B104" s="868"/>
      <c r="C104" s="868"/>
      <c r="D104" s="868"/>
      <c r="E104" s="924"/>
      <c r="G104" s="925"/>
      <c r="H104" s="868"/>
      <c r="I104" s="868"/>
      <c r="J104" s="869"/>
      <c r="K104" s="868"/>
      <c r="L104" s="868"/>
      <c r="M104" s="868"/>
      <c r="N104" s="926"/>
      <c r="O104" s="870"/>
      <c r="P104" s="868"/>
      <c r="Q104" s="868"/>
    </row>
    <row r="105" spans="1:17" s="901" customFormat="1" x14ac:dyDescent="0.2">
      <c r="A105" s="868"/>
      <c r="B105" s="868"/>
      <c r="C105" s="868"/>
      <c r="D105" s="868"/>
      <c r="E105" s="924"/>
      <c r="G105" s="925"/>
      <c r="H105" s="868"/>
      <c r="I105" s="868"/>
      <c r="J105" s="869"/>
      <c r="K105" s="868"/>
      <c r="L105" s="868"/>
      <c r="M105" s="868"/>
      <c r="N105" s="926"/>
      <c r="O105" s="870"/>
      <c r="P105" s="868"/>
      <c r="Q105" s="868"/>
    </row>
    <row r="106" spans="1:17" s="901" customFormat="1" x14ac:dyDescent="0.2">
      <c r="A106" s="868"/>
      <c r="B106" s="868"/>
      <c r="C106" s="868"/>
      <c r="D106" s="868"/>
      <c r="E106" s="924"/>
      <c r="G106" s="925"/>
      <c r="H106" s="868"/>
      <c r="I106" s="868"/>
      <c r="J106" s="869"/>
      <c r="K106" s="868"/>
      <c r="L106" s="868"/>
      <c r="M106" s="868"/>
      <c r="N106" s="926"/>
      <c r="O106" s="870"/>
      <c r="P106" s="868"/>
      <c r="Q106" s="868"/>
    </row>
    <row r="107" spans="1:17" s="901" customFormat="1" x14ac:dyDescent="0.2">
      <c r="A107" s="868"/>
      <c r="B107" s="868"/>
      <c r="C107" s="868"/>
      <c r="D107" s="868"/>
      <c r="E107" s="924"/>
      <c r="G107" s="925"/>
      <c r="H107" s="868"/>
      <c r="I107" s="868"/>
      <c r="J107" s="869"/>
      <c r="K107" s="868"/>
      <c r="L107" s="868"/>
      <c r="M107" s="868"/>
      <c r="N107" s="926"/>
      <c r="O107" s="870"/>
      <c r="P107" s="868"/>
      <c r="Q107" s="868"/>
    </row>
    <row r="108" spans="1:17" s="901" customFormat="1" x14ac:dyDescent="0.2">
      <c r="A108" s="868"/>
      <c r="B108" s="868"/>
      <c r="C108" s="868"/>
      <c r="D108" s="868"/>
      <c r="E108" s="924"/>
      <c r="G108" s="925"/>
      <c r="H108" s="868"/>
      <c r="I108" s="868"/>
      <c r="J108" s="869"/>
      <c r="K108" s="868"/>
      <c r="L108" s="868"/>
      <c r="M108" s="868"/>
      <c r="N108" s="926"/>
      <c r="O108" s="870"/>
      <c r="P108" s="868"/>
      <c r="Q108" s="868"/>
    </row>
    <row r="109" spans="1:17" s="901" customFormat="1" x14ac:dyDescent="0.2">
      <c r="A109" s="868"/>
      <c r="B109" s="868"/>
      <c r="C109" s="868"/>
      <c r="D109" s="868"/>
      <c r="E109" s="924"/>
      <c r="G109" s="925"/>
      <c r="H109" s="868"/>
      <c r="I109" s="868"/>
      <c r="J109" s="869"/>
      <c r="K109" s="868"/>
      <c r="L109" s="868"/>
      <c r="M109" s="868"/>
      <c r="N109" s="926"/>
      <c r="O109" s="870"/>
      <c r="P109" s="868"/>
      <c r="Q109" s="868"/>
    </row>
    <row r="110" spans="1:17" s="901" customFormat="1" x14ac:dyDescent="0.2">
      <c r="A110" s="868"/>
      <c r="B110" s="868"/>
      <c r="C110" s="868"/>
      <c r="D110" s="868"/>
      <c r="E110" s="924"/>
      <c r="G110" s="925"/>
      <c r="H110" s="868"/>
      <c r="I110" s="868"/>
      <c r="J110" s="869"/>
      <c r="K110" s="868"/>
      <c r="L110" s="868"/>
      <c r="M110" s="868"/>
      <c r="N110" s="926"/>
      <c r="O110" s="870"/>
      <c r="P110" s="868"/>
      <c r="Q110" s="868"/>
    </row>
    <row r="111" spans="1:17" s="901" customFormat="1" x14ac:dyDescent="0.2">
      <c r="A111" s="868"/>
      <c r="B111" s="868"/>
      <c r="C111" s="868"/>
      <c r="D111" s="868"/>
      <c r="E111" s="924"/>
      <c r="G111" s="925"/>
      <c r="H111" s="868"/>
      <c r="I111" s="868"/>
      <c r="J111" s="869"/>
      <c r="K111" s="868"/>
      <c r="L111" s="868"/>
      <c r="M111" s="868"/>
      <c r="N111" s="926"/>
      <c r="O111" s="870"/>
      <c r="P111" s="868"/>
      <c r="Q111" s="868"/>
    </row>
    <row r="112" spans="1:17" s="901" customFormat="1" x14ac:dyDescent="0.2">
      <c r="A112" s="868"/>
      <c r="B112" s="868"/>
      <c r="C112" s="868"/>
      <c r="D112" s="868"/>
      <c r="E112" s="924"/>
      <c r="G112" s="925"/>
      <c r="H112" s="868"/>
      <c r="I112" s="868"/>
      <c r="J112" s="869"/>
      <c r="K112" s="868"/>
      <c r="L112" s="868"/>
      <c r="M112" s="868"/>
      <c r="N112" s="926"/>
      <c r="O112" s="870"/>
      <c r="P112" s="868"/>
      <c r="Q112" s="868"/>
    </row>
    <row r="113" spans="1:17" s="901" customFormat="1" x14ac:dyDescent="0.2">
      <c r="A113" s="868"/>
      <c r="B113" s="868"/>
      <c r="C113" s="868"/>
      <c r="D113" s="868"/>
      <c r="E113" s="924"/>
      <c r="G113" s="925"/>
      <c r="H113" s="868"/>
      <c r="I113" s="868"/>
      <c r="J113" s="869"/>
      <c r="K113" s="868"/>
      <c r="L113" s="868"/>
      <c r="M113" s="868"/>
      <c r="N113" s="926"/>
      <c r="O113" s="870"/>
      <c r="P113" s="868"/>
      <c r="Q113" s="868"/>
    </row>
    <row r="114" spans="1:17" s="901" customFormat="1" x14ac:dyDescent="0.2">
      <c r="A114" s="868"/>
      <c r="B114" s="868"/>
      <c r="C114" s="868"/>
      <c r="D114" s="868"/>
      <c r="E114" s="924"/>
      <c r="G114" s="925"/>
      <c r="H114" s="868"/>
      <c r="I114" s="868"/>
      <c r="J114" s="869"/>
      <c r="K114" s="868"/>
      <c r="L114" s="868"/>
      <c r="M114" s="868"/>
      <c r="N114" s="926"/>
      <c r="O114" s="870"/>
      <c r="P114" s="868"/>
      <c r="Q114" s="868"/>
    </row>
    <row r="115" spans="1:17" s="901" customFormat="1" x14ac:dyDescent="0.2">
      <c r="A115" s="868"/>
      <c r="B115" s="868"/>
      <c r="C115" s="868"/>
      <c r="D115" s="868"/>
      <c r="E115" s="924"/>
      <c r="G115" s="925"/>
      <c r="H115" s="868"/>
      <c r="I115" s="868"/>
      <c r="J115" s="869"/>
      <c r="K115" s="868"/>
      <c r="L115" s="868"/>
      <c r="M115" s="868"/>
      <c r="N115" s="926"/>
      <c r="O115" s="870"/>
      <c r="P115" s="868"/>
      <c r="Q115" s="868"/>
    </row>
    <row r="116" spans="1:17" s="901" customFormat="1" x14ac:dyDescent="0.2">
      <c r="A116" s="868"/>
      <c r="B116" s="868"/>
      <c r="C116" s="868"/>
      <c r="D116" s="868"/>
      <c r="E116" s="924"/>
      <c r="G116" s="925"/>
      <c r="H116" s="868"/>
      <c r="I116" s="868"/>
      <c r="J116" s="869"/>
      <c r="K116" s="868"/>
      <c r="L116" s="868"/>
      <c r="M116" s="868"/>
      <c r="N116" s="926"/>
      <c r="O116" s="870"/>
      <c r="P116" s="868"/>
      <c r="Q116" s="868"/>
    </row>
    <row r="117" spans="1:17" s="901" customFormat="1" x14ac:dyDescent="0.2">
      <c r="A117" s="868"/>
      <c r="B117" s="868"/>
      <c r="C117" s="868"/>
      <c r="D117" s="868"/>
      <c r="E117" s="924"/>
      <c r="G117" s="925"/>
      <c r="H117" s="868"/>
      <c r="I117" s="868"/>
      <c r="J117" s="869"/>
      <c r="K117" s="868"/>
      <c r="L117" s="868"/>
      <c r="M117" s="868"/>
      <c r="N117" s="926"/>
      <c r="O117" s="870"/>
      <c r="P117" s="868"/>
      <c r="Q117" s="868"/>
    </row>
    <row r="118" spans="1:17" s="901" customFormat="1" x14ac:dyDescent="0.2">
      <c r="A118" s="868"/>
      <c r="B118" s="868"/>
      <c r="C118" s="868"/>
      <c r="D118" s="868"/>
      <c r="E118" s="924"/>
      <c r="G118" s="925"/>
      <c r="H118" s="868"/>
      <c r="I118" s="868"/>
      <c r="J118" s="869"/>
      <c r="K118" s="868"/>
      <c r="L118" s="868"/>
      <c r="M118" s="868"/>
      <c r="N118" s="926"/>
      <c r="O118" s="870"/>
      <c r="P118" s="868"/>
      <c r="Q118" s="868"/>
    </row>
    <row r="119" spans="1:17" s="901" customFormat="1" x14ac:dyDescent="0.2">
      <c r="A119" s="868"/>
      <c r="B119" s="868"/>
      <c r="C119" s="868"/>
      <c r="D119" s="868"/>
      <c r="E119" s="924"/>
      <c r="G119" s="925"/>
      <c r="H119" s="868"/>
      <c r="I119" s="868"/>
      <c r="J119" s="869"/>
      <c r="K119" s="868"/>
      <c r="L119" s="868"/>
      <c r="M119" s="868"/>
      <c r="N119" s="926"/>
      <c r="O119" s="870"/>
      <c r="P119" s="868"/>
      <c r="Q119" s="868"/>
    </row>
    <row r="120" spans="1:17" s="901" customFormat="1" x14ac:dyDescent="0.2">
      <c r="A120" s="868"/>
      <c r="B120" s="868"/>
      <c r="C120" s="868"/>
      <c r="D120" s="868"/>
      <c r="E120" s="924"/>
      <c r="G120" s="925"/>
      <c r="H120" s="868"/>
      <c r="I120" s="868"/>
      <c r="J120" s="869"/>
      <c r="K120" s="868"/>
      <c r="L120" s="868"/>
      <c r="M120" s="868"/>
      <c r="N120" s="926"/>
      <c r="O120" s="870"/>
      <c r="P120" s="868"/>
      <c r="Q120" s="868"/>
    </row>
    <row r="121" spans="1:17" s="901" customFormat="1" x14ac:dyDescent="0.2">
      <c r="A121" s="868"/>
      <c r="B121" s="868"/>
      <c r="C121" s="868"/>
      <c r="D121" s="868"/>
      <c r="E121" s="924"/>
      <c r="G121" s="925"/>
      <c r="H121" s="868"/>
      <c r="I121" s="868"/>
      <c r="J121" s="869"/>
      <c r="K121" s="868"/>
      <c r="L121" s="868"/>
      <c r="M121" s="868"/>
      <c r="N121" s="926"/>
      <c r="O121" s="870"/>
      <c r="P121" s="868"/>
      <c r="Q121" s="868"/>
    </row>
    <row r="122" spans="1:17" s="901" customFormat="1" x14ac:dyDescent="0.2">
      <c r="A122" s="868"/>
      <c r="B122" s="868"/>
      <c r="C122" s="868"/>
      <c r="D122" s="868"/>
      <c r="E122" s="924"/>
      <c r="G122" s="925"/>
      <c r="H122" s="868"/>
      <c r="I122" s="868"/>
      <c r="J122" s="869"/>
      <c r="K122" s="868"/>
      <c r="L122" s="868"/>
      <c r="M122" s="868"/>
      <c r="N122" s="926"/>
      <c r="O122" s="870"/>
      <c r="P122" s="868"/>
      <c r="Q122" s="868"/>
    </row>
    <row r="123" spans="1:17" s="901" customFormat="1" x14ac:dyDescent="0.2">
      <c r="A123" s="868"/>
      <c r="B123" s="868"/>
      <c r="C123" s="868"/>
      <c r="D123" s="868"/>
      <c r="E123" s="924"/>
      <c r="G123" s="925"/>
      <c r="H123" s="868"/>
      <c r="I123" s="868"/>
      <c r="J123" s="869"/>
      <c r="K123" s="868"/>
      <c r="L123" s="868"/>
      <c r="M123" s="868"/>
      <c r="N123" s="926"/>
      <c r="O123" s="870"/>
      <c r="P123" s="868"/>
      <c r="Q123" s="868"/>
    </row>
    <row r="124" spans="1:17" s="901" customFormat="1" x14ac:dyDescent="0.2">
      <c r="A124" s="868"/>
      <c r="B124" s="868"/>
      <c r="C124" s="868"/>
      <c r="D124" s="868"/>
      <c r="E124" s="924"/>
      <c r="G124" s="925"/>
      <c r="H124" s="868"/>
      <c r="I124" s="868"/>
      <c r="J124" s="869"/>
      <c r="K124" s="868"/>
      <c r="L124" s="868"/>
      <c r="M124" s="868"/>
      <c r="N124" s="926"/>
      <c r="O124" s="870"/>
      <c r="P124" s="868"/>
      <c r="Q124" s="868"/>
    </row>
    <row r="125" spans="1:17" s="901" customFormat="1" x14ac:dyDescent="0.2">
      <c r="A125" s="868"/>
      <c r="B125" s="868"/>
      <c r="C125" s="868"/>
      <c r="D125" s="868"/>
      <c r="E125" s="924"/>
      <c r="G125" s="925"/>
      <c r="H125" s="868"/>
      <c r="I125" s="868"/>
      <c r="J125" s="869"/>
      <c r="K125" s="868"/>
      <c r="L125" s="868"/>
      <c r="M125" s="868"/>
      <c r="N125" s="926"/>
      <c r="O125" s="870"/>
      <c r="P125" s="868"/>
      <c r="Q125" s="868"/>
    </row>
    <row r="126" spans="1:17" s="901" customFormat="1" x14ac:dyDescent="0.2">
      <c r="A126" s="868"/>
      <c r="B126" s="868"/>
      <c r="C126" s="868"/>
      <c r="D126" s="868"/>
      <c r="E126" s="924"/>
      <c r="G126" s="925"/>
      <c r="H126" s="868"/>
      <c r="I126" s="868"/>
      <c r="J126" s="869"/>
      <c r="K126" s="868"/>
      <c r="L126" s="868"/>
      <c r="M126" s="868"/>
      <c r="N126" s="926"/>
      <c r="O126" s="870"/>
      <c r="P126" s="868"/>
      <c r="Q126" s="868"/>
    </row>
    <row r="127" spans="1:17" s="901" customFormat="1" x14ac:dyDescent="0.2">
      <c r="A127" s="868"/>
      <c r="B127" s="868"/>
      <c r="C127" s="868"/>
      <c r="D127" s="868"/>
      <c r="E127" s="924"/>
      <c r="G127" s="925"/>
      <c r="H127" s="868"/>
      <c r="I127" s="868"/>
      <c r="J127" s="869"/>
      <c r="K127" s="868"/>
      <c r="L127" s="868"/>
      <c r="M127" s="868"/>
      <c r="N127" s="926"/>
      <c r="O127" s="870"/>
      <c r="P127" s="868"/>
      <c r="Q127" s="868"/>
    </row>
    <row r="128" spans="1:17" s="901" customFormat="1" x14ac:dyDescent="0.2">
      <c r="A128" s="868"/>
      <c r="B128" s="868"/>
      <c r="C128" s="868"/>
      <c r="D128" s="868"/>
      <c r="E128" s="924"/>
      <c r="G128" s="925"/>
      <c r="H128" s="868"/>
      <c r="I128" s="868"/>
      <c r="J128" s="869"/>
      <c r="K128" s="868"/>
      <c r="L128" s="868"/>
      <c r="M128" s="868"/>
      <c r="N128" s="926"/>
      <c r="O128" s="870"/>
      <c r="P128" s="868"/>
      <c r="Q128" s="868"/>
    </row>
    <row r="129" spans="1:17" s="901" customFormat="1" x14ac:dyDescent="0.2">
      <c r="A129" s="868"/>
      <c r="B129" s="868"/>
      <c r="C129" s="868"/>
      <c r="D129" s="868"/>
      <c r="E129" s="924"/>
      <c r="G129" s="925"/>
      <c r="H129" s="868"/>
      <c r="I129" s="868"/>
      <c r="J129" s="869"/>
      <c r="K129" s="868"/>
      <c r="L129" s="868"/>
      <c r="M129" s="868"/>
      <c r="N129" s="926"/>
      <c r="O129" s="870"/>
      <c r="P129" s="868"/>
      <c r="Q129" s="868"/>
    </row>
    <row r="130" spans="1:17" s="901" customFormat="1" x14ac:dyDescent="0.2">
      <c r="A130" s="868"/>
      <c r="B130" s="868"/>
      <c r="C130" s="868"/>
      <c r="D130" s="868"/>
      <c r="E130" s="924"/>
      <c r="G130" s="925"/>
      <c r="H130" s="868"/>
      <c r="I130" s="868"/>
      <c r="J130" s="869"/>
      <c r="K130" s="868"/>
      <c r="L130" s="868"/>
      <c r="M130" s="868"/>
      <c r="N130" s="926"/>
      <c r="O130" s="870"/>
      <c r="P130" s="868"/>
      <c r="Q130" s="868"/>
    </row>
    <row r="131" spans="1:17" s="901" customFormat="1" x14ac:dyDescent="0.2">
      <c r="A131" s="868"/>
      <c r="B131" s="868"/>
      <c r="C131" s="868"/>
      <c r="D131" s="868"/>
      <c r="E131" s="924"/>
      <c r="G131" s="925"/>
      <c r="H131" s="868"/>
      <c r="I131" s="868"/>
      <c r="J131" s="869"/>
      <c r="K131" s="868"/>
      <c r="L131" s="868"/>
      <c r="M131" s="868"/>
      <c r="N131" s="926"/>
      <c r="O131" s="870"/>
      <c r="P131" s="868"/>
      <c r="Q131" s="868"/>
    </row>
    <row r="132" spans="1:17" s="901" customFormat="1" x14ac:dyDescent="0.2">
      <c r="A132" s="868"/>
      <c r="B132" s="868"/>
      <c r="C132" s="868"/>
      <c r="D132" s="868"/>
      <c r="E132" s="924"/>
      <c r="G132" s="925"/>
      <c r="H132" s="868"/>
      <c r="I132" s="868"/>
      <c r="J132" s="869"/>
      <c r="K132" s="868"/>
      <c r="L132" s="868"/>
      <c r="M132" s="868"/>
      <c r="N132" s="926"/>
      <c r="O132" s="870"/>
      <c r="P132" s="868"/>
      <c r="Q132" s="868"/>
    </row>
  </sheetData>
  <mergeCells count="2">
    <mergeCell ref="H2:K2"/>
    <mergeCell ref="A47:E47"/>
  </mergeCells>
  <printOptions horizontalCentered="1"/>
  <pageMargins left="0" right="0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M59"/>
  <sheetViews>
    <sheetView topLeftCell="A16" zoomScale="85" zoomScaleNormal="85" workbookViewId="0">
      <selection activeCell="E55" sqref="E55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6" width="13.140625" style="23" customWidth="1"/>
    <col min="7" max="7" width="9.140625" style="23"/>
    <col min="8" max="8" width="31.85546875" style="23" bestFit="1" customWidth="1"/>
    <col min="9" max="11" width="10.140625" style="23" customWidth="1"/>
    <col min="12" max="12" width="5" style="23" customWidth="1"/>
    <col min="13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A4" s="94"/>
      <c r="B4" s="264"/>
      <c r="C4" s="264"/>
      <c r="D4" s="264"/>
      <c r="E4" s="264"/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x14ac:dyDescent="0.2">
      <c r="F6" s="1433" t="s">
        <v>460</v>
      </c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523" t="s">
        <v>289</v>
      </c>
      <c r="B7" s="1474"/>
      <c r="C7" s="1474"/>
      <c r="D7" s="1474"/>
      <c r="E7" s="1474"/>
      <c r="F7" s="1469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25" t="s">
        <v>0</v>
      </c>
      <c r="B8" s="69">
        <f>J$23</f>
        <v>1</v>
      </c>
      <c r="C8" s="25"/>
      <c r="D8" s="25" t="s">
        <v>1</v>
      </c>
      <c r="E8" s="68">
        <f>B8*365</f>
        <v>365</v>
      </c>
      <c r="F8" s="407"/>
      <c r="H8" s="14" t="s">
        <v>16</v>
      </c>
      <c r="I8" s="15">
        <v>7</v>
      </c>
      <c r="J8" s="16">
        <f>I8*8</f>
        <v>56</v>
      </c>
      <c r="K8" s="17"/>
      <c r="L8" s="24"/>
      <c r="M8" s="24"/>
    </row>
    <row r="9" spans="1:13" ht="13.15" x14ac:dyDescent="0.25">
      <c r="F9" s="407"/>
      <c r="H9" s="11"/>
      <c r="I9" s="18" t="s">
        <v>17</v>
      </c>
      <c r="J9" s="13">
        <f>SUM(J5:J8)</f>
        <v>328</v>
      </c>
      <c r="K9" s="19"/>
      <c r="L9" s="24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20"/>
      <c r="I10" s="21" t="s">
        <v>18</v>
      </c>
      <c r="J10" s="22">
        <f>J9/(52*40)</f>
        <v>0.15769230769230769</v>
      </c>
      <c r="K10" s="56"/>
    </row>
    <row r="11" spans="1:13" ht="13.9" thickBot="1" x14ac:dyDescent="0.3">
      <c r="A11" s="1" t="s">
        <v>19</v>
      </c>
      <c r="C11" s="30">
        <f>J13</f>
        <v>52305.406251052875</v>
      </c>
      <c r="D11" s="35">
        <f>J24</f>
        <v>8.3333333333333329E-2</v>
      </c>
      <c r="E11" s="28">
        <f>C11*D11</f>
        <v>4358.7838542544059</v>
      </c>
      <c r="F11" s="407"/>
      <c r="L11" s="266" t="s">
        <v>282</v>
      </c>
    </row>
    <row r="12" spans="1:13" ht="13.15" x14ac:dyDescent="0.25">
      <c r="A12" s="2" t="s">
        <v>227</v>
      </c>
      <c r="C12" s="30"/>
      <c r="D12" s="35"/>
      <c r="E12" s="28"/>
      <c r="F12" s="407"/>
      <c r="H12" s="36"/>
      <c r="I12" s="37"/>
      <c r="J12" s="38" t="s">
        <v>75</v>
      </c>
      <c r="K12" s="147"/>
    </row>
    <row r="13" spans="1:13" ht="13.15" x14ac:dyDescent="0.25">
      <c r="A13" s="3" t="s">
        <v>24</v>
      </c>
      <c r="C13" s="30">
        <f>J15</f>
        <v>64673.926018287602</v>
      </c>
      <c r="D13" s="35">
        <f>J26</f>
        <v>6.6666666666666666E-2</v>
      </c>
      <c r="E13" s="28">
        <f>C13*D13</f>
        <v>4311.5950678858399</v>
      </c>
      <c r="F13" s="407"/>
      <c r="H13" s="7" t="s">
        <v>19</v>
      </c>
      <c r="I13" s="29"/>
      <c r="J13" s="40">
        <f>'Group Home'!Q13</f>
        <v>52305.406251052875</v>
      </c>
      <c r="K13" s="117"/>
    </row>
    <row r="14" spans="1:13" ht="13.15" x14ac:dyDescent="0.25">
      <c r="A14" s="3" t="s">
        <v>169</v>
      </c>
      <c r="C14" s="30">
        <f>J16</f>
        <v>74241.704227057009</v>
      </c>
      <c r="D14" s="35">
        <f>J27</f>
        <v>7.0000000000000001E-3</v>
      </c>
      <c r="E14" s="28">
        <f>C14*D14</f>
        <v>519.69192958939902</v>
      </c>
      <c r="F14" s="407"/>
      <c r="H14" s="7" t="s">
        <v>227</v>
      </c>
      <c r="I14" s="29"/>
      <c r="J14" s="40"/>
      <c r="K14" s="117"/>
    </row>
    <row r="15" spans="1:13" ht="13.15" x14ac:dyDescent="0.25">
      <c r="A15" s="2" t="s">
        <v>5</v>
      </c>
      <c r="C15" s="30"/>
      <c r="D15" s="35"/>
      <c r="E15" s="28"/>
      <c r="F15" s="407"/>
      <c r="H15" s="11" t="s">
        <v>175</v>
      </c>
      <c r="I15" s="29"/>
      <c r="J15" s="40">
        <f>'Group Home'!Q16</f>
        <v>64673.926018287602</v>
      </c>
      <c r="K15" s="118" t="s">
        <v>69</v>
      </c>
    </row>
    <row r="16" spans="1:13" ht="13.15" x14ac:dyDescent="0.25">
      <c r="A16" s="2" t="s">
        <v>281</v>
      </c>
      <c r="C16" s="30">
        <f>J18</f>
        <v>42189.221412467887</v>
      </c>
      <c r="D16" s="35">
        <f>J29</f>
        <v>0.08</v>
      </c>
      <c r="E16" s="28">
        <f>C16*D16</f>
        <v>3375.1377129974312</v>
      </c>
      <c r="F16" s="407"/>
      <c r="H16" s="106" t="s">
        <v>168</v>
      </c>
      <c r="I16" s="29"/>
      <c r="J16" s="40">
        <f>IRTP!X16</f>
        <v>74241.704227057009</v>
      </c>
      <c r="K16" s="118" t="s">
        <v>64</v>
      </c>
    </row>
    <row r="17" spans="1:13" ht="13.15" x14ac:dyDescent="0.25">
      <c r="A17" s="3" t="s">
        <v>30</v>
      </c>
      <c r="C17" s="30">
        <f>J19</f>
        <v>28500</v>
      </c>
      <c r="D17" s="35">
        <f>J30</f>
        <v>4.2</v>
      </c>
      <c r="E17" s="28">
        <f>C17*D17</f>
        <v>119700</v>
      </c>
      <c r="F17" s="407"/>
      <c r="H17" s="7" t="s">
        <v>5</v>
      </c>
      <c r="I17" s="29"/>
      <c r="J17" s="40"/>
      <c r="K17" s="118"/>
    </row>
    <row r="18" spans="1:13" ht="13.15" x14ac:dyDescent="0.25">
      <c r="A18" s="4" t="s">
        <v>31</v>
      </c>
      <c r="C18" s="30">
        <f>J20</f>
        <v>28500</v>
      </c>
      <c r="D18" s="283">
        <f>J31</f>
        <v>0.66230769230769226</v>
      </c>
      <c r="E18" s="28">
        <f>C18*D18</f>
        <v>18875.76923076923</v>
      </c>
      <c r="F18" s="407"/>
      <c r="H18" s="267" t="s">
        <v>59</v>
      </c>
      <c r="I18" s="268"/>
      <c r="J18" s="269">
        <f>'Group Home'!Q21</f>
        <v>42189.221412467887</v>
      </c>
      <c r="K18" s="270"/>
      <c r="M18" s="265" t="s">
        <v>283</v>
      </c>
    </row>
    <row r="19" spans="1:13" ht="13.15" x14ac:dyDescent="0.25">
      <c r="A19" s="31" t="s">
        <v>7</v>
      </c>
      <c r="B19" s="31"/>
      <c r="C19" s="31"/>
      <c r="D19" s="32">
        <f>SUM(D11:D18)</f>
        <v>5.0993076923076925</v>
      </c>
      <c r="E19" s="33">
        <f>SUM(E11:E18)</f>
        <v>151140.97779549629</v>
      </c>
      <c r="F19" s="407"/>
      <c r="H19" s="11" t="s">
        <v>30</v>
      </c>
      <c r="I19" s="29"/>
      <c r="J19" s="40">
        <f>'Group Home'!Q23</f>
        <v>28500</v>
      </c>
      <c r="K19" s="118"/>
    </row>
    <row r="20" spans="1:13" ht="13.15" x14ac:dyDescent="0.25">
      <c r="F20" s="407"/>
      <c r="H20" s="42" t="s">
        <v>31</v>
      </c>
      <c r="I20" s="29"/>
      <c r="J20" s="40">
        <f>J19</f>
        <v>28500</v>
      </c>
      <c r="K20" s="118"/>
    </row>
    <row r="21" spans="1:13" ht="13.15" x14ac:dyDescent="0.25">
      <c r="A21" s="25" t="s">
        <v>21</v>
      </c>
      <c r="D21" s="25" t="s">
        <v>20</v>
      </c>
      <c r="F21" s="407"/>
      <c r="H21" s="11"/>
      <c r="I21" s="29"/>
      <c r="J21" s="40"/>
      <c r="K21" s="117"/>
    </row>
    <row r="22" spans="1:13" x14ac:dyDescent="0.2">
      <c r="A22" s="23" t="s">
        <v>22</v>
      </c>
      <c r="C22" s="97">
        <f>$J$34</f>
        <v>0.23424901786252411</v>
      </c>
      <c r="E22" s="28">
        <f>C22*E19</f>
        <v>35404.625607376569</v>
      </c>
      <c r="F22" s="407"/>
      <c r="H22" s="43"/>
      <c r="I22" s="29"/>
      <c r="J22" s="44" t="s">
        <v>173</v>
      </c>
      <c r="K22" s="137"/>
    </row>
    <row r="23" spans="1:13" ht="13.15" x14ac:dyDescent="0.25">
      <c r="A23" s="31" t="s">
        <v>51</v>
      </c>
      <c r="B23" s="31"/>
      <c r="C23" s="31"/>
      <c r="D23" s="70">
        <f>E23/E8</f>
        <v>511.08384493937768</v>
      </c>
      <c r="E23" s="33">
        <f>E22+E19</f>
        <v>186545.60340287286</v>
      </c>
      <c r="F23" s="407"/>
      <c r="H23" s="43" t="s">
        <v>36</v>
      </c>
      <c r="I23" s="34"/>
      <c r="J23" s="158">
        <f>[15]Sullivan!$J$22</f>
        <v>1</v>
      </c>
      <c r="K23" s="67"/>
    </row>
    <row r="24" spans="1:13" ht="13.15" x14ac:dyDescent="0.25">
      <c r="F24" s="407"/>
      <c r="H24" s="7" t="s">
        <v>19</v>
      </c>
      <c r="J24" s="148">
        <f>'Group Home'!S31/'Group Home'!S30</f>
        <v>8.3333333333333329E-2</v>
      </c>
      <c r="K24" s="149"/>
    </row>
    <row r="25" spans="1:13" ht="13.15" x14ac:dyDescent="0.25">
      <c r="F25" s="407"/>
      <c r="H25" s="7" t="s">
        <v>227</v>
      </c>
      <c r="J25" s="148"/>
      <c r="K25" s="149"/>
    </row>
    <row r="26" spans="1:13" ht="13.15" x14ac:dyDescent="0.25">
      <c r="A26" s="23" t="s">
        <v>39</v>
      </c>
      <c r="D26" s="71">
        <f>$J$36</f>
        <v>20.4634671275006</v>
      </c>
      <c r="E26" s="105">
        <f>D26*E8</f>
        <v>7469.1655015377191</v>
      </c>
      <c r="F26" s="407"/>
      <c r="H26" s="11" t="s">
        <v>175</v>
      </c>
      <c r="J26" s="148">
        <f>[15]Sullivan!$J$26</f>
        <v>6.6666666666666666E-2</v>
      </c>
      <c r="K26" s="149"/>
    </row>
    <row r="27" spans="1:13" ht="13.15" x14ac:dyDescent="0.25">
      <c r="A27" s="29" t="s">
        <v>40</v>
      </c>
      <c r="D27" s="71">
        <f>$J$37</f>
        <v>16.648815707573558</v>
      </c>
      <c r="E27" s="105">
        <f>D27*E8</f>
        <v>6076.817733264349</v>
      </c>
      <c r="F27" s="407"/>
      <c r="H27" s="106" t="s">
        <v>168</v>
      </c>
      <c r="J27" s="182">
        <f>[15]Sullivan!$J$27</f>
        <v>7.0000000000000001E-3</v>
      </c>
      <c r="K27" s="149"/>
      <c r="M27" s="174"/>
    </row>
    <row r="28" spans="1:13" ht="13.15" x14ac:dyDescent="0.25">
      <c r="D28" s="72">
        <f>SUM(D26:D27)</f>
        <v>37.112282835074154</v>
      </c>
      <c r="F28" s="407"/>
      <c r="H28" s="7" t="s">
        <v>5</v>
      </c>
      <c r="J28" s="148"/>
      <c r="K28" s="149"/>
    </row>
    <row r="29" spans="1:13" ht="13.15" x14ac:dyDescent="0.25">
      <c r="F29" s="407"/>
      <c r="H29" s="267" t="s">
        <v>279</v>
      </c>
      <c r="I29" s="271"/>
      <c r="J29" s="272">
        <v>0.08</v>
      </c>
      <c r="K29" s="273"/>
      <c r="M29" s="265" t="s">
        <v>283</v>
      </c>
    </row>
    <row r="30" spans="1:13" ht="13.15" x14ac:dyDescent="0.25">
      <c r="A30" s="31" t="s">
        <v>43</v>
      </c>
      <c r="B30" s="31"/>
      <c r="C30" s="31"/>
      <c r="D30" s="31"/>
      <c r="E30" s="33">
        <f>SUM(E23:E27)</f>
        <v>200091.58663767495</v>
      </c>
      <c r="F30" s="407"/>
      <c r="H30" s="267" t="s">
        <v>176</v>
      </c>
      <c r="I30" s="271"/>
      <c r="J30" s="272">
        <v>4.2</v>
      </c>
      <c r="K30" s="273"/>
      <c r="M30" s="265" t="s">
        <v>284</v>
      </c>
    </row>
    <row r="31" spans="1:13" ht="13.15" x14ac:dyDescent="0.25">
      <c r="F31" s="407"/>
      <c r="H31" s="276" t="s">
        <v>177</v>
      </c>
      <c r="I31" s="271"/>
      <c r="J31" s="277">
        <f>J30*J10</f>
        <v>0.66230769230769226</v>
      </c>
      <c r="K31" s="278"/>
      <c r="M31" s="265" t="s">
        <v>285</v>
      </c>
    </row>
    <row r="32" spans="1:13" ht="13.15" x14ac:dyDescent="0.25">
      <c r="A32" s="23" t="s">
        <v>44</v>
      </c>
      <c r="C32" s="97">
        <f>$J$40</f>
        <v>0.11846733793705286</v>
      </c>
      <c r="E32" s="28">
        <f>C32*E30</f>
        <v>23704.317612566527</v>
      </c>
      <c r="F32" s="407"/>
      <c r="H32" s="43"/>
      <c r="I32" s="29"/>
      <c r="J32" s="29"/>
      <c r="K32" s="41"/>
    </row>
    <row r="33" spans="1:12" ht="13.15" x14ac:dyDescent="0.25">
      <c r="F33" s="407"/>
      <c r="H33" s="43"/>
      <c r="I33" s="29"/>
      <c r="J33" s="44" t="s">
        <v>167</v>
      </c>
      <c r="K33" s="137"/>
    </row>
    <row r="34" spans="1:12" ht="13.9" thickBot="1" x14ac:dyDescent="0.3">
      <c r="A34" s="73" t="s">
        <v>52</v>
      </c>
      <c r="B34" s="74"/>
      <c r="C34" s="74"/>
      <c r="D34" s="74"/>
      <c r="E34" s="75">
        <f>SUM(E30:E32)</f>
        <v>223795.90425024147</v>
      </c>
      <c r="F34" s="407"/>
      <c r="H34" s="43" t="s">
        <v>22</v>
      </c>
      <c r="I34" s="29"/>
      <c r="J34" s="95">
        <f>'Group Home'!Q47</f>
        <v>0.23424901786252411</v>
      </c>
      <c r="K34" s="138"/>
    </row>
    <row r="35" spans="1:12" ht="13.9" thickTop="1" x14ac:dyDescent="0.25">
      <c r="F35" s="407"/>
      <c r="H35" s="43"/>
      <c r="I35" s="29"/>
      <c r="J35" s="48"/>
      <c r="K35" s="139"/>
    </row>
    <row r="36" spans="1:12" ht="13.15" x14ac:dyDescent="0.25">
      <c r="A36" s="23" t="s">
        <v>53</v>
      </c>
      <c r="C36" s="98">
        <f>$J$42</f>
        <v>5.3904190379097106E-2</v>
      </c>
      <c r="E36" s="77">
        <f>E34*(1+C36)</f>
        <v>235859.44127900866</v>
      </c>
      <c r="F36" s="407"/>
      <c r="H36" s="43" t="s">
        <v>39</v>
      </c>
      <c r="I36" s="29"/>
      <c r="J36" s="59">
        <f>'Group Home'!Q49</f>
        <v>20.4634671275006</v>
      </c>
      <c r="K36" s="146"/>
    </row>
    <row r="37" spans="1:12" ht="13.15" x14ac:dyDescent="0.25">
      <c r="F37" s="407"/>
      <c r="H37" s="43" t="s">
        <v>40</v>
      </c>
      <c r="I37" s="29"/>
      <c r="J37" s="59">
        <f>'Group Home'!Q50</f>
        <v>16.648815707573558</v>
      </c>
      <c r="K37" s="141"/>
    </row>
    <row r="38" spans="1:12" ht="13.15" x14ac:dyDescent="0.25">
      <c r="E38" s="92" t="s">
        <v>56</v>
      </c>
      <c r="F38" s="407"/>
      <c r="H38" s="101" t="s">
        <v>43</v>
      </c>
      <c r="I38" s="102"/>
      <c r="J38" s="103">
        <f>SUM(J36:J37)</f>
        <v>37.112282835074154</v>
      </c>
      <c r="K38" s="142"/>
    </row>
    <row r="39" spans="1:12" ht="13.9" thickBot="1" x14ac:dyDescent="0.3">
      <c r="A39" s="23" t="s">
        <v>55</v>
      </c>
      <c r="D39" s="76">
        <f>E34/E8</f>
        <v>613.1394636992917</v>
      </c>
      <c r="E39" s="346">
        <f>D39*(1+C36)</f>
        <v>646.19025007947585</v>
      </c>
      <c r="F39" s="407"/>
      <c r="H39" s="43"/>
      <c r="I39" s="29"/>
      <c r="J39" s="29"/>
      <c r="K39" s="41"/>
    </row>
    <row r="40" spans="1:12" ht="13.9" thickBot="1" x14ac:dyDescent="0.3">
      <c r="A40" s="377" t="s">
        <v>455</v>
      </c>
      <c r="B40" s="378"/>
      <c r="C40" s="379">
        <f>'CAF Spring 2015'!BC24</f>
        <v>2.0354406130268236E-2</v>
      </c>
      <c r="D40" s="380"/>
      <c r="E40" s="380"/>
      <c r="F40" s="666">
        <f>E39*(1+C40)</f>
        <v>659.34306886701313</v>
      </c>
      <c r="H40" s="43" t="s">
        <v>44</v>
      </c>
      <c r="I40" s="29"/>
      <c r="J40" s="95">
        <f>'Group Home'!Q55</f>
        <v>0.11846733793705286</v>
      </c>
      <c r="K40" s="138"/>
    </row>
    <row r="41" spans="1:12" ht="13.15" x14ac:dyDescent="0.25">
      <c r="A41" s="78" t="s">
        <v>54</v>
      </c>
      <c r="B41" s="79">
        <v>0.9</v>
      </c>
      <c r="C41" s="80"/>
      <c r="D41" s="86">
        <f>E34/(E8*B41)</f>
        <v>681.26607077699077</v>
      </c>
      <c r="E41" s="86">
        <f>D41*(1+C36)</f>
        <v>717.9891667549731</v>
      </c>
      <c r="F41" s="381"/>
      <c r="H41" s="43"/>
      <c r="I41" s="29"/>
      <c r="J41" s="29"/>
      <c r="K41" s="41"/>
    </row>
    <row r="42" spans="1:12" ht="13.5" thickBot="1" x14ac:dyDescent="0.25">
      <c r="A42" s="81"/>
      <c r="B42" s="82">
        <v>0.85</v>
      </c>
      <c r="C42" s="83"/>
      <c r="D42" s="88">
        <f>E34/(E8*B42)</f>
        <v>721.34054552857845</v>
      </c>
      <c r="E42" s="88">
        <f>D42*(1+C36)</f>
        <v>760.22382362291273</v>
      </c>
      <c r="F42" s="381"/>
      <c r="H42" s="51" t="s">
        <v>45</v>
      </c>
      <c r="I42" s="52"/>
      <c r="J42" s="96">
        <f>'[12]Spring 2011 CPI'!$J$28</f>
        <v>5.3904190379097106E-2</v>
      </c>
      <c r="K42" s="156" t="s">
        <v>145</v>
      </c>
      <c r="L42" s="115"/>
    </row>
    <row r="43" spans="1:12" ht="13.15" x14ac:dyDescent="0.25">
      <c r="A43" s="84"/>
      <c r="B43" s="85">
        <v>0.8</v>
      </c>
      <c r="C43" s="34"/>
      <c r="D43" s="90">
        <f>E34/(E8*B43)</f>
        <v>766.42432962411465</v>
      </c>
      <c r="E43" s="90">
        <f>D43*(1+C36)</f>
        <v>807.73781259934481</v>
      </c>
      <c r="F43" s="382"/>
      <c r="H43" s="63" t="s">
        <v>50</v>
      </c>
      <c r="I43" s="64" t="s">
        <v>46</v>
      </c>
    </row>
    <row r="44" spans="1:12" ht="13.15" x14ac:dyDescent="0.25">
      <c r="H44" s="24" t="s">
        <v>193</v>
      </c>
    </row>
    <row r="45" spans="1:12" ht="13.15" x14ac:dyDescent="0.25">
      <c r="H45" s="23" t="s">
        <v>172</v>
      </c>
    </row>
    <row r="46" spans="1:12" ht="13.15" x14ac:dyDescent="0.25">
      <c r="H46" s="54" t="s">
        <v>48</v>
      </c>
    </row>
    <row r="48" spans="1:12" ht="13.15" x14ac:dyDescent="0.25">
      <c r="H48" s="55" t="s">
        <v>49</v>
      </c>
    </row>
    <row r="49" spans="8:8" ht="13.15" x14ac:dyDescent="0.25">
      <c r="H49" s="23" t="s">
        <v>163</v>
      </c>
    </row>
    <row r="50" spans="8:8" ht="13.15" x14ac:dyDescent="0.25">
      <c r="H50" s="181" t="s">
        <v>194</v>
      </c>
    </row>
    <row r="51" spans="8:8" ht="13.15" x14ac:dyDescent="0.25">
      <c r="H51" s="54" t="s">
        <v>171</v>
      </c>
    </row>
    <row r="52" spans="8:8" x14ac:dyDescent="0.2">
      <c r="H52" s="151" t="s">
        <v>174</v>
      </c>
    </row>
    <row r="53" spans="8:8" ht="13.15" x14ac:dyDescent="0.25">
      <c r="H53" s="23" t="s">
        <v>208</v>
      </c>
    </row>
    <row r="54" spans="8:8" ht="13.15" x14ac:dyDescent="0.25">
      <c r="H54" s="23" t="s">
        <v>178</v>
      </c>
    </row>
    <row r="55" spans="8:8" ht="13.15" x14ac:dyDescent="0.25">
      <c r="H55" s="23" t="s">
        <v>179</v>
      </c>
    </row>
    <row r="56" spans="8:8" ht="13.15" x14ac:dyDescent="0.25">
      <c r="H56" s="177" t="s">
        <v>280</v>
      </c>
    </row>
    <row r="57" spans="8:8" ht="13.15" x14ac:dyDescent="0.25">
      <c r="H57" s="23" t="s">
        <v>180</v>
      </c>
    </row>
    <row r="58" spans="8:8" x14ac:dyDescent="0.2">
      <c r="H58" s="23" t="s">
        <v>181</v>
      </c>
    </row>
    <row r="59" spans="8:8" x14ac:dyDescent="0.2">
      <c r="H59" s="54" t="s">
        <v>144</v>
      </c>
    </row>
  </sheetData>
  <customSheetViews>
    <customSheetView guid="{C4FB04C2-CA74-4980-BD95-4B9444F5E469}" scale="85" showRuler="0"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selection activeCell="J35" sqref="J35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H1:K1"/>
    <mergeCell ref="I3:J3"/>
    <mergeCell ref="A7:E7"/>
    <mergeCell ref="F6:F7"/>
  </mergeCells>
  <phoneticPr fontId="29" type="noConversion"/>
  <pageMargins left="0.7" right="0.7" top="0.75" bottom="0.75" header="0.3" footer="0.3"/>
  <pageSetup fitToHeight="0" orientation="portrait" r:id="rId5"/>
  <headerFooter>
    <oddFooter>&amp;R2016-04-12
&amp;A
Caring Together rate review</oddFooter>
  </headerFooter>
  <legacyDrawing r:id="rId6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M56"/>
  <sheetViews>
    <sheetView zoomScale="85" zoomScaleNormal="85" workbookViewId="0">
      <selection activeCell="F44" sqref="F44"/>
    </sheetView>
  </sheetViews>
  <sheetFormatPr defaultColWidth="9.140625" defaultRowHeight="12.75" x14ac:dyDescent="0.2"/>
  <cols>
    <col min="1" max="1" width="32.4257812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4.140625" style="23" customWidth="1"/>
    <col min="6" max="6" width="13.140625" style="23" customWidth="1"/>
    <col min="7" max="7" width="9.140625" style="23"/>
    <col min="8" max="8" width="31.85546875" style="23" bestFit="1" customWidth="1"/>
    <col min="9" max="11" width="10.140625" style="23" customWidth="1"/>
    <col min="12" max="12" width="5" style="23" customWidth="1"/>
    <col min="13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A4" s="94"/>
      <c r="B4" s="264"/>
      <c r="C4" s="264"/>
      <c r="D4" s="264"/>
      <c r="E4" s="264"/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x14ac:dyDescent="0.2">
      <c r="F6" s="1433" t="s">
        <v>460</v>
      </c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523" t="s">
        <v>290</v>
      </c>
      <c r="B7" s="1474"/>
      <c r="C7" s="1474"/>
      <c r="D7" s="1474"/>
      <c r="E7" s="1474"/>
      <c r="F7" s="1434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25" t="s">
        <v>0</v>
      </c>
      <c r="B8" s="69">
        <f>J$23</f>
        <v>6</v>
      </c>
      <c r="C8" s="25"/>
      <c r="D8" s="25" t="s">
        <v>1</v>
      </c>
      <c r="E8" s="68">
        <f>B8*365</f>
        <v>2190</v>
      </c>
      <c r="F8" s="407"/>
      <c r="H8" s="14" t="s">
        <v>16</v>
      </c>
      <c r="I8" s="15">
        <v>7</v>
      </c>
      <c r="J8" s="16">
        <f>I8*8</f>
        <v>56</v>
      </c>
      <c r="K8" s="17"/>
      <c r="L8" s="24"/>
      <c r="M8" s="24"/>
    </row>
    <row r="9" spans="1:13" ht="13.15" x14ac:dyDescent="0.25">
      <c r="F9" s="407"/>
      <c r="H9" s="11"/>
      <c r="I9" s="18" t="s">
        <v>17</v>
      </c>
      <c r="J9" s="13">
        <f>SUM(J5:J8)</f>
        <v>328</v>
      </c>
      <c r="K9" s="19"/>
      <c r="L9" s="24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20"/>
      <c r="I10" s="21" t="s">
        <v>18</v>
      </c>
      <c r="J10" s="22">
        <f>J9/(52*40)</f>
        <v>0.15769230769230769</v>
      </c>
      <c r="K10" s="56"/>
    </row>
    <row r="11" spans="1:13" ht="13.9" thickBot="1" x14ac:dyDescent="0.3">
      <c r="A11" s="1" t="s">
        <v>19</v>
      </c>
      <c r="C11" s="30">
        <f>J13</f>
        <v>52305.406251052875</v>
      </c>
      <c r="D11" s="35">
        <f>J24</f>
        <v>1.4299999999999997</v>
      </c>
      <c r="E11" s="28">
        <f>C11*D11</f>
        <v>74796.730939005589</v>
      </c>
      <c r="F11" s="407"/>
    </row>
    <row r="12" spans="1:13" ht="13.15" x14ac:dyDescent="0.25">
      <c r="A12" s="2" t="s">
        <v>227</v>
      </c>
      <c r="C12" s="30"/>
      <c r="D12" s="35"/>
      <c r="E12" s="28"/>
      <c r="F12" s="407"/>
      <c r="H12" s="36"/>
      <c r="I12" s="37"/>
      <c r="J12" s="38" t="s">
        <v>75</v>
      </c>
      <c r="K12" s="147"/>
    </row>
    <row r="13" spans="1:13" ht="13.15" x14ac:dyDescent="0.25">
      <c r="A13" s="3" t="s">
        <v>24</v>
      </c>
      <c r="C13" s="30">
        <f>J15</f>
        <v>64673.926018287602</v>
      </c>
      <c r="D13" s="35">
        <f>J26</f>
        <v>0.13</v>
      </c>
      <c r="E13" s="28">
        <f>C13*D13</f>
        <v>8407.6103823773883</v>
      </c>
      <c r="F13" s="407"/>
      <c r="H13" s="7" t="s">
        <v>19</v>
      </c>
      <c r="I13" s="29"/>
      <c r="J13" s="40">
        <f>'Group Home'!Q13</f>
        <v>52305.406251052875</v>
      </c>
      <c r="K13" s="117"/>
    </row>
    <row r="14" spans="1:13" ht="13.15" x14ac:dyDescent="0.25">
      <c r="A14" s="3" t="s">
        <v>182</v>
      </c>
      <c r="C14" s="30">
        <f>J16</f>
        <v>52083.333333333336</v>
      </c>
      <c r="D14" s="35">
        <f>J27</f>
        <v>0.12</v>
      </c>
      <c r="E14" s="28">
        <f>C14*D14</f>
        <v>6250</v>
      </c>
      <c r="F14" s="407"/>
      <c r="H14" s="7" t="s">
        <v>227</v>
      </c>
      <c r="I14" s="29"/>
      <c r="J14" s="40"/>
      <c r="K14" s="117"/>
    </row>
    <row r="15" spans="1:13" ht="13.15" x14ac:dyDescent="0.25">
      <c r="A15" s="2" t="s">
        <v>5</v>
      </c>
      <c r="C15" s="30"/>
      <c r="D15" s="35"/>
      <c r="E15" s="28"/>
      <c r="F15" s="407"/>
      <c r="H15" s="11" t="s">
        <v>24</v>
      </c>
      <c r="I15" s="29"/>
      <c r="J15" s="40">
        <f>'Group Home'!Q16</f>
        <v>64673.926018287602</v>
      </c>
      <c r="K15" s="118" t="s">
        <v>69</v>
      </c>
    </row>
    <row r="16" spans="1:13" ht="13.15" x14ac:dyDescent="0.25">
      <c r="A16" s="3" t="s">
        <v>59</v>
      </c>
      <c r="C16" s="30">
        <f>J18</f>
        <v>42189.221412467887</v>
      </c>
      <c r="D16" s="35">
        <f>J29</f>
        <v>1.2</v>
      </c>
      <c r="E16" s="28">
        <f>C16*D16</f>
        <v>50627.065694961464</v>
      </c>
      <c r="F16" s="407"/>
      <c r="H16" s="106" t="s">
        <v>182</v>
      </c>
      <c r="I16" s="29"/>
      <c r="J16" s="40">
        <f>'[15]Seven Hills'!$J$15</f>
        <v>52083.333333333336</v>
      </c>
      <c r="K16" s="118" t="s">
        <v>64</v>
      </c>
    </row>
    <row r="17" spans="1:13" ht="13.15" x14ac:dyDescent="0.25">
      <c r="A17" s="3" t="s">
        <v>30</v>
      </c>
      <c r="C17" s="30">
        <f>J19</f>
        <v>28500</v>
      </c>
      <c r="D17" s="35">
        <f>J30</f>
        <v>8.5</v>
      </c>
      <c r="E17" s="28">
        <f>C17*D17</f>
        <v>242250</v>
      </c>
      <c r="F17" s="407"/>
      <c r="H17" s="7" t="s">
        <v>5</v>
      </c>
      <c r="I17" s="29"/>
      <c r="J17" s="40"/>
      <c r="K17" s="118"/>
    </row>
    <row r="18" spans="1:13" ht="13.15" x14ac:dyDescent="0.25">
      <c r="A18" s="4" t="s">
        <v>31</v>
      </c>
      <c r="C18" s="30">
        <f>J20</f>
        <v>28500</v>
      </c>
      <c r="D18" s="283">
        <f>J31</f>
        <v>1.3403846153846153</v>
      </c>
      <c r="E18" s="28">
        <f>C18*D18</f>
        <v>38200.961538461539</v>
      </c>
      <c r="F18" s="407"/>
      <c r="H18" s="11" t="s">
        <v>59</v>
      </c>
      <c r="I18" s="29"/>
      <c r="J18" s="40">
        <f>'Group Home'!Q21</f>
        <v>42189.221412467887</v>
      </c>
      <c r="K18" s="118"/>
    </row>
    <row r="19" spans="1:13" ht="13.15" x14ac:dyDescent="0.25">
      <c r="A19" s="31" t="s">
        <v>7</v>
      </c>
      <c r="B19" s="31"/>
      <c r="C19" s="31"/>
      <c r="D19" s="32">
        <f>SUM(D11:D18)</f>
        <v>12.720384615384614</v>
      </c>
      <c r="E19" s="33">
        <f>SUM(E11:E18)</f>
        <v>420532.36855480599</v>
      </c>
      <c r="F19" s="407"/>
      <c r="H19" s="11" t="s">
        <v>30</v>
      </c>
      <c r="I19" s="29"/>
      <c r="J19" s="40">
        <f>'Group Home'!Q23</f>
        <v>28500</v>
      </c>
      <c r="K19" s="118"/>
    </row>
    <row r="20" spans="1:13" ht="13.15" x14ac:dyDescent="0.25">
      <c r="F20" s="407"/>
      <c r="H20" s="42" t="s">
        <v>31</v>
      </c>
      <c r="I20" s="29"/>
      <c r="J20" s="40">
        <f>J19</f>
        <v>28500</v>
      </c>
      <c r="K20" s="118"/>
    </row>
    <row r="21" spans="1:13" ht="13.15" x14ac:dyDescent="0.25">
      <c r="A21" s="25" t="s">
        <v>21</v>
      </c>
      <c r="D21" s="25" t="s">
        <v>20</v>
      </c>
      <c r="F21" s="407"/>
      <c r="H21" s="11"/>
      <c r="I21" s="29"/>
      <c r="J21" s="40"/>
      <c r="K21" s="117"/>
    </row>
    <row r="22" spans="1:13" ht="13.15" x14ac:dyDescent="0.25">
      <c r="A22" s="23" t="s">
        <v>22</v>
      </c>
      <c r="C22" s="97">
        <f>$J$34</f>
        <v>0.23424901786252411</v>
      </c>
      <c r="E22" s="28">
        <f>C22*E19</f>
        <v>98509.294313364328</v>
      </c>
      <c r="F22" s="407"/>
      <c r="H22" s="43"/>
      <c r="I22" s="29"/>
      <c r="J22" s="44" t="s">
        <v>37</v>
      </c>
      <c r="K22" s="137"/>
    </row>
    <row r="23" spans="1:13" ht="13.15" x14ac:dyDescent="0.25">
      <c r="A23" s="31" t="s">
        <v>51</v>
      </c>
      <c r="B23" s="31"/>
      <c r="C23" s="31"/>
      <c r="D23" s="70">
        <f>E23/E8</f>
        <v>237.00532551058004</v>
      </c>
      <c r="E23" s="33">
        <f>E22+E19</f>
        <v>519041.6628681703</v>
      </c>
      <c r="F23" s="407"/>
      <c r="H23" s="43" t="s">
        <v>36</v>
      </c>
      <c r="I23" s="34"/>
      <c r="J23" s="158">
        <f>'[15]Seven Hills'!$J$23</f>
        <v>6</v>
      </c>
      <c r="K23" s="67"/>
    </row>
    <row r="24" spans="1:13" x14ac:dyDescent="0.2">
      <c r="F24" s="407"/>
      <c r="H24" s="7" t="s">
        <v>19</v>
      </c>
      <c r="J24" s="148">
        <f>'[15]Seven Hills'!$J$25</f>
        <v>1.4299999999999997</v>
      </c>
      <c r="K24" s="157" t="s">
        <v>92</v>
      </c>
      <c r="M24" s="23" t="s">
        <v>209</v>
      </c>
    </row>
    <row r="25" spans="1:13" ht="13.15" x14ac:dyDescent="0.25">
      <c r="F25" s="407"/>
      <c r="H25" s="7" t="s">
        <v>227</v>
      </c>
      <c r="J25" s="148"/>
      <c r="K25" s="149"/>
    </row>
    <row r="26" spans="1:13" ht="13.15" x14ac:dyDescent="0.25">
      <c r="A26" s="23" t="s">
        <v>185</v>
      </c>
      <c r="C26" s="30">
        <f>J36</f>
        <v>12000</v>
      </c>
      <c r="E26" s="28">
        <f>C26</f>
        <v>12000</v>
      </c>
      <c r="F26" s="407"/>
      <c r="H26" s="11" t="s">
        <v>24</v>
      </c>
      <c r="J26" s="148">
        <f>'[15]Seven Hills'!$J$27</f>
        <v>0.13</v>
      </c>
      <c r="K26" s="149"/>
    </row>
    <row r="27" spans="1:13" ht="13.15" x14ac:dyDescent="0.25">
      <c r="F27" s="407"/>
      <c r="H27" s="106" t="s">
        <v>182</v>
      </c>
      <c r="J27" s="148">
        <f>'[15]Seven Hills'!$J$28</f>
        <v>0.12</v>
      </c>
      <c r="K27" s="149"/>
    </row>
    <row r="28" spans="1:13" ht="13.15" x14ac:dyDescent="0.25">
      <c r="A28" s="23" t="s">
        <v>39</v>
      </c>
      <c r="D28" s="71">
        <f>$J$38</f>
        <v>20.4634671275006</v>
      </c>
      <c r="E28" s="105">
        <f>D28*(365*(4+4))</f>
        <v>59753.324012301753</v>
      </c>
      <c r="F28" s="407"/>
      <c r="H28" s="7" t="s">
        <v>5</v>
      </c>
      <c r="J28" s="148"/>
      <c r="K28" s="149"/>
    </row>
    <row r="29" spans="1:13" x14ac:dyDescent="0.2">
      <c r="A29" s="29" t="s">
        <v>40</v>
      </c>
      <c r="D29" s="71">
        <f>$J$39</f>
        <v>16.648815707573558</v>
      </c>
      <c r="E29" s="105">
        <f>D29*E8</f>
        <v>36460.906399586092</v>
      </c>
      <c r="F29" s="407"/>
      <c r="H29" s="11" t="s">
        <v>59</v>
      </c>
      <c r="I29" s="29"/>
      <c r="J29" s="148">
        <f>'[15]Seven Hills'!$J$30</f>
        <v>1.2</v>
      </c>
      <c r="K29" s="157" t="s">
        <v>92</v>
      </c>
    </row>
    <row r="30" spans="1:13" ht="13.15" x14ac:dyDescent="0.25">
      <c r="A30" s="29" t="s">
        <v>42</v>
      </c>
      <c r="D30" s="71">
        <f>$J$40</f>
        <v>-1.9951315068493152</v>
      </c>
      <c r="E30" s="105">
        <f>D30*E8</f>
        <v>-4369.3380000000006</v>
      </c>
      <c r="F30" s="407"/>
      <c r="H30" s="11" t="s">
        <v>30</v>
      </c>
      <c r="J30" s="148">
        <f>'[15]Seven Hills'!$J$31</f>
        <v>8.5</v>
      </c>
      <c r="K30" s="149"/>
    </row>
    <row r="31" spans="1:13" ht="13.15" x14ac:dyDescent="0.25">
      <c r="D31" s="72">
        <f>SUM(D28:D30)</f>
        <v>35.117151328224836</v>
      </c>
      <c r="F31" s="407"/>
      <c r="H31" s="42" t="s">
        <v>31</v>
      </c>
      <c r="J31" s="150">
        <f>J30*J10</f>
        <v>1.3403846153846153</v>
      </c>
      <c r="K31" s="111"/>
    </row>
    <row r="32" spans="1:13" ht="13.15" x14ac:dyDescent="0.25">
      <c r="F32" s="407"/>
      <c r="H32" s="43"/>
      <c r="I32" s="29"/>
      <c r="J32" s="29"/>
      <c r="K32" s="41"/>
    </row>
    <row r="33" spans="1:12" ht="13.15" x14ac:dyDescent="0.25">
      <c r="A33" s="31" t="s">
        <v>43</v>
      </c>
      <c r="B33" s="31"/>
      <c r="C33" s="31"/>
      <c r="D33" s="31"/>
      <c r="E33" s="33">
        <f>SUM(E23:E30)</f>
        <v>622886.55528005818</v>
      </c>
      <c r="F33" s="407"/>
      <c r="H33" s="43"/>
      <c r="I33" s="29"/>
      <c r="J33" s="44" t="s">
        <v>167</v>
      </c>
      <c r="K33" s="137"/>
    </row>
    <row r="34" spans="1:12" ht="13.15" x14ac:dyDescent="0.25">
      <c r="F34" s="407"/>
      <c r="H34" s="43" t="s">
        <v>22</v>
      </c>
      <c r="I34" s="29"/>
      <c r="J34" s="95">
        <f>'Group Home'!Q47</f>
        <v>0.23424901786252411</v>
      </c>
      <c r="K34" s="138"/>
    </row>
    <row r="35" spans="1:12" ht="13.15" x14ac:dyDescent="0.25">
      <c r="A35" s="23" t="s">
        <v>44</v>
      </c>
      <c r="C35" s="97">
        <f>$J$43</f>
        <v>0.11846733793705286</v>
      </c>
      <c r="E35" s="28">
        <f>C35*E33</f>
        <v>73791.712040809405</v>
      </c>
      <c r="F35" s="407"/>
      <c r="H35" s="43"/>
      <c r="I35" s="29"/>
      <c r="J35" s="48"/>
      <c r="K35" s="139"/>
    </row>
    <row r="36" spans="1:12" ht="13.15" x14ac:dyDescent="0.25">
      <c r="F36" s="407"/>
      <c r="H36" s="43" t="s">
        <v>185</v>
      </c>
      <c r="I36" s="29"/>
      <c r="J36" s="40">
        <f>'[15]Seven Hills'!$J$37</f>
        <v>12000</v>
      </c>
      <c r="K36" s="139"/>
    </row>
    <row r="37" spans="1:12" ht="13.9" thickBot="1" x14ac:dyDescent="0.3">
      <c r="A37" s="73" t="s">
        <v>52</v>
      </c>
      <c r="B37" s="74"/>
      <c r="C37" s="74"/>
      <c r="D37" s="74"/>
      <c r="E37" s="75">
        <f>SUM(E33:E35)</f>
        <v>696678.26732086763</v>
      </c>
      <c r="F37" s="407"/>
      <c r="H37" s="43"/>
      <c r="I37" s="29"/>
      <c r="J37" s="40"/>
      <c r="K37" s="139"/>
    </row>
    <row r="38" spans="1:12" ht="13.9" thickTop="1" x14ac:dyDescent="0.25">
      <c r="F38" s="407"/>
      <c r="H38" s="43" t="s">
        <v>39</v>
      </c>
      <c r="I38" s="29"/>
      <c r="J38" s="59">
        <f>'Group Home'!Q49</f>
        <v>20.4634671275006</v>
      </c>
      <c r="K38" s="146"/>
    </row>
    <row r="39" spans="1:12" ht="13.15" x14ac:dyDescent="0.25">
      <c r="A39" s="23" t="s">
        <v>53</v>
      </c>
      <c r="C39" s="98">
        <f>$J$45</f>
        <v>5.3904190379097106E-2</v>
      </c>
      <c r="E39" s="77">
        <f>E37*(1+C39)</f>
        <v>734232.1452755112</v>
      </c>
      <c r="F39" s="407"/>
      <c r="H39" s="43" t="s">
        <v>40</v>
      </c>
      <c r="I39" s="29"/>
      <c r="J39" s="59">
        <f>'Group Home'!Q50</f>
        <v>16.648815707573558</v>
      </c>
      <c r="K39" s="141"/>
    </row>
    <row r="40" spans="1:12" ht="13.9" x14ac:dyDescent="0.3">
      <c r="F40" s="407"/>
      <c r="H40" s="43" t="s">
        <v>42</v>
      </c>
      <c r="I40" s="29"/>
      <c r="J40" s="59">
        <f>'Group Home'!Q52</f>
        <v>-1.9951315068493152</v>
      </c>
      <c r="K40" s="141"/>
      <c r="L40" s="115"/>
    </row>
    <row r="41" spans="1:12" ht="13.15" x14ac:dyDescent="0.25">
      <c r="E41" s="92" t="s">
        <v>56</v>
      </c>
      <c r="F41" s="407"/>
      <c r="H41" s="101" t="s">
        <v>43</v>
      </c>
      <c r="I41" s="102"/>
      <c r="J41" s="103">
        <f>SUM(J38:J40)</f>
        <v>35.117151328224836</v>
      </c>
      <c r="K41" s="142"/>
    </row>
    <row r="42" spans="1:12" ht="13.15" x14ac:dyDescent="0.25">
      <c r="A42" s="23" t="s">
        <v>55</v>
      </c>
      <c r="D42" s="76">
        <f>E37/E8</f>
        <v>318.11793028350121</v>
      </c>
      <c r="E42" s="76">
        <f>D42*(1+C39)</f>
        <v>335.26581976050738</v>
      </c>
      <c r="F42" s="407"/>
      <c r="H42" s="43"/>
      <c r="I42" s="29"/>
      <c r="J42" s="29"/>
      <c r="K42" s="41"/>
    </row>
    <row r="43" spans="1:12" ht="13.9" thickBot="1" x14ac:dyDescent="0.3">
      <c r="A43" s="377" t="s">
        <v>455</v>
      </c>
      <c r="B43" s="378"/>
      <c r="C43" s="379">
        <f>'CAF Spring 2015'!BC24</f>
        <v>2.0354406130268236E-2</v>
      </c>
      <c r="D43" s="380"/>
      <c r="E43" s="380"/>
      <c r="F43" s="386">
        <f>E42*(1+C43)</f>
        <v>342.08995641751005</v>
      </c>
      <c r="H43" s="43" t="s">
        <v>44</v>
      </c>
      <c r="I43" s="29"/>
      <c r="J43" s="95">
        <f>'Group Home'!Q55</f>
        <v>0.11846733793705286</v>
      </c>
      <c r="K43" s="138"/>
    </row>
    <row r="44" spans="1:12" ht="13.9" thickBot="1" x14ac:dyDescent="0.3">
      <c r="A44" s="78" t="s">
        <v>54</v>
      </c>
      <c r="B44" s="79">
        <v>0.9</v>
      </c>
      <c r="C44" s="80"/>
      <c r="D44" s="86">
        <f>E37/(E8*B44)</f>
        <v>353.46436698166798</v>
      </c>
      <c r="E44" s="384">
        <f>D44*(1+C39)</f>
        <v>372.51757751167486</v>
      </c>
      <c r="F44" s="660">
        <f>$F$43/B44</f>
        <v>380.09995157501118</v>
      </c>
      <c r="H44" s="43"/>
      <c r="I44" s="29"/>
      <c r="J44" s="29"/>
      <c r="K44" s="41"/>
    </row>
    <row r="45" spans="1:12" ht="13.5" thickBot="1" x14ac:dyDescent="0.25">
      <c r="A45" s="81"/>
      <c r="B45" s="82">
        <v>0.85</v>
      </c>
      <c r="C45" s="83"/>
      <c r="D45" s="88">
        <f>E37/(E8*B45)</f>
        <v>374.25638856882495</v>
      </c>
      <c r="E45" s="88">
        <f>D45*(1+C39)</f>
        <v>394.43037618883221</v>
      </c>
      <c r="F45" s="381"/>
      <c r="H45" s="51" t="s">
        <v>45</v>
      </c>
      <c r="I45" s="52"/>
      <c r="J45" s="96">
        <f>'[12]Spring 2011 CPI'!$J$28</f>
        <v>5.3904190379097106E-2</v>
      </c>
      <c r="K45" s="156" t="s">
        <v>145</v>
      </c>
    </row>
    <row r="46" spans="1:12" ht="13.15" x14ac:dyDescent="0.25">
      <c r="A46" s="84"/>
      <c r="B46" s="85">
        <v>0.8</v>
      </c>
      <c r="C46" s="34"/>
      <c r="D46" s="90">
        <f>E37/(E8*B46)</f>
        <v>397.64741285437651</v>
      </c>
      <c r="E46" s="90">
        <f>D46*(1+C39)</f>
        <v>419.08227470063423</v>
      </c>
      <c r="F46" s="382"/>
      <c r="H46" s="63" t="s">
        <v>50</v>
      </c>
      <c r="I46" s="64" t="s">
        <v>46</v>
      </c>
    </row>
    <row r="47" spans="1:12" ht="13.15" x14ac:dyDescent="0.25">
      <c r="H47" s="24" t="s">
        <v>193</v>
      </c>
    </row>
    <row r="48" spans="1:12" ht="13.15" x14ac:dyDescent="0.25">
      <c r="D48" s="28"/>
      <c r="E48" s="105"/>
      <c r="H48" s="23" t="s">
        <v>183</v>
      </c>
    </row>
    <row r="49" spans="4:8" ht="13.15" x14ac:dyDescent="0.25">
      <c r="D49" s="71"/>
      <c r="E49" s="176"/>
      <c r="H49" s="54" t="s">
        <v>48</v>
      </c>
    </row>
    <row r="50" spans="4:8" ht="13.15" x14ac:dyDescent="0.25">
      <c r="D50" s="71"/>
      <c r="E50" s="176"/>
    </row>
    <row r="51" spans="4:8" ht="13.15" x14ac:dyDescent="0.25">
      <c r="D51" s="71"/>
      <c r="E51" s="71"/>
      <c r="H51" s="55" t="s">
        <v>49</v>
      </c>
    </row>
    <row r="52" spans="4:8" ht="13.15" x14ac:dyDescent="0.25">
      <c r="H52" s="23" t="s">
        <v>163</v>
      </c>
    </row>
    <row r="53" spans="4:8" ht="13.15" x14ac:dyDescent="0.25">
      <c r="H53" s="181" t="s">
        <v>194</v>
      </c>
    </row>
    <row r="54" spans="4:8" ht="13.15" x14ac:dyDescent="0.25">
      <c r="H54" s="54" t="s">
        <v>228</v>
      </c>
    </row>
    <row r="55" spans="4:8" x14ac:dyDescent="0.2">
      <c r="H55" s="23" t="s">
        <v>184</v>
      </c>
    </row>
    <row r="56" spans="4:8" x14ac:dyDescent="0.2">
      <c r="H56" s="54" t="s">
        <v>144</v>
      </c>
    </row>
  </sheetData>
  <customSheetViews>
    <customSheetView guid="{C4FB04C2-CA74-4980-BD95-4B9444F5E469}" scale="85" showRuler="0" topLeftCell="A3">
      <selection activeCell="P18" sqref="P18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selection activeCell="J13" sqref="J13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 topLeftCell="A3">
      <selection activeCell="P18" sqref="P18"/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H1:K1"/>
    <mergeCell ref="I3:J3"/>
    <mergeCell ref="A7:E7"/>
    <mergeCell ref="F6:F7"/>
  </mergeCells>
  <phoneticPr fontId="29" type="noConversion"/>
  <pageMargins left="0.7" right="0.7" top="0.75" bottom="0.75" header="0.3" footer="0.3"/>
  <pageSetup fitToHeight="0" orientation="portrait" r:id="rId5"/>
  <headerFooter>
    <oddFooter>&amp;R2016-04-12
&amp;A
Caring Together rate review</oddFooter>
  </headerFooter>
  <legacyDrawing r:id="rId6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M51"/>
  <sheetViews>
    <sheetView topLeftCell="A29" zoomScale="85" zoomScaleNormal="85" workbookViewId="0">
      <selection activeCell="D47" sqref="D47:D49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5" width="13.140625" style="23" bestFit="1" customWidth="1"/>
    <col min="6" max="6" width="13.140625" style="23" customWidth="1"/>
    <col min="7" max="7" width="9.140625" style="23"/>
    <col min="8" max="8" width="31.85546875" style="23" bestFit="1" customWidth="1"/>
    <col min="9" max="11" width="10.140625" style="23" customWidth="1"/>
    <col min="12" max="12" width="5" style="23" customWidth="1"/>
    <col min="13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A4" s="94"/>
      <c r="B4" s="264"/>
      <c r="C4" s="264"/>
      <c r="D4" s="264"/>
      <c r="E4" s="264"/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x14ac:dyDescent="0.2">
      <c r="F6" s="1433"/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523" t="s">
        <v>269</v>
      </c>
      <c r="B7" s="1474"/>
      <c r="C7" s="1474"/>
      <c r="D7" s="1474"/>
      <c r="E7" s="1474"/>
      <c r="F7" s="1434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25" t="s">
        <v>0</v>
      </c>
      <c r="B8" s="69">
        <f>J$22</f>
        <v>9</v>
      </c>
      <c r="C8" s="25"/>
      <c r="D8" s="25" t="s">
        <v>1</v>
      </c>
      <c r="E8" s="68">
        <f>B8*365</f>
        <v>3285</v>
      </c>
      <c r="F8" s="407"/>
      <c r="H8" s="14" t="s">
        <v>16</v>
      </c>
      <c r="I8" s="15">
        <v>5</v>
      </c>
      <c r="J8" s="16">
        <f>I8*8</f>
        <v>40</v>
      </c>
      <c r="K8" s="17"/>
      <c r="L8" s="24"/>
      <c r="M8" s="24"/>
    </row>
    <row r="9" spans="1:13" ht="13.15" x14ac:dyDescent="0.25">
      <c r="F9" s="407"/>
      <c r="H9" s="11"/>
      <c r="I9" s="18" t="s">
        <v>17</v>
      </c>
      <c r="J9" s="13">
        <f>SUM(J5:J8)</f>
        <v>312</v>
      </c>
      <c r="K9" s="19"/>
      <c r="L9" s="24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20"/>
      <c r="I10" s="21" t="s">
        <v>18</v>
      </c>
      <c r="J10" s="22">
        <f>J9/(52*40)</f>
        <v>0.15</v>
      </c>
      <c r="K10" s="56"/>
    </row>
    <row r="11" spans="1:13" ht="13.9" thickBot="1" x14ac:dyDescent="0.3">
      <c r="A11" s="1" t="s">
        <v>19</v>
      </c>
      <c r="C11" s="30">
        <f>J13</f>
        <v>63307.44</v>
      </c>
      <c r="D11" s="35">
        <f>J23</f>
        <v>0.75</v>
      </c>
      <c r="E11" s="28">
        <f>C11*D11</f>
        <v>47480.58</v>
      </c>
      <c r="F11" s="407"/>
      <c r="L11" s="266" t="s">
        <v>282</v>
      </c>
    </row>
    <row r="12" spans="1:13" ht="13.15" x14ac:dyDescent="0.25">
      <c r="A12" s="2" t="s">
        <v>227</v>
      </c>
      <c r="C12" s="30"/>
      <c r="D12" s="35"/>
      <c r="E12" s="28"/>
      <c r="F12" s="407"/>
      <c r="H12" s="36"/>
      <c r="I12" s="37"/>
      <c r="J12" s="38" t="s">
        <v>34</v>
      </c>
      <c r="K12" s="147"/>
    </row>
    <row r="13" spans="1:13" ht="13.15" x14ac:dyDescent="0.25">
      <c r="A13" s="107" t="s">
        <v>187</v>
      </c>
      <c r="C13" s="282">
        <f>J15</f>
        <v>200122.62</v>
      </c>
      <c r="D13" s="35">
        <f>J25</f>
        <v>0.01</v>
      </c>
      <c r="E13" s="28">
        <f>C13*D13</f>
        <v>2001.2262000000001</v>
      </c>
      <c r="F13" s="407"/>
      <c r="H13" s="7" t="s">
        <v>19</v>
      </c>
      <c r="I13" s="29"/>
      <c r="J13" s="40">
        <f>[15]HLW!$J$12</f>
        <v>63307.44</v>
      </c>
      <c r="K13" s="117"/>
      <c r="M13" s="174"/>
    </row>
    <row r="14" spans="1:13" ht="13.15" x14ac:dyDescent="0.25">
      <c r="A14" s="107" t="s">
        <v>188</v>
      </c>
      <c r="C14" s="282">
        <f>J16</f>
        <v>50000</v>
      </c>
      <c r="D14" s="35">
        <f>J26</f>
        <v>0.75</v>
      </c>
      <c r="E14" s="28">
        <f>C14*D14</f>
        <v>37500</v>
      </c>
      <c r="F14" s="407"/>
      <c r="H14" s="7" t="s">
        <v>227</v>
      </c>
      <c r="I14" s="29"/>
      <c r="J14" s="40"/>
      <c r="K14" s="117"/>
    </row>
    <row r="15" spans="1:13" ht="13.15" x14ac:dyDescent="0.25">
      <c r="A15" s="2" t="s">
        <v>5</v>
      </c>
      <c r="C15" s="30"/>
      <c r="D15" s="35"/>
      <c r="E15" s="28"/>
      <c r="F15" s="407"/>
      <c r="H15" s="274" t="s">
        <v>187</v>
      </c>
      <c r="I15" s="268"/>
      <c r="J15" s="470">
        <f>Continuum!I16</f>
        <v>200122.62</v>
      </c>
      <c r="K15" s="275" t="s">
        <v>277</v>
      </c>
      <c r="M15" s="265" t="s">
        <v>287</v>
      </c>
    </row>
    <row r="16" spans="1:13" ht="13.15" x14ac:dyDescent="0.25">
      <c r="A16" s="3" t="s">
        <v>30</v>
      </c>
      <c r="C16" s="30">
        <f>J18</f>
        <v>33653.709923664122</v>
      </c>
      <c r="D16" s="35">
        <f>J28</f>
        <v>1.31</v>
      </c>
      <c r="E16" s="28">
        <f>C16*D16</f>
        <v>44086.36</v>
      </c>
      <c r="F16" s="407"/>
      <c r="H16" s="106" t="s">
        <v>188</v>
      </c>
      <c r="I16" s="29"/>
      <c r="J16" s="280">
        <f>IRTP!X19</f>
        <v>50000</v>
      </c>
      <c r="K16" s="118"/>
      <c r="M16" s="174"/>
    </row>
    <row r="17" spans="1:13" ht="13.15" x14ac:dyDescent="0.25">
      <c r="A17" s="4" t="s">
        <v>31</v>
      </c>
      <c r="C17" s="30">
        <f>J19</f>
        <v>33653.709923664122</v>
      </c>
      <c r="D17" s="35">
        <f>J29</f>
        <v>0.19650000000000001</v>
      </c>
      <c r="E17" s="28">
        <f>C17*D17</f>
        <v>6612.9540000000006</v>
      </c>
      <c r="F17" s="407"/>
      <c r="H17" s="7" t="s">
        <v>5</v>
      </c>
      <c r="I17" s="29"/>
      <c r="J17" s="40"/>
      <c r="K17" s="118"/>
    </row>
    <row r="18" spans="1:13" ht="13.15" x14ac:dyDescent="0.25">
      <c r="A18" s="31" t="s">
        <v>7</v>
      </c>
      <c r="B18" s="31"/>
      <c r="C18" s="31"/>
      <c r="D18" s="32">
        <f>SUM(D11:D17)</f>
        <v>3.0165000000000002</v>
      </c>
      <c r="E18" s="33">
        <f>SUM(E11:E17)</f>
        <v>137681.1202</v>
      </c>
      <c r="F18" s="407"/>
      <c r="H18" s="11" t="s">
        <v>30</v>
      </c>
      <c r="I18" s="29"/>
      <c r="J18" s="40">
        <f>[15]HLW!$J$17</f>
        <v>33653.709923664122</v>
      </c>
      <c r="K18" s="118"/>
      <c r="M18" s="174"/>
    </row>
    <row r="19" spans="1:13" ht="13.15" x14ac:dyDescent="0.25">
      <c r="F19" s="407"/>
      <c r="H19" s="42" t="s">
        <v>31</v>
      </c>
      <c r="I19" s="29"/>
      <c r="J19" s="40">
        <f>[15]HLW!$J$18</f>
        <v>33653.709923664122</v>
      </c>
      <c r="K19" s="118"/>
      <c r="M19" s="174"/>
    </row>
    <row r="20" spans="1:13" ht="13.15" x14ac:dyDescent="0.25">
      <c r="A20" s="25" t="s">
        <v>21</v>
      </c>
      <c r="D20" s="25" t="s">
        <v>20</v>
      </c>
      <c r="F20" s="407"/>
      <c r="H20" s="11"/>
      <c r="I20" s="29"/>
      <c r="J20" s="40"/>
      <c r="K20" s="117"/>
    </row>
    <row r="21" spans="1:13" ht="13.15" x14ac:dyDescent="0.25">
      <c r="A21" s="23" t="s">
        <v>22</v>
      </c>
      <c r="C21" s="97">
        <f>$J$32</f>
        <v>0.24750786150354007</v>
      </c>
      <c r="E21" s="28">
        <f>C21*E18</f>
        <v>34077.159630113856</v>
      </c>
      <c r="F21" s="407"/>
      <c r="H21" s="43"/>
      <c r="I21" s="29"/>
      <c r="J21" s="44" t="s">
        <v>37</v>
      </c>
      <c r="K21" s="137"/>
    </row>
    <row r="22" spans="1:13" ht="13.15" x14ac:dyDescent="0.25">
      <c r="A22" s="31" t="s">
        <v>51</v>
      </c>
      <c r="B22" s="31"/>
      <c r="C22" s="31"/>
      <c r="D22" s="70">
        <f>E22/E8</f>
        <v>52.285625519060538</v>
      </c>
      <c r="E22" s="33">
        <f>E21+E18</f>
        <v>171758.27983011387</v>
      </c>
      <c r="F22" s="407"/>
      <c r="H22" s="43" t="s">
        <v>36</v>
      </c>
      <c r="I22" s="34"/>
      <c r="J22" s="158">
        <f>[15]HLW!$J$22</f>
        <v>9</v>
      </c>
      <c r="K22" s="67"/>
      <c r="M22" s="184"/>
    </row>
    <row r="23" spans="1:13" ht="13.15" x14ac:dyDescent="0.25">
      <c r="D23" s="166"/>
      <c r="F23" s="407"/>
      <c r="H23" s="7" t="s">
        <v>19</v>
      </c>
      <c r="J23" s="148">
        <f>[15]HLW!$J$24</f>
        <v>0.75</v>
      </c>
      <c r="K23" s="157"/>
    </row>
    <row r="24" spans="1:13" ht="13.15" x14ac:dyDescent="0.25">
      <c r="A24" s="23" t="s">
        <v>39</v>
      </c>
      <c r="D24" s="71">
        <f>$J$34</f>
        <v>21.133942161339423</v>
      </c>
      <c r="E24" s="105">
        <f>D24*E8</f>
        <v>69425</v>
      </c>
      <c r="F24" s="407"/>
      <c r="H24" s="7" t="s">
        <v>227</v>
      </c>
      <c r="J24" s="148"/>
      <c r="K24" s="149"/>
    </row>
    <row r="25" spans="1:13" ht="13.15" x14ac:dyDescent="0.25">
      <c r="A25" s="29" t="s">
        <v>40</v>
      </c>
      <c r="D25" s="71">
        <f>$J$35</f>
        <v>55.383257229832573</v>
      </c>
      <c r="E25" s="105">
        <f>D25*E8</f>
        <v>181934</v>
      </c>
      <c r="F25" s="407"/>
      <c r="H25" s="106" t="s">
        <v>187</v>
      </c>
      <c r="J25" s="148">
        <f>[15]HLW!$J$26</f>
        <v>0.01</v>
      </c>
      <c r="K25" s="149"/>
    </row>
    <row r="26" spans="1:13" ht="13.15" x14ac:dyDescent="0.25">
      <c r="D26" s="72">
        <f>SUM(D24:D25)</f>
        <v>76.517199391171999</v>
      </c>
      <c r="F26" s="407"/>
      <c r="H26" s="106" t="s">
        <v>188</v>
      </c>
      <c r="J26" s="148">
        <f>[15]HLW!$J$27</f>
        <v>0.75</v>
      </c>
      <c r="K26" s="170" t="s">
        <v>211</v>
      </c>
    </row>
    <row r="27" spans="1:13" ht="13.15" x14ac:dyDescent="0.25">
      <c r="F27" s="407"/>
      <c r="H27" s="7" t="s">
        <v>5</v>
      </c>
      <c r="J27" s="148"/>
      <c r="K27" s="149"/>
    </row>
    <row r="28" spans="1:13" ht="13.15" x14ac:dyDescent="0.25">
      <c r="A28" s="31" t="s">
        <v>43</v>
      </c>
      <c r="B28" s="31"/>
      <c r="C28" s="31"/>
      <c r="D28" s="31"/>
      <c r="E28" s="33">
        <f>SUM(E22:E26)</f>
        <v>423117.27983011387</v>
      </c>
      <c r="F28" s="407"/>
      <c r="H28" s="11" t="s">
        <v>30</v>
      </c>
      <c r="J28" s="148">
        <f>[15]HLW!$J$29</f>
        <v>1.31</v>
      </c>
      <c r="K28" s="149"/>
    </row>
    <row r="29" spans="1:13" ht="13.15" x14ac:dyDescent="0.25">
      <c r="F29" s="407"/>
      <c r="H29" s="42" t="s">
        <v>31</v>
      </c>
      <c r="J29" s="150">
        <f>J28*J10</f>
        <v>0.19650000000000001</v>
      </c>
      <c r="K29" s="111"/>
    </row>
    <row r="30" spans="1:13" ht="13.15" x14ac:dyDescent="0.25">
      <c r="A30" s="23" t="s">
        <v>44</v>
      </c>
      <c r="C30" s="97">
        <f>$J$38</f>
        <v>0.12259413417832843</v>
      </c>
      <c r="E30" s="28">
        <f>C30*E28</f>
        <v>51871.696576662318</v>
      </c>
      <c r="F30" s="407"/>
      <c r="H30" s="43"/>
      <c r="I30" s="29"/>
      <c r="J30" s="29"/>
      <c r="K30" s="41"/>
    </row>
    <row r="31" spans="1:13" ht="13.15" x14ac:dyDescent="0.25">
      <c r="F31" s="407"/>
      <c r="H31" s="43"/>
      <c r="I31" s="29"/>
      <c r="J31" s="44" t="s">
        <v>189</v>
      </c>
      <c r="K31" s="137"/>
    </row>
    <row r="32" spans="1:13" ht="13.9" thickBot="1" x14ac:dyDescent="0.3">
      <c r="A32" s="73" t="s">
        <v>52</v>
      </c>
      <c r="B32" s="74"/>
      <c r="C32" s="74"/>
      <c r="D32" s="74"/>
      <c r="E32" s="75">
        <f>SUM(E28:E30)</f>
        <v>474988.97640677617</v>
      </c>
      <c r="F32" s="407"/>
      <c r="H32" s="43" t="s">
        <v>22</v>
      </c>
      <c r="I32" s="29"/>
      <c r="J32" s="95">
        <f>[15]HLW!$J$33</f>
        <v>0.24750786150354007</v>
      </c>
      <c r="K32" s="138"/>
    </row>
    <row r="33" spans="1:12" ht="13.9" thickTop="1" x14ac:dyDescent="0.25">
      <c r="F33" s="407"/>
      <c r="H33" s="43"/>
      <c r="I33" s="29"/>
      <c r="J33" s="48"/>
      <c r="K33" s="139"/>
    </row>
    <row r="34" spans="1:12" ht="13.15" x14ac:dyDescent="0.25">
      <c r="A34" s="23" t="s">
        <v>53</v>
      </c>
      <c r="C34" s="98">
        <f>$J$40</f>
        <v>2.4800378941670066E-2</v>
      </c>
      <c r="E34" s="77">
        <f>E32*(1+C34)</f>
        <v>486768.88301478018</v>
      </c>
      <c r="F34" s="407"/>
      <c r="H34" s="43" t="s">
        <v>39</v>
      </c>
      <c r="I34" s="29"/>
      <c r="J34" s="59">
        <f>[15]HLW!$J$35</f>
        <v>21.133942161339423</v>
      </c>
      <c r="K34" s="146"/>
    </row>
    <row r="35" spans="1:12" ht="13.15" x14ac:dyDescent="0.25">
      <c r="F35" s="407"/>
      <c r="H35" s="43" t="s">
        <v>40</v>
      </c>
      <c r="I35" s="29"/>
      <c r="J35" s="59">
        <f>[15]HLW!$J$36</f>
        <v>55.383257229832573</v>
      </c>
      <c r="K35" s="141"/>
    </row>
    <row r="36" spans="1:12" ht="13.15" x14ac:dyDescent="0.25">
      <c r="E36" s="92" t="s">
        <v>56</v>
      </c>
      <c r="F36" s="407"/>
      <c r="H36" s="101" t="s">
        <v>43</v>
      </c>
      <c r="I36" s="102"/>
      <c r="J36" s="103">
        <f>SUM(J34:J35)</f>
        <v>76.517199391171999</v>
      </c>
      <c r="K36" s="142"/>
    </row>
    <row r="37" spans="1:12" ht="13.9" thickBot="1" x14ac:dyDescent="0.3">
      <c r="A37" s="23" t="s">
        <v>55</v>
      </c>
      <c r="D37" s="231">
        <f>E32/E8</f>
        <v>144.59329570982533</v>
      </c>
      <c r="E37" s="347">
        <f>D37*(1+C34)</f>
        <v>148.17926423585394</v>
      </c>
      <c r="F37" s="407"/>
      <c r="H37" s="43"/>
      <c r="I37" s="29"/>
      <c r="J37" s="29"/>
      <c r="K37" s="41"/>
    </row>
    <row r="38" spans="1:12" ht="13.9" thickBot="1" x14ac:dyDescent="0.3">
      <c r="A38" s="1071" t="s">
        <v>455</v>
      </c>
      <c r="B38" s="1072"/>
      <c r="C38" s="1073">
        <f>'CAF Spring 2015'!BC24</f>
        <v>2.0354406130268236E-2</v>
      </c>
      <c r="D38" s="1392"/>
      <c r="E38" s="1392"/>
      <c r="F38" s="1393">
        <f>E37*(1+C38)</f>
        <v>151.19536516019485</v>
      </c>
      <c r="H38" s="43" t="s">
        <v>44</v>
      </c>
      <c r="I38" s="29"/>
      <c r="J38" s="95">
        <f>[15]HLW!$J$39</f>
        <v>0.12259413417832843</v>
      </c>
      <c r="K38" s="138"/>
    </row>
    <row r="39" spans="1:12" ht="13.9" thickBot="1" x14ac:dyDescent="0.3">
      <c r="A39" s="1373" t="s">
        <v>830</v>
      </c>
      <c r="B39" s="1381"/>
      <c r="C39" s="1394">
        <v>2.3900000000000001E-2</v>
      </c>
      <c r="D39" s="1381"/>
      <c r="E39" s="1381"/>
      <c r="F39" s="1119">
        <f>F38*(C39+1)</f>
        <v>154.80893438752352</v>
      </c>
      <c r="H39" s="43"/>
      <c r="I39" s="29"/>
      <c r="J39" s="29"/>
      <c r="K39" s="41"/>
    </row>
    <row r="40" spans="1:12" ht="14.45" thickBot="1" x14ac:dyDescent="0.35">
      <c r="D40" s="71"/>
      <c r="E40" s="176"/>
      <c r="H40" s="51" t="s">
        <v>45</v>
      </c>
      <c r="I40" s="52"/>
      <c r="J40" s="96">
        <f>'[12]Spring 2011 CPI'!$J$37</f>
        <v>2.4800378941670066E-2</v>
      </c>
      <c r="K40" s="156"/>
      <c r="L40" s="115"/>
    </row>
    <row r="41" spans="1:12" ht="13.15" x14ac:dyDescent="0.25">
      <c r="D41" s="71"/>
      <c r="E41" s="71"/>
      <c r="H41" s="63" t="s">
        <v>50</v>
      </c>
      <c r="I41" s="64" t="s">
        <v>46</v>
      </c>
    </row>
    <row r="42" spans="1:12" ht="13.15" x14ac:dyDescent="0.25">
      <c r="D42" s="71"/>
      <c r="E42" s="71"/>
      <c r="H42" s="24" t="s">
        <v>186</v>
      </c>
    </row>
    <row r="43" spans="1:12" ht="13.15" x14ac:dyDescent="0.25">
      <c r="D43" s="71"/>
      <c r="E43" s="176"/>
      <c r="H43" s="23" t="s">
        <v>190</v>
      </c>
    </row>
    <row r="44" spans="1:12" ht="13.15" x14ac:dyDescent="0.25">
      <c r="H44" s="54" t="s">
        <v>48</v>
      </c>
    </row>
    <row r="45" spans="1:12" ht="13.15" x14ac:dyDescent="0.25">
      <c r="D45" s="71"/>
      <c r="E45" s="71"/>
    </row>
    <row r="46" spans="1:12" ht="13.15" x14ac:dyDescent="0.25">
      <c r="D46" s="71"/>
      <c r="E46" s="71"/>
      <c r="H46" s="55" t="s">
        <v>49</v>
      </c>
    </row>
    <row r="47" spans="1:12" ht="13.15" x14ac:dyDescent="0.25">
      <c r="D47" s="71"/>
      <c r="E47" s="71"/>
      <c r="H47" s="177" t="s">
        <v>286</v>
      </c>
    </row>
    <row r="48" spans="1:12" ht="13.15" x14ac:dyDescent="0.25">
      <c r="H48" s="177" t="s">
        <v>278</v>
      </c>
    </row>
    <row r="49" spans="8:8" ht="13.15" x14ac:dyDescent="0.25">
      <c r="H49" s="23" t="s">
        <v>210</v>
      </c>
    </row>
    <row r="50" spans="8:8" ht="13.15" x14ac:dyDescent="0.25">
      <c r="H50" s="54" t="s">
        <v>232</v>
      </c>
    </row>
    <row r="51" spans="8:8" ht="13.15" x14ac:dyDescent="0.25">
      <c r="H51" s="54"/>
    </row>
  </sheetData>
  <customSheetViews>
    <customSheetView guid="{C4FB04C2-CA74-4980-BD95-4B9444F5E469}" scale="85" showRuler="0">
      <selection activeCell="F48" sqref="F48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selection activeCell="J13" sqref="J13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selection activeCell="F48" sqref="F48"/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H1:K1"/>
    <mergeCell ref="I3:J3"/>
    <mergeCell ref="A7:E7"/>
    <mergeCell ref="F6:F7"/>
  </mergeCells>
  <phoneticPr fontId="29" type="noConversion"/>
  <pageMargins left="0.7" right="0.7" top="0.75" bottom="0.75" header="0.3" footer="0.3"/>
  <pageSetup fitToHeight="0" orientation="portrait" r:id="rId5"/>
  <headerFooter>
    <oddFooter>&amp;R
&amp;A
Caring Together rate review</oddFooter>
  </headerFooter>
  <legacyDrawing r:id="rId6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M46"/>
  <sheetViews>
    <sheetView topLeftCell="A35" zoomScale="85" zoomScaleNormal="85" workbookViewId="0">
      <selection activeCell="F35" sqref="F35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6" width="13.140625" style="23" customWidth="1"/>
    <col min="7" max="7" width="9.140625" style="23"/>
    <col min="8" max="8" width="31.85546875" style="23" bestFit="1" customWidth="1"/>
    <col min="9" max="11" width="10.140625" style="23" customWidth="1"/>
    <col min="12" max="12" width="5" style="23" customWidth="1"/>
    <col min="13" max="16384" width="9.140625" style="23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24"/>
      <c r="M3" s="24"/>
    </row>
    <row r="4" spans="1:13" ht="13.15" x14ac:dyDescent="0.25">
      <c r="A4" s="94"/>
      <c r="B4" s="264"/>
      <c r="C4" s="264"/>
      <c r="D4" s="264"/>
      <c r="E4" s="264"/>
      <c r="H4" s="7"/>
      <c r="I4" s="8" t="s">
        <v>11</v>
      </c>
      <c r="J4" s="9" t="s">
        <v>12</v>
      </c>
      <c r="K4" s="10"/>
      <c r="L4" s="24"/>
      <c r="M4" s="24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24"/>
      <c r="M5" s="24"/>
    </row>
    <row r="6" spans="1:13" x14ac:dyDescent="0.2">
      <c r="F6" s="1433" t="s">
        <v>792</v>
      </c>
      <c r="H6" s="11" t="s">
        <v>14</v>
      </c>
      <c r="I6" s="12">
        <v>10</v>
      </c>
      <c r="J6" s="13">
        <f>I6*8</f>
        <v>80</v>
      </c>
      <c r="K6" s="10"/>
      <c r="L6" s="24"/>
      <c r="M6" s="24"/>
    </row>
    <row r="7" spans="1:13" ht="13.5" thickBot="1" x14ac:dyDescent="0.25">
      <c r="A7" s="1523" t="s">
        <v>270</v>
      </c>
      <c r="B7" s="1474"/>
      <c r="C7" s="1474"/>
      <c r="D7" s="1474"/>
      <c r="E7" s="1474"/>
      <c r="F7" s="1434"/>
      <c r="H7" s="11" t="s">
        <v>15</v>
      </c>
      <c r="I7" s="12">
        <v>11</v>
      </c>
      <c r="J7" s="13">
        <f>I7*8</f>
        <v>88</v>
      </c>
      <c r="K7" s="10"/>
      <c r="L7" s="24"/>
      <c r="M7" s="24"/>
    </row>
    <row r="8" spans="1:13" ht="13.15" x14ac:dyDescent="0.25">
      <c r="A8" s="25" t="s">
        <v>0</v>
      </c>
      <c r="B8" s="69">
        <f>J$18</f>
        <v>12</v>
      </c>
      <c r="C8" s="25"/>
      <c r="D8" s="25" t="s">
        <v>1</v>
      </c>
      <c r="E8" s="68">
        <f>B8*365</f>
        <v>4380</v>
      </c>
      <c r="F8" s="407"/>
      <c r="H8" s="14" t="s">
        <v>16</v>
      </c>
      <c r="I8" s="15">
        <v>5</v>
      </c>
      <c r="J8" s="16">
        <f>I8*8</f>
        <v>40</v>
      </c>
      <c r="K8" s="17"/>
      <c r="L8" s="24"/>
      <c r="M8" s="24"/>
    </row>
    <row r="9" spans="1:13" ht="13.15" x14ac:dyDescent="0.25">
      <c r="F9" s="407"/>
      <c r="H9" s="11"/>
      <c r="I9" s="18" t="s">
        <v>17</v>
      </c>
      <c r="J9" s="13">
        <f>SUM(J5:J8)</f>
        <v>312</v>
      </c>
      <c r="K9" s="19"/>
      <c r="L9" s="24"/>
      <c r="M9" s="24"/>
    </row>
    <row r="10" spans="1:13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20"/>
      <c r="I10" s="21" t="s">
        <v>18</v>
      </c>
      <c r="J10" s="22">
        <f>J9/(52*40)</f>
        <v>0.15</v>
      </c>
      <c r="K10" s="56"/>
      <c r="L10" s="23" t="s">
        <v>191</v>
      </c>
    </row>
    <row r="11" spans="1:13" ht="13.9" thickBot="1" x14ac:dyDescent="0.3">
      <c r="A11" s="2" t="s">
        <v>227</v>
      </c>
      <c r="C11" s="30"/>
      <c r="D11" s="35"/>
      <c r="E11" s="28"/>
      <c r="F11" s="407"/>
    </row>
    <row r="12" spans="1:13" ht="13.15" x14ac:dyDescent="0.25">
      <c r="A12" s="107" t="s">
        <v>225</v>
      </c>
      <c r="C12" s="30">
        <f>J14</f>
        <v>42189.221412467887</v>
      </c>
      <c r="D12" s="35">
        <f>J20</f>
        <v>1</v>
      </c>
      <c r="E12" s="28">
        <f>C12*D12</f>
        <v>42189.221412467887</v>
      </c>
      <c r="F12" s="407"/>
      <c r="H12" s="36"/>
      <c r="I12" s="37"/>
      <c r="J12" s="38" t="s">
        <v>75</v>
      </c>
      <c r="K12" s="147"/>
    </row>
    <row r="13" spans="1:13" ht="13.15" x14ac:dyDescent="0.25">
      <c r="A13" s="108" t="s">
        <v>226</v>
      </c>
      <c r="C13" s="30">
        <f>J15</f>
        <v>36304.547622226877</v>
      </c>
      <c r="D13" s="35">
        <f>J21</f>
        <v>1.5</v>
      </c>
      <c r="E13" s="28">
        <f>C13*D13</f>
        <v>54456.821433340316</v>
      </c>
      <c r="F13" s="407"/>
      <c r="H13" s="7" t="s">
        <v>5</v>
      </c>
      <c r="I13" s="29"/>
      <c r="J13" s="40"/>
      <c r="K13" s="117"/>
    </row>
    <row r="14" spans="1:13" ht="13.15" x14ac:dyDescent="0.25">
      <c r="A14" s="31" t="s">
        <v>7</v>
      </c>
      <c r="B14" s="31"/>
      <c r="C14" s="31"/>
      <c r="D14" s="32">
        <f>SUM(D11:D13)</f>
        <v>2.5</v>
      </c>
      <c r="E14" s="33">
        <f>SUM(E11:E13)</f>
        <v>96646.042845808202</v>
      </c>
      <c r="F14" s="407"/>
      <c r="H14" s="11" t="s">
        <v>195</v>
      </c>
      <c r="I14" s="29"/>
      <c r="J14" s="40">
        <f>'Group Home'!Q21</f>
        <v>42189.221412467887</v>
      </c>
      <c r="K14" s="118"/>
    </row>
    <row r="15" spans="1:13" ht="13.15" x14ac:dyDescent="0.25">
      <c r="F15" s="407"/>
      <c r="H15" s="11" t="s">
        <v>196</v>
      </c>
      <c r="I15" s="29"/>
      <c r="J15" s="40">
        <f>'Group Home'!Q22</f>
        <v>36304.547622226877</v>
      </c>
      <c r="K15" s="118"/>
    </row>
    <row r="16" spans="1:13" ht="13.15" x14ac:dyDescent="0.25">
      <c r="A16" s="25" t="s">
        <v>21</v>
      </c>
      <c r="D16" s="25" t="s">
        <v>20</v>
      </c>
      <c r="F16" s="407"/>
      <c r="H16" s="11"/>
      <c r="I16" s="29"/>
      <c r="J16" s="40"/>
      <c r="K16" s="117"/>
    </row>
    <row r="17" spans="1:13" ht="13.15" x14ac:dyDescent="0.25">
      <c r="A17" s="23" t="s">
        <v>22</v>
      </c>
      <c r="C17" s="97">
        <f>$J$24</f>
        <v>0.23424901786252411</v>
      </c>
      <c r="E17" s="28">
        <f>C17*E14</f>
        <v>22639.240616929997</v>
      </c>
      <c r="F17" s="407"/>
      <c r="H17" s="43"/>
      <c r="I17" s="29"/>
      <c r="J17" s="44" t="s">
        <v>37</v>
      </c>
      <c r="K17" s="137"/>
    </row>
    <row r="18" spans="1:13" ht="13.15" x14ac:dyDescent="0.25">
      <c r="A18" s="31" t="s">
        <v>51</v>
      </c>
      <c r="B18" s="31"/>
      <c r="C18" s="31"/>
      <c r="D18" s="70">
        <f>E18/E8</f>
        <v>27.23408298236032</v>
      </c>
      <c r="E18" s="33">
        <f>E17+E14</f>
        <v>119285.2834627382</v>
      </c>
      <c r="F18" s="407"/>
      <c r="H18" s="179" t="s">
        <v>36</v>
      </c>
      <c r="I18" s="34"/>
      <c r="J18" s="158">
        <f>'[15]Community Care'!$J$18</f>
        <v>12</v>
      </c>
      <c r="K18" s="67"/>
    </row>
    <row r="19" spans="1:13" ht="13.15" x14ac:dyDescent="0.25">
      <c r="F19" s="407"/>
      <c r="H19" s="7" t="s">
        <v>227</v>
      </c>
      <c r="J19" s="148"/>
      <c r="K19" s="149"/>
    </row>
    <row r="20" spans="1:13" ht="13.15" x14ac:dyDescent="0.25">
      <c r="A20" s="23" t="s">
        <v>41</v>
      </c>
      <c r="D20" s="163">
        <f>J26</f>
        <v>1.1397260273972603</v>
      </c>
      <c r="E20" s="105">
        <f>D20*E8</f>
        <v>4992</v>
      </c>
      <c r="F20" s="407"/>
      <c r="H20" s="106" t="s">
        <v>225</v>
      </c>
      <c r="J20" s="180">
        <f>'[15]Community Care'!$J$21</f>
        <v>1</v>
      </c>
      <c r="K20" s="149"/>
      <c r="M20" s="174"/>
    </row>
    <row r="21" spans="1:13" ht="13.15" x14ac:dyDescent="0.25">
      <c r="F21" s="407"/>
      <c r="H21" s="106" t="s">
        <v>226</v>
      </c>
      <c r="J21" s="180">
        <f>'[15]Community Care'!J22</f>
        <v>1.5</v>
      </c>
      <c r="K21" s="149"/>
      <c r="M21" s="174"/>
    </row>
    <row r="22" spans="1:13" ht="13.15" x14ac:dyDescent="0.25">
      <c r="A22" s="31" t="s">
        <v>43</v>
      </c>
      <c r="B22" s="31"/>
      <c r="C22" s="31"/>
      <c r="D22" s="31"/>
      <c r="E22" s="175">
        <f>E18+E20</f>
        <v>124277.2834627382</v>
      </c>
      <c r="F22" s="407"/>
      <c r="H22" s="43"/>
      <c r="I22" s="29"/>
      <c r="J22" s="29"/>
      <c r="K22" s="41"/>
    </row>
    <row r="23" spans="1:13" ht="13.15" x14ac:dyDescent="0.25">
      <c r="F23" s="407"/>
      <c r="H23" s="43"/>
      <c r="I23" s="29"/>
      <c r="J23" s="44" t="s">
        <v>167</v>
      </c>
      <c r="K23" s="137"/>
    </row>
    <row r="24" spans="1:13" ht="13.15" x14ac:dyDescent="0.25">
      <c r="A24" s="23" t="s">
        <v>44</v>
      </c>
      <c r="C24" s="97">
        <f>$J$28</f>
        <v>0.11846733793705286</v>
      </c>
      <c r="E24" s="28">
        <f>C24*E22</f>
        <v>14722.798937879117</v>
      </c>
      <c r="F24" s="407"/>
      <c r="H24" s="43" t="s">
        <v>22</v>
      </c>
      <c r="I24" s="29"/>
      <c r="J24" s="95">
        <f>'Group Home'!Q47</f>
        <v>0.23424901786252411</v>
      </c>
      <c r="K24" s="138"/>
    </row>
    <row r="25" spans="1:13" ht="13.15" x14ac:dyDescent="0.25">
      <c r="F25" s="407"/>
      <c r="H25" s="43"/>
      <c r="I25" s="29"/>
      <c r="J25" s="95"/>
      <c r="K25" s="138"/>
    </row>
    <row r="26" spans="1:13" ht="13.9" thickBot="1" x14ac:dyDescent="0.3">
      <c r="A26" s="73" t="s">
        <v>52</v>
      </c>
      <c r="B26" s="74"/>
      <c r="C26" s="74"/>
      <c r="D26" s="74"/>
      <c r="E26" s="75">
        <f>SUM(E22:E24)</f>
        <v>139000.08240061731</v>
      </c>
      <c r="F26" s="407"/>
      <c r="H26" s="43" t="s">
        <v>41</v>
      </c>
      <c r="I26" s="29"/>
      <c r="J26" s="159">
        <f>J46</f>
        <v>1.1397260273972603</v>
      </c>
      <c r="K26" s="138" t="s">
        <v>65</v>
      </c>
    </row>
    <row r="27" spans="1:13" ht="13.9" thickTop="1" x14ac:dyDescent="0.25">
      <c r="F27" s="407"/>
      <c r="H27" s="43"/>
      <c r="I27" s="29"/>
      <c r="J27" s="48"/>
      <c r="K27" s="139"/>
    </row>
    <row r="28" spans="1:13" ht="13.15" x14ac:dyDescent="0.25">
      <c r="A28" s="23" t="s">
        <v>53</v>
      </c>
      <c r="C28" s="98">
        <f>$J$30</f>
        <v>5.3904190379097106E-2</v>
      </c>
      <c r="E28" s="77">
        <f>E26*(1+C28)</f>
        <v>146492.76930505037</v>
      </c>
      <c r="F28" s="407"/>
      <c r="H28" s="43" t="s">
        <v>44</v>
      </c>
      <c r="I28" s="29"/>
      <c r="J28" s="95">
        <f>'Group Home'!Q55</f>
        <v>0.11846733793705286</v>
      </c>
      <c r="K28" s="138"/>
    </row>
    <row r="29" spans="1:13" ht="13.15" x14ac:dyDescent="0.25">
      <c r="F29" s="407"/>
      <c r="H29" s="43"/>
      <c r="I29" s="29"/>
      <c r="J29" s="29"/>
      <c r="K29" s="41"/>
    </row>
    <row r="30" spans="1:13" ht="13.5" thickBot="1" x14ac:dyDescent="0.25">
      <c r="E30" s="92" t="s">
        <v>56</v>
      </c>
      <c r="F30" s="407"/>
      <c r="H30" s="51" t="s">
        <v>45</v>
      </c>
      <c r="I30" s="52"/>
      <c r="J30" s="96">
        <f>'[12]Spring 2011 CPI'!$J$28</f>
        <v>5.3904190379097106E-2</v>
      </c>
      <c r="K30" s="156" t="s">
        <v>145</v>
      </c>
    </row>
    <row r="31" spans="1:13" ht="13.15" x14ac:dyDescent="0.25">
      <c r="A31" s="23" t="s">
        <v>55</v>
      </c>
      <c r="D31" s="76">
        <f>E26/E8</f>
        <v>31.735178630277925</v>
      </c>
      <c r="E31" s="76">
        <f>D31*(1+C28)</f>
        <v>33.445837740879078</v>
      </c>
      <c r="F31" s="407"/>
      <c r="H31" s="63" t="s">
        <v>50</v>
      </c>
      <c r="I31" s="64" t="s">
        <v>46</v>
      </c>
    </row>
    <row r="32" spans="1:13" ht="13.15" x14ac:dyDescent="0.25">
      <c r="A32" s="759" t="s">
        <v>455</v>
      </c>
      <c r="B32" s="281"/>
      <c r="C32" s="1164">
        <f>'CAF Spring 2015'!BC24</f>
        <v>2.0354406130268236E-2</v>
      </c>
      <c r="D32" s="633"/>
      <c r="E32" s="633"/>
      <c r="F32" s="1165">
        <f>E31*(1+C32)</f>
        <v>34.126607905623985</v>
      </c>
      <c r="H32" s="24" t="s">
        <v>186</v>
      </c>
    </row>
    <row r="33" spans="1:12" ht="13.15" x14ac:dyDescent="0.25">
      <c r="A33" s="1031" t="s">
        <v>54</v>
      </c>
      <c r="B33" s="1032">
        <v>0.9</v>
      </c>
      <c r="C33" s="1033"/>
      <c r="D33" s="1034">
        <f>E26/(E8*B33)</f>
        <v>35.261309589197694</v>
      </c>
      <c r="E33" s="1034">
        <f>D33*(1+C28)</f>
        <v>37.162041934310089</v>
      </c>
      <c r="F33" s="1398">
        <f>$F$32/B33</f>
        <v>37.918453228471094</v>
      </c>
      <c r="H33" s="23" t="s">
        <v>192</v>
      </c>
    </row>
    <row r="34" spans="1:12" ht="13.9" thickBot="1" x14ac:dyDescent="0.3">
      <c r="A34" s="1383" t="s">
        <v>830</v>
      </c>
      <c r="B34" s="52"/>
      <c r="C34" s="1397">
        <v>2.3900000000000001E-2</v>
      </c>
      <c r="D34" s="1216"/>
      <c r="E34" s="1216"/>
      <c r="F34" s="1396">
        <f>F33*(C34+1)+0.01</f>
        <v>38.834704260631554</v>
      </c>
      <c r="H34" s="54" t="s">
        <v>48</v>
      </c>
    </row>
    <row r="35" spans="1:12" ht="13.15" x14ac:dyDescent="0.25">
      <c r="A35" s="84"/>
      <c r="B35" s="85"/>
      <c r="C35" s="34"/>
      <c r="D35" s="90"/>
      <c r="E35" s="90"/>
      <c r="F35" s="1395"/>
    </row>
    <row r="36" spans="1:12" ht="13.15" x14ac:dyDescent="0.25">
      <c r="H36" s="55" t="s">
        <v>49</v>
      </c>
    </row>
    <row r="37" spans="1:12" ht="13.15" x14ac:dyDescent="0.25">
      <c r="H37" s="23" t="s">
        <v>163</v>
      </c>
    </row>
    <row r="38" spans="1:12" ht="13.15" x14ac:dyDescent="0.25">
      <c r="H38" s="177" t="s">
        <v>291</v>
      </c>
    </row>
    <row r="39" spans="1:12" ht="13.15" x14ac:dyDescent="0.25">
      <c r="E39" s="105"/>
      <c r="H39" s="177" t="s">
        <v>292</v>
      </c>
    </row>
    <row r="40" spans="1:12" x14ac:dyDescent="0.2">
      <c r="E40" s="105"/>
      <c r="H40" s="54" t="s">
        <v>144</v>
      </c>
    </row>
    <row r="41" spans="1:12" ht="13.9" x14ac:dyDescent="0.3">
      <c r="H41" s="160" t="s">
        <v>200</v>
      </c>
      <c r="I41" s="161"/>
      <c r="J41" s="161"/>
      <c r="L41" s="115"/>
    </row>
    <row r="42" spans="1:12" ht="13.15" x14ac:dyDescent="0.25">
      <c r="H42" s="29" t="s">
        <v>246</v>
      </c>
      <c r="I42" s="161"/>
      <c r="J42" s="161"/>
    </row>
    <row r="43" spans="1:12" ht="13.15" x14ac:dyDescent="0.25">
      <c r="H43" s="29" t="s">
        <v>197</v>
      </c>
      <c r="I43" s="161"/>
      <c r="J43" s="161"/>
    </row>
    <row r="44" spans="1:12" ht="13.15" x14ac:dyDescent="0.25">
      <c r="H44" s="29" t="s">
        <v>198</v>
      </c>
    </row>
    <row r="45" spans="1:12" ht="13.15" x14ac:dyDescent="0.25">
      <c r="H45" s="183" t="s">
        <v>245</v>
      </c>
      <c r="J45" s="76">
        <f>1*2*0.5*52*20*0.4</f>
        <v>416</v>
      </c>
    </row>
    <row r="46" spans="1:12" ht="13.15" x14ac:dyDescent="0.25">
      <c r="H46" s="162" t="s">
        <v>199</v>
      </c>
      <c r="J46" s="76">
        <f>J45/365</f>
        <v>1.1397260273972603</v>
      </c>
    </row>
  </sheetData>
  <customSheetViews>
    <customSheetView guid="{C4FB04C2-CA74-4980-BD95-4B9444F5E469}" scale="85" showRuler="0">
      <selection activeCell="M21" sqref="M21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>
      <selection activeCell="M21" sqref="M21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>
      <selection activeCell="M21" sqref="M21"/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>
      <pageMargins left="0.7" right="0.7" top="0.75" bottom="0.75" header="0.3" footer="0.3"/>
      <pageSetup orientation="portrait" verticalDpi="0" r:id="rId4"/>
    </customSheetView>
  </customSheetViews>
  <mergeCells count="4">
    <mergeCell ref="H1:K1"/>
    <mergeCell ref="I3:J3"/>
    <mergeCell ref="A7:E7"/>
    <mergeCell ref="F6:F7"/>
  </mergeCells>
  <phoneticPr fontId="29" type="noConversion"/>
  <pageMargins left="0.7" right="0.7" top="0.75" bottom="0.75" header="0.3" footer="0.3"/>
  <pageSetup fitToHeight="0" orientation="landscape" r:id="rId5"/>
  <headerFooter>
    <oddFooter>&amp;R
&amp;A
Caring Together rate review</oddFooter>
  </headerFooter>
  <legacyDrawing r:id="rId6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O51"/>
  <sheetViews>
    <sheetView topLeftCell="G18" zoomScale="85" zoomScaleNormal="85" workbookViewId="0">
      <selection activeCell="O18" sqref="O18"/>
    </sheetView>
  </sheetViews>
  <sheetFormatPr defaultColWidth="9.140625" defaultRowHeight="12.75" x14ac:dyDescent="0.2"/>
  <cols>
    <col min="1" max="1" width="31.85546875" style="177" customWidth="1"/>
    <col min="2" max="2" width="5.7109375" style="177" customWidth="1"/>
    <col min="3" max="3" width="12.85546875" style="177" customWidth="1"/>
    <col min="4" max="4" width="10.85546875" style="177" customWidth="1"/>
    <col min="5" max="5" width="13.85546875" style="177" customWidth="1"/>
    <col min="6" max="6" width="13.85546875" style="759" customWidth="1"/>
    <col min="7" max="7" width="9.140625" style="177"/>
    <col min="8" max="8" width="31.85546875" style="177" bestFit="1" customWidth="1"/>
    <col min="9" max="11" width="10.140625" style="177" customWidth="1"/>
    <col min="12" max="12" width="5" style="177" customWidth="1"/>
    <col min="13" max="16384" width="9.140625" style="177"/>
  </cols>
  <sheetData>
    <row r="1" spans="1:13" ht="13.9" thickBot="1" x14ac:dyDescent="0.3">
      <c r="H1" s="1431" t="s">
        <v>8</v>
      </c>
      <c r="I1" s="1431"/>
      <c r="J1" s="1431"/>
      <c r="K1" s="1431"/>
    </row>
    <row r="2" spans="1:13" ht="13.9" thickBot="1" x14ac:dyDescent="0.3"/>
    <row r="3" spans="1:13" ht="13.15" x14ac:dyDescent="0.25">
      <c r="H3" s="5" t="s">
        <v>9</v>
      </c>
      <c r="I3" s="1432" t="s">
        <v>10</v>
      </c>
      <c r="J3" s="1432"/>
      <c r="K3" s="6"/>
      <c r="L3" s="181"/>
      <c r="M3" s="181"/>
    </row>
    <row r="4" spans="1:13" ht="13.15" x14ac:dyDescent="0.25">
      <c r="A4" s="94"/>
      <c r="B4" s="264"/>
      <c r="C4" s="264"/>
      <c r="D4" s="264"/>
      <c r="E4" s="264"/>
      <c r="F4" s="1211"/>
      <c r="H4" s="7"/>
      <c r="I4" s="8" t="s">
        <v>11</v>
      </c>
      <c r="J4" s="9" t="s">
        <v>12</v>
      </c>
      <c r="K4" s="10"/>
      <c r="L4" s="181"/>
      <c r="M4" s="181"/>
    </row>
    <row r="5" spans="1:13" ht="13.15" x14ac:dyDescent="0.25">
      <c r="H5" s="11" t="s">
        <v>13</v>
      </c>
      <c r="I5" s="12">
        <v>13</v>
      </c>
      <c r="J5" s="13">
        <f>I5*8</f>
        <v>104</v>
      </c>
      <c r="K5" s="10"/>
      <c r="L5" s="181"/>
      <c r="M5" s="181"/>
    </row>
    <row r="6" spans="1:13" ht="13.9" thickBot="1" x14ac:dyDescent="0.3">
      <c r="H6" s="11" t="s">
        <v>14</v>
      </c>
      <c r="I6" s="12">
        <v>10</v>
      </c>
      <c r="J6" s="13">
        <f>I6*8</f>
        <v>80</v>
      </c>
      <c r="K6" s="10"/>
      <c r="L6" s="181"/>
      <c r="M6" s="181"/>
    </row>
    <row r="7" spans="1:13" ht="13.9" customHeight="1" thickBot="1" x14ac:dyDescent="0.3">
      <c r="A7" s="1534" t="s">
        <v>334</v>
      </c>
      <c r="B7" s="1544"/>
      <c r="C7" s="1544"/>
      <c r="D7" s="1544"/>
      <c r="E7" s="1545"/>
      <c r="F7" s="625"/>
      <c r="H7" s="11" t="s">
        <v>15</v>
      </c>
      <c r="I7" s="12">
        <v>11</v>
      </c>
      <c r="J7" s="13">
        <f>I7*8</f>
        <v>88</v>
      </c>
      <c r="K7" s="10"/>
      <c r="L7" s="181"/>
      <c r="M7" s="181"/>
    </row>
    <row r="8" spans="1:13" ht="13.15" x14ac:dyDescent="0.25">
      <c r="A8" s="783" t="s">
        <v>205</v>
      </c>
      <c r="B8" s="566">
        <f>J$21</f>
        <v>3</v>
      </c>
      <c r="C8" s="540"/>
      <c r="D8" s="540" t="s">
        <v>206</v>
      </c>
      <c r="E8" s="1280">
        <f>B8*365</f>
        <v>1095</v>
      </c>
      <c r="F8" s="1295"/>
      <c r="H8" s="14" t="s">
        <v>16</v>
      </c>
      <c r="I8" s="15">
        <v>5</v>
      </c>
      <c r="J8" s="16">
        <f>I8*8</f>
        <v>40</v>
      </c>
      <c r="K8" s="17"/>
      <c r="L8" s="181"/>
      <c r="M8" s="181"/>
    </row>
    <row r="9" spans="1:13" ht="13.15" x14ac:dyDescent="0.25">
      <c r="A9" s="179"/>
      <c r="B9" s="205"/>
      <c r="C9" s="205"/>
      <c r="D9" s="205"/>
      <c r="E9" s="221"/>
      <c r="F9" s="183"/>
      <c r="H9" s="11"/>
      <c r="I9" s="18" t="s">
        <v>17</v>
      </c>
      <c r="J9" s="13">
        <f>SUM(J5:J8)</f>
        <v>312</v>
      </c>
      <c r="K9" s="19"/>
      <c r="L9" s="181"/>
      <c r="M9" s="181"/>
    </row>
    <row r="10" spans="1:13" ht="13.9" thickBot="1" x14ac:dyDescent="0.3">
      <c r="A10" s="1281"/>
      <c r="B10" s="198"/>
      <c r="C10" s="1128" t="s">
        <v>2</v>
      </c>
      <c r="D10" s="1128" t="s">
        <v>3</v>
      </c>
      <c r="E10" s="1282" t="s">
        <v>4</v>
      </c>
      <c r="F10" s="625"/>
      <c r="H10" s="20"/>
      <c r="I10" s="21" t="s">
        <v>18</v>
      </c>
      <c r="J10" s="200">
        <f>J9/(52*40)</f>
        <v>0.15</v>
      </c>
      <c r="K10" s="201">
        <f>J10/2</f>
        <v>7.4999999999999997E-2</v>
      </c>
    </row>
    <row r="11" spans="1:13" ht="13.9" thickBot="1" x14ac:dyDescent="0.3">
      <c r="A11" s="7" t="s">
        <v>235</v>
      </c>
      <c r="B11" s="205"/>
      <c r="C11" s="40"/>
      <c r="D11" s="46"/>
      <c r="E11" s="1283"/>
      <c r="F11" s="513"/>
    </row>
    <row r="12" spans="1:13" ht="13.15" x14ac:dyDescent="0.25">
      <c r="A12" s="11" t="s">
        <v>236</v>
      </c>
      <c r="B12" s="205"/>
      <c r="C12" s="280">
        <f>J14</f>
        <v>53770</v>
      </c>
      <c r="D12" s="46">
        <f>J23</f>
        <v>0.39</v>
      </c>
      <c r="E12" s="1283">
        <f>C12*D12</f>
        <v>20970.3</v>
      </c>
      <c r="F12" s="513"/>
      <c r="H12" s="203"/>
      <c r="I12" s="204"/>
      <c r="J12" s="38" t="s">
        <v>34</v>
      </c>
      <c r="K12" s="147"/>
    </row>
    <row r="13" spans="1:13" ht="13.15" x14ac:dyDescent="0.25">
      <c r="A13" s="7" t="s">
        <v>5</v>
      </c>
      <c r="B13" s="205"/>
      <c r="C13" s="40"/>
      <c r="D13" s="46"/>
      <c r="E13" s="1283"/>
      <c r="F13" s="513"/>
      <c r="H13" s="7" t="s">
        <v>235</v>
      </c>
      <c r="I13" s="205"/>
      <c r="J13" s="40"/>
      <c r="K13" s="206"/>
    </row>
    <row r="14" spans="1:13" ht="13.15" x14ac:dyDescent="0.25">
      <c r="A14" s="11" t="s">
        <v>30</v>
      </c>
      <c r="B14" s="205"/>
      <c r="C14" s="40">
        <f>26437*(5.39%+1)*(2.04%+1)</f>
        <v>28430.338167720001</v>
      </c>
      <c r="D14" s="46">
        <f>J25</f>
        <v>0.33</v>
      </c>
      <c r="E14" s="1283">
        <f>C14*D14</f>
        <v>9382.0115953476015</v>
      </c>
      <c r="F14" s="513"/>
      <c r="H14" s="11" t="s">
        <v>236</v>
      </c>
      <c r="I14" s="205"/>
      <c r="J14" s="280">
        <v>53770</v>
      </c>
      <c r="K14" s="207"/>
    </row>
    <row r="15" spans="1:13" ht="13.15" x14ac:dyDescent="0.25">
      <c r="A15" s="42" t="s">
        <v>31</v>
      </c>
      <c r="B15" s="205"/>
      <c r="C15" s="40">
        <f>C14</f>
        <v>28430.338167720001</v>
      </c>
      <c r="D15" s="46">
        <f>J26</f>
        <v>2.4750000000000001E-2</v>
      </c>
      <c r="E15" s="1283">
        <f>C15*D15</f>
        <v>703.65086965107002</v>
      </c>
      <c r="F15" s="513"/>
      <c r="H15" s="7" t="s">
        <v>5</v>
      </c>
      <c r="I15" s="205"/>
      <c r="J15" s="40"/>
      <c r="K15" s="207"/>
    </row>
    <row r="16" spans="1:13" ht="13.15" x14ac:dyDescent="0.25">
      <c r="A16" s="1284" t="s">
        <v>7</v>
      </c>
      <c r="B16" s="208"/>
      <c r="C16" s="208"/>
      <c r="D16" s="209">
        <f>SUM(D11:D15)</f>
        <v>0.74475000000000002</v>
      </c>
      <c r="E16" s="1285">
        <f>SUM(E11:E15)</f>
        <v>31055.962464998673</v>
      </c>
      <c r="F16" s="516"/>
      <c r="H16" s="11" t="s">
        <v>30</v>
      </c>
      <c r="I16" s="205"/>
      <c r="J16" s="40">
        <v>28430</v>
      </c>
      <c r="K16" s="207" t="s">
        <v>68</v>
      </c>
    </row>
    <row r="17" spans="1:13" ht="13.15" x14ac:dyDescent="0.25">
      <c r="A17" s="179"/>
      <c r="B17" s="205"/>
      <c r="C17" s="205"/>
      <c r="D17" s="205"/>
      <c r="E17" s="221"/>
      <c r="F17" s="183"/>
      <c r="H17" s="42" t="s">
        <v>31</v>
      </c>
      <c r="I17" s="205"/>
      <c r="J17" s="40">
        <f>J16</f>
        <v>28430</v>
      </c>
      <c r="K17" s="207"/>
    </row>
    <row r="18" spans="1:13" ht="13.15" x14ac:dyDescent="0.25">
      <c r="A18" s="783" t="s">
        <v>21</v>
      </c>
      <c r="B18" s="205"/>
      <c r="C18" s="205"/>
      <c r="D18" s="540" t="s">
        <v>20</v>
      </c>
      <c r="E18" s="221"/>
      <c r="F18" s="183"/>
      <c r="H18" s="11"/>
      <c r="I18" s="205"/>
      <c r="J18" s="40"/>
      <c r="K18" s="117"/>
    </row>
    <row r="19" spans="1:13" ht="13.15" x14ac:dyDescent="0.25">
      <c r="A19" s="179" t="s">
        <v>22</v>
      </c>
      <c r="B19" s="205"/>
      <c r="C19" s="573">
        <f>$J$29</f>
        <v>0.23424901786252411</v>
      </c>
      <c r="D19" s="205"/>
      <c r="E19" s="1283">
        <f>C19*E16</f>
        <v>7274.8287062013524</v>
      </c>
      <c r="F19" s="513"/>
      <c r="H19" s="179"/>
      <c r="I19" s="205"/>
      <c r="J19" s="44" t="s">
        <v>37</v>
      </c>
      <c r="K19" s="137"/>
    </row>
    <row r="20" spans="1:13" ht="13.15" x14ac:dyDescent="0.25">
      <c r="A20" s="1284" t="s">
        <v>51</v>
      </c>
      <c r="B20" s="208"/>
      <c r="C20" s="208"/>
      <c r="D20" s="210">
        <f>E20/E8</f>
        <v>35.005288740821946</v>
      </c>
      <c r="E20" s="1285">
        <f>E19+E16</f>
        <v>38330.791171200028</v>
      </c>
      <c r="F20" s="516"/>
      <c r="H20" s="179" t="s">
        <v>35</v>
      </c>
      <c r="I20" s="211"/>
      <c r="J20" s="212"/>
      <c r="K20" s="213"/>
    </row>
    <row r="21" spans="1:13" ht="13.15" x14ac:dyDescent="0.25">
      <c r="A21" s="179"/>
      <c r="B21" s="205"/>
      <c r="C21" s="205"/>
      <c r="D21" s="205"/>
      <c r="E21" s="221"/>
      <c r="F21" s="183"/>
      <c r="H21" s="179" t="s">
        <v>36</v>
      </c>
      <c r="I21" s="214"/>
      <c r="J21" s="215">
        <v>3</v>
      </c>
      <c r="K21" s="216"/>
    </row>
    <row r="22" spans="1:13" ht="13.15" x14ac:dyDescent="0.25">
      <c r="A22" s="179" t="s">
        <v>39</v>
      </c>
      <c r="B22" s="205"/>
      <c r="C22" s="205"/>
      <c r="D22" s="750">
        <f>J32</f>
        <v>7.0761291048000006</v>
      </c>
      <c r="E22" s="1286">
        <f>D22*E8</f>
        <v>7748.3613697560004</v>
      </c>
      <c r="F22" s="619"/>
      <c r="H22" s="7" t="s">
        <v>235</v>
      </c>
      <c r="J22" s="148"/>
      <c r="K22" s="149"/>
    </row>
    <row r="23" spans="1:13" ht="13.15" x14ac:dyDescent="0.25">
      <c r="A23" s="179" t="s">
        <v>40</v>
      </c>
      <c r="B23" s="205"/>
      <c r="C23" s="205"/>
      <c r="D23" s="750">
        <f>J33</f>
        <v>13.861900328400001</v>
      </c>
      <c r="E23" s="1286">
        <f>D23*E8</f>
        <v>15178.780859598</v>
      </c>
      <c r="F23" s="619"/>
      <c r="H23" s="11" t="s">
        <v>236</v>
      </c>
      <c r="J23" s="148">
        <f>'[16]contract data'!D34</f>
        <v>0.39</v>
      </c>
      <c r="K23" s="149"/>
      <c r="M23" s="174"/>
    </row>
    <row r="24" spans="1:13" ht="13.15" x14ac:dyDescent="0.25">
      <c r="A24" s="179"/>
      <c r="B24" s="205"/>
      <c r="C24" s="205"/>
      <c r="D24" s="219">
        <f>SUM(D22:D23)</f>
        <v>20.938029433200001</v>
      </c>
      <c r="E24" s="221"/>
      <c r="F24" s="183"/>
      <c r="H24" s="7" t="s">
        <v>5</v>
      </c>
      <c r="J24" s="148"/>
      <c r="K24" s="149"/>
    </row>
    <row r="25" spans="1:13" ht="13.15" x14ac:dyDescent="0.25">
      <c r="A25" s="179"/>
      <c r="B25" s="205"/>
      <c r="C25" s="205"/>
      <c r="D25" s="205"/>
      <c r="E25" s="221"/>
      <c r="F25" s="183"/>
      <c r="H25" s="11" t="s">
        <v>30</v>
      </c>
      <c r="J25" s="148">
        <f>'[16]contract data'!D45</f>
        <v>0.33</v>
      </c>
      <c r="K25" s="149"/>
    </row>
    <row r="26" spans="1:13" ht="13.15" x14ac:dyDescent="0.25">
      <c r="A26" s="1284" t="s">
        <v>43</v>
      </c>
      <c r="B26" s="208"/>
      <c r="C26" s="208"/>
      <c r="D26" s="208"/>
      <c r="E26" s="1285">
        <f>SUM(E20:E23)</f>
        <v>61257.93340055403</v>
      </c>
      <c r="F26" s="516"/>
      <c r="H26" s="42" t="s">
        <v>31</v>
      </c>
      <c r="J26" s="150">
        <f>J25*K10</f>
        <v>2.4750000000000001E-2</v>
      </c>
      <c r="K26" s="220" t="s">
        <v>69</v>
      </c>
    </row>
    <row r="27" spans="1:13" ht="13.15" x14ac:dyDescent="0.25">
      <c r="A27" s="179"/>
      <c r="B27" s="205"/>
      <c r="C27" s="205"/>
      <c r="D27" s="205"/>
      <c r="E27" s="221"/>
      <c r="F27" s="183"/>
      <c r="H27" s="179"/>
      <c r="I27" s="205"/>
      <c r="J27" s="205"/>
      <c r="K27" s="221"/>
    </row>
    <row r="28" spans="1:13" ht="13.15" x14ac:dyDescent="0.25">
      <c r="A28" s="179" t="s">
        <v>44</v>
      </c>
      <c r="B28" s="205"/>
      <c r="C28" s="573">
        <f>$J$36</f>
        <v>0.11846733793705286</v>
      </c>
      <c r="D28" s="205"/>
      <c r="E28" s="1283">
        <f>C28*E26</f>
        <v>7257.0642974889115</v>
      </c>
      <c r="F28" s="513"/>
      <c r="H28" s="179"/>
      <c r="I28" s="205"/>
      <c r="J28" s="44" t="s">
        <v>38</v>
      </c>
      <c r="K28" s="137"/>
    </row>
    <row r="29" spans="1:13" ht="13.15" x14ac:dyDescent="0.25">
      <c r="A29" s="179"/>
      <c r="B29" s="205"/>
      <c r="C29" s="205"/>
      <c r="D29" s="205"/>
      <c r="E29" s="221"/>
      <c r="F29" s="183"/>
      <c r="H29" s="179" t="s">
        <v>22</v>
      </c>
      <c r="I29" s="205"/>
      <c r="J29" s="222">
        <f>'Group Home'!$Q$47</f>
        <v>0.23424901786252411</v>
      </c>
      <c r="K29" s="223"/>
    </row>
    <row r="30" spans="1:13" ht="13.9" thickBot="1" x14ac:dyDescent="0.3">
      <c r="A30" s="1287" t="s">
        <v>52</v>
      </c>
      <c r="B30" s="225"/>
      <c r="C30" s="225"/>
      <c r="D30" s="225"/>
      <c r="E30" s="1288">
        <f>SUM(E26:E28)</f>
        <v>68514.997698042935</v>
      </c>
      <c r="F30" s="516"/>
      <c r="H30" s="179"/>
      <c r="I30" s="205"/>
      <c r="J30" s="48"/>
      <c r="K30" s="139"/>
    </row>
    <row r="31" spans="1:13" ht="13.9" thickTop="1" x14ac:dyDescent="0.25">
      <c r="A31" s="179"/>
      <c r="B31" s="205"/>
      <c r="C31" s="205"/>
      <c r="D31" s="205"/>
      <c r="E31" s="221"/>
      <c r="F31" s="183"/>
      <c r="H31" s="179"/>
      <c r="I31" s="205"/>
      <c r="J31" s="227"/>
      <c r="K31" s="228"/>
    </row>
    <row r="32" spans="1:13" ht="13.15" x14ac:dyDescent="0.25">
      <c r="A32" s="179" t="s">
        <v>53</v>
      </c>
      <c r="B32" s="205"/>
      <c r="C32" s="575"/>
      <c r="D32" s="205"/>
      <c r="E32" s="1289">
        <f>E30*(1+C32)</f>
        <v>68514.997698042935</v>
      </c>
      <c r="F32" s="770"/>
      <c r="H32" s="179" t="s">
        <v>39</v>
      </c>
      <c r="I32" s="205"/>
      <c r="J32" s="230">
        <f>6.58*(5.39%+1)*(2.04%+1)</f>
        <v>7.0761291048000006</v>
      </c>
      <c r="K32" s="206" t="s">
        <v>82</v>
      </c>
    </row>
    <row r="33" spans="1:15" ht="13.15" x14ac:dyDescent="0.25">
      <c r="A33" s="179"/>
      <c r="B33" s="205"/>
      <c r="C33" s="205"/>
      <c r="D33" s="205"/>
      <c r="E33" s="221"/>
      <c r="F33" s="183"/>
      <c r="H33" s="179" t="s">
        <v>40</v>
      </c>
      <c r="I33" s="205"/>
      <c r="J33" s="230">
        <f>12.89*(5.39%+1)*(2.04%+1)</f>
        <v>13.861900328400001</v>
      </c>
      <c r="K33" s="206" t="s">
        <v>70</v>
      </c>
      <c r="O33" s="231"/>
    </row>
    <row r="34" spans="1:15" ht="13.15" x14ac:dyDescent="0.25">
      <c r="A34" s="179"/>
      <c r="B34" s="205"/>
      <c r="C34" s="205"/>
      <c r="D34" s="205"/>
      <c r="E34" s="1069" t="s">
        <v>56</v>
      </c>
      <c r="F34" s="397"/>
      <c r="H34" s="232" t="s">
        <v>43</v>
      </c>
      <c r="I34" s="211"/>
      <c r="J34" s="233">
        <f>SUM(J32:J33)</f>
        <v>20.938029433200001</v>
      </c>
      <c r="K34" s="234"/>
    </row>
    <row r="35" spans="1:15" ht="13.15" x14ac:dyDescent="0.25">
      <c r="A35" s="179" t="s">
        <v>55</v>
      </c>
      <c r="B35" s="205"/>
      <c r="C35" s="205"/>
      <c r="D35" s="1290"/>
      <c r="E35" s="1291">
        <f>E32/E8</f>
        <v>62.570774153463866</v>
      </c>
      <c r="F35" s="1293"/>
      <c r="H35" s="179"/>
      <c r="I35" s="205"/>
      <c r="J35" s="205"/>
      <c r="K35" s="221"/>
    </row>
    <row r="36" spans="1:15" ht="13.15" x14ac:dyDescent="0.25">
      <c r="A36" s="1080" t="s">
        <v>762</v>
      </c>
      <c r="B36" s="183"/>
      <c r="C36" s="1292"/>
      <c r="D36" s="1293"/>
      <c r="E36" s="1294">
        <f>E35</f>
        <v>62.570774153463866</v>
      </c>
      <c r="F36" s="1293"/>
      <c r="H36" s="179" t="s">
        <v>44</v>
      </c>
      <c r="I36" s="205"/>
      <c r="J36" s="222">
        <f>'Group Home'!$Q$55</f>
        <v>0.11846733793705286</v>
      </c>
      <c r="K36" s="223"/>
    </row>
    <row r="37" spans="1:15" ht="13.9" thickBot="1" x14ac:dyDescent="0.3">
      <c r="A37" s="78" t="s">
        <v>54</v>
      </c>
      <c r="B37" s="1167">
        <v>0.9</v>
      </c>
      <c r="C37" s="1168"/>
      <c r="D37" s="1399">
        <f>E30/(E8*B37)</f>
        <v>69.523082392737635</v>
      </c>
      <c r="E37" s="1400">
        <f>E35/B37</f>
        <v>69.523082392737621</v>
      </c>
      <c r="F37" s="1296"/>
      <c r="H37" s="179"/>
      <c r="I37" s="205"/>
      <c r="J37" s="205"/>
      <c r="K37" s="221"/>
    </row>
    <row r="38" spans="1:15" ht="13.9" thickBot="1" x14ac:dyDescent="0.3">
      <c r="A38" s="1373" t="s">
        <v>830</v>
      </c>
      <c r="B38" s="1381"/>
      <c r="C38" s="1394">
        <f>J38</f>
        <v>2.3900000000000001E-2</v>
      </c>
      <c r="D38" s="1401"/>
      <c r="E38" s="1279">
        <f>E37*(C38+1)</f>
        <v>71.184684061924045</v>
      </c>
      <c r="F38" s="778"/>
      <c r="H38" s="239" t="s">
        <v>824</v>
      </c>
      <c r="I38" s="240"/>
      <c r="J38" s="241">
        <v>2.3900000000000001E-2</v>
      </c>
      <c r="K38" s="242" t="s">
        <v>64</v>
      </c>
    </row>
    <row r="39" spans="1:15" ht="13.15" x14ac:dyDescent="0.25">
      <c r="A39" s="238"/>
      <c r="B39" s="785"/>
      <c r="C39" s="786"/>
      <c r="D39" s="787"/>
      <c r="E39" s="808"/>
      <c r="F39" s="778"/>
      <c r="H39" s="63" t="s">
        <v>50</v>
      </c>
      <c r="I39" s="64" t="s">
        <v>46</v>
      </c>
    </row>
    <row r="40" spans="1:15" ht="13.9" x14ac:dyDescent="0.3">
      <c r="H40" s="181" t="s">
        <v>237</v>
      </c>
      <c r="L40" s="243"/>
    </row>
    <row r="41" spans="1:15" ht="13.15" x14ac:dyDescent="0.25">
      <c r="H41" s="177" t="s">
        <v>238</v>
      </c>
    </row>
    <row r="42" spans="1:15" ht="13.15" x14ac:dyDescent="0.25">
      <c r="H42" s="177" t="s">
        <v>239</v>
      </c>
    </row>
    <row r="43" spans="1:15" ht="13.15" x14ac:dyDescent="0.25">
      <c r="H43" s="54" t="s">
        <v>48</v>
      </c>
    </row>
    <row r="45" spans="1:15" ht="13.15" x14ac:dyDescent="0.25">
      <c r="H45" s="55" t="s">
        <v>49</v>
      </c>
    </row>
    <row r="46" spans="1:15" ht="13.15" x14ac:dyDescent="0.25">
      <c r="H46" s="151" t="s">
        <v>240</v>
      </c>
    </row>
    <row r="47" spans="1:15" ht="13.15" x14ac:dyDescent="0.25">
      <c r="H47" s="151" t="s">
        <v>241</v>
      </c>
    </row>
    <row r="48" spans="1:15" ht="13.15" x14ac:dyDescent="0.25">
      <c r="H48" s="151" t="s">
        <v>242</v>
      </c>
    </row>
    <row r="49" spans="8:12" ht="13.15" x14ac:dyDescent="0.25">
      <c r="H49" s="151" t="s">
        <v>243</v>
      </c>
    </row>
    <row r="50" spans="8:12" ht="13.15" x14ac:dyDescent="0.25">
      <c r="H50" s="151" t="s">
        <v>244</v>
      </c>
      <c r="L50" s="151"/>
    </row>
    <row r="51" spans="8:12" ht="13.15" x14ac:dyDescent="0.25">
      <c r="L51" s="151"/>
    </row>
  </sheetData>
  <mergeCells count="3">
    <mergeCell ref="H1:K1"/>
    <mergeCell ref="I3:J3"/>
    <mergeCell ref="A7:E7"/>
  </mergeCells>
  <phoneticPr fontId="29" type="noConversion"/>
  <pageMargins left="0.7" right="0.7" top="0.75" bottom="0.75" header="0.3" footer="0.3"/>
  <pageSetup fitToHeight="0" orientation="landscape" r:id="rId1"/>
  <headerFooter>
    <oddFooter>&amp;R
&amp;A
Caring Together rate review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13" sqref="I13"/>
    </sheetView>
  </sheetViews>
  <sheetFormatPr defaultColWidth="8.85546875" defaultRowHeight="12.75" x14ac:dyDescent="0.2"/>
  <cols>
    <col min="1" max="1" width="34.7109375" style="830" customWidth="1"/>
    <col min="2" max="2" width="34.28515625" style="830" bestFit="1" customWidth="1"/>
    <col min="3" max="3" width="29.5703125" style="830" hidden="1" customWidth="1"/>
    <col min="4" max="4" width="28" style="830" customWidth="1"/>
    <col min="5" max="5" width="15.7109375" style="830" customWidth="1"/>
    <col min="6" max="6" width="2.7109375" style="830" hidden="1" customWidth="1"/>
    <col min="7" max="7" width="15.85546875" style="830" customWidth="1"/>
    <col min="8" max="8" width="11.7109375" style="830" customWidth="1"/>
    <col min="9" max="9" width="13.28515625" style="830" bestFit="1" customWidth="1"/>
    <col min="10" max="10" width="10.5703125" style="830" bestFit="1" customWidth="1"/>
    <col min="11" max="11" width="18.85546875" style="830" customWidth="1"/>
    <col min="12" max="16384" width="8.85546875" style="830"/>
  </cols>
  <sheetData>
    <row r="1" spans="1:11" ht="13.15" x14ac:dyDescent="0.25">
      <c r="A1" s="830" t="s">
        <v>666</v>
      </c>
      <c r="B1" s="830" t="s">
        <v>682</v>
      </c>
      <c r="C1" s="830" t="s">
        <v>683</v>
      </c>
      <c r="D1" s="830" t="s">
        <v>684</v>
      </c>
      <c r="G1" s="830" t="s">
        <v>753</v>
      </c>
      <c r="I1" s="830" t="s">
        <v>754</v>
      </c>
      <c r="K1" s="830" t="s">
        <v>755</v>
      </c>
    </row>
    <row r="2" spans="1:11" ht="13.15" x14ac:dyDescent="0.25">
      <c r="A2" s="830" t="s">
        <v>685</v>
      </c>
      <c r="B2" s="831">
        <v>17663957.858666662</v>
      </c>
      <c r="C2" s="831">
        <v>17917962.822666664</v>
      </c>
      <c r="D2" s="831">
        <v>17818046.116</v>
      </c>
      <c r="G2" s="944">
        <f>AVERAGE('DCF Fiscal Impact'!P32:P36)</f>
        <v>-0.38021981167248481</v>
      </c>
      <c r="I2" s="831">
        <f>B2*G2</f>
        <v>-6716186.7304129461</v>
      </c>
      <c r="K2" s="831">
        <f>B2+I2</f>
        <v>10947771.128253717</v>
      </c>
    </row>
    <row r="3" spans="1:11" ht="13.15" x14ac:dyDescent="0.25">
      <c r="A3" s="830" t="s">
        <v>686</v>
      </c>
      <c r="B3" s="831">
        <v>3449126.3307502382</v>
      </c>
      <c r="C3" s="831">
        <v>3509908.6768743959</v>
      </c>
      <c r="D3" s="831">
        <v>3486951.9416854652</v>
      </c>
      <c r="G3" s="944" t="e">
        <f>AVERAGE('DCF Fiscal Impact'!P12:P24)</f>
        <v>#REF!</v>
      </c>
      <c r="I3" s="831" t="e">
        <f t="shared" ref="I3:I6" si="0">B3*G3</f>
        <v>#REF!</v>
      </c>
      <c r="K3" s="831" t="e">
        <f t="shared" ref="K3:K6" si="1">B3+I3</f>
        <v>#REF!</v>
      </c>
    </row>
    <row r="4" spans="1:11" ht="13.15" x14ac:dyDescent="0.25">
      <c r="A4" s="830" t="s">
        <v>258</v>
      </c>
      <c r="B4" s="831">
        <v>932841.33000000007</v>
      </c>
      <c r="C4" s="831">
        <v>967327.64304</v>
      </c>
      <c r="D4" s="831">
        <v>943066.92282000021</v>
      </c>
      <c r="G4" s="944">
        <f>AVERAGE('DCF Fiscal Impact'!P6:P9)</f>
        <v>7.1965196389137287E-2</v>
      </c>
      <c r="I4" s="831">
        <f t="shared" si="0"/>
        <v>67132.109513354037</v>
      </c>
      <c r="K4" s="831">
        <f t="shared" si="1"/>
        <v>999973.4395133541</v>
      </c>
    </row>
    <row r="5" spans="1:11" ht="13.15" x14ac:dyDescent="0.25">
      <c r="A5" s="830" t="s">
        <v>687</v>
      </c>
      <c r="B5" s="831">
        <v>867630.78</v>
      </c>
      <c r="C5" s="831">
        <v>876817.57340400002</v>
      </c>
      <c r="D5" s="831">
        <v>876817.57340400002</v>
      </c>
      <c r="G5" s="944">
        <f>'CAF Spring 2015'!BC24</f>
        <v>2.0354406130268236E-2</v>
      </c>
      <c r="I5" s="831">
        <f t="shared" si="0"/>
        <v>17660.109267241412</v>
      </c>
      <c r="K5" s="831">
        <f t="shared" si="1"/>
        <v>885290.88926724147</v>
      </c>
    </row>
    <row r="6" spans="1:11" ht="13.9" thickBot="1" x14ac:dyDescent="0.3">
      <c r="A6" s="830" t="s">
        <v>688</v>
      </c>
      <c r="B6" s="831">
        <v>957387.40922851558</v>
      </c>
      <c r="C6" s="831">
        <v>967272.62293277727</v>
      </c>
      <c r="D6" s="831">
        <v>967272.62293277727</v>
      </c>
      <c r="G6" s="944">
        <f>'CAF Spring 2015'!BC24</f>
        <v>2.0354406130268236E-2</v>
      </c>
      <c r="I6" s="946">
        <f t="shared" si="0"/>
        <v>19487.05215144252</v>
      </c>
      <c r="K6" s="946">
        <f t="shared" si="1"/>
        <v>976874.46137995808</v>
      </c>
    </row>
    <row r="7" spans="1:11" ht="13.9" thickTop="1" x14ac:dyDescent="0.25">
      <c r="A7" s="830" t="s">
        <v>667</v>
      </c>
      <c r="B7" s="831">
        <v>23870943.708645415</v>
      </c>
      <c r="C7" s="831">
        <v>24239289.338917837</v>
      </c>
      <c r="D7" s="831">
        <v>24092155.176842239</v>
      </c>
      <c r="I7" s="831" t="e">
        <f>SUM(I2:I6)</f>
        <v>#REF!</v>
      </c>
      <c r="K7" s="951" t="e">
        <f>SUM(K2:K6)</f>
        <v>#REF!</v>
      </c>
    </row>
    <row r="8" spans="1:11" ht="13.15" x14ac:dyDescent="0.25">
      <c r="I8" s="831"/>
    </row>
    <row r="12" spans="1:11" ht="13.9" thickBot="1" x14ac:dyDescent="0.3"/>
    <row r="13" spans="1:11" ht="48.6" thickBot="1" x14ac:dyDescent="0.3">
      <c r="A13" s="832" t="s">
        <v>689</v>
      </c>
      <c r="B13" s="833" t="s">
        <v>682</v>
      </c>
      <c r="C13" s="834"/>
      <c r="D13" s="833" t="s">
        <v>690</v>
      </c>
      <c r="E13" s="833" t="s">
        <v>691</v>
      </c>
      <c r="F13" s="835"/>
      <c r="G13" s="833" t="s">
        <v>692</v>
      </c>
      <c r="H13" s="836"/>
      <c r="I13" s="837"/>
    </row>
    <row r="14" spans="1:11" ht="13.15" x14ac:dyDescent="0.25">
      <c r="A14" s="838" t="s">
        <v>258</v>
      </c>
      <c r="B14" s="839">
        <v>932841.33000000007</v>
      </c>
      <c r="C14" s="840"/>
      <c r="D14" s="839">
        <f>D4-B14</f>
        <v>10225.592820000136</v>
      </c>
      <c r="E14" s="839">
        <f>C4-B14</f>
        <v>34486.313039999921</v>
      </c>
      <c r="F14" s="840"/>
      <c r="G14" s="839">
        <f>I4</f>
        <v>67132.109513354037</v>
      </c>
      <c r="H14" s="836"/>
      <c r="I14" s="837"/>
      <c r="J14" s="651"/>
    </row>
    <row r="15" spans="1:11" ht="13.15" x14ac:dyDescent="0.25">
      <c r="A15" s="841" t="s">
        <v>260</v>
      </c>
      <c r="B15" s="842">
        <v>3449126.3307502382</v>
      </c>
      <c r="C15" s="840"/>
      <c r="D15" s="842">
        <f>D3-B15</f>
        <v>37825.610935227014</v>
      </c>
      <c r="E15" s="842">
        <f>C3-B15</f>
        <v>60782.346124157775</v>
      </c>
      <c r="F15" s="840"/>
      <c r="G15" s="842" t="e">
        <f>I3</f>
        <v>#REF!</v>
      </c>
      <c r="H15" s="836"/>
      <c r="I15" s="837"/>
      <c r="J15" s="651"/>
    </row>
    <row r="16" spans="1:11" ht="13.15" x14ac:dyDescent="0.25">
      <c r="A16" s="841" t="s">
        <v>309</v>
      </c>
      <c r="B16" s="842">
        <v>17663957.858666662</v>
      </c>
      <c r="C16" s="840"/>
      <c r="D16" s="842">
        <f>D2-B16</f>
        <v>154088.25733333826</v>
      </c>
      <c r="E16" s="842">
        <f>C2-B16</f>
        <v>254004.96400000155</v>
      </c>
      <c r="F16" s="840"/>
      <c r="G16" s="842">
        <f>I2</f>
        <v>-6716186.7304129461</v>
      </c>
      <c r="H16" s="836"/>
      <c r="I16" s="837"/>
      <c r="J16" s="651"/>
    </row>
    <row r="17" spans="1:10" ht="13.15" x14ac:dyDescent="0.25">
      <c r="A17" s="841" t="s">
        <v>687</v>
      </c>
      <c r="B17" s="842">
        <v>867630.78</v>
      </c>
      <c r="C17" s="840"/>
      <c r="D17" s="842">
        <f>D5-B17</f>
        <v>9186.7934039999964</v>
      </c>
      <c r="E17" s="842">
        <f>C5-B17</f>
        <v>9186.7934039999964</v>
      </c>
      <c r="F17" s="840"/>
      <c r="G17" s="842">
        <f>I5</f>
        <v>17660.109267241412</v>
      </c>
      <c r="H17" s="836"/>
      <c r="I17" s="837"/>
      <c r="J17" s="651"/>
    </row>
    <row r="18" spans="1:10" ht="13.15" x14ac:dyDescent="0.25">
      <c r="A18" s="841" t="s">
        <v>688</v>
      </c>
      <c r="B18" s="842">
        <v>957387.40922851558</v>
      </c>
      <c r="C18" s="840"/>
      <c r="D18" s="842">
        <f>D6-B18</f>
        <v>9885.213704261696</v>
      </c>
      <c r="E18" s="842">
        <f>C6-B18</f>
        <v>9885.213704261696</v>
      </c>
      <c r="F18" s="840"/>
      <c r="G18" s="842">
        <f>I6</f>
        <v>19487.05215144252</v>
      </c>
      <c r="H18" s="836"/>
      <c r="I18" s="837"/>
      <c r="J18" s="651"/>
    </row>
    <row r="19" spans="1:10" ht="13.15" x14ac:dyDescent="0.25">
      <c r="A19" s="843"/>
      <c r="B19" s="844"/>
      <c r="C19" s="837"/>
      <c r="D19" s="844"/>
      <c r="E19" s="844"/>
      <c r="F19" s="837"/>
      <c r="G19" s="844"/>
      <c r="H19" s="837"/>
      <c r="I19" s="837"/>
    </row>
    <row r="20" spans="1:10" ht="14.45" x14ac:dyDescent="0.3">
      <c r="A20" s="837"/>
      <c r="B20" s="845">
        <v>23870943.708645415</v>
      </c>
      <c r="C20" s="837"/>
      <c r="D20" s="846">
        <f>SUM(D14:D18)</f>
        <v>221211.4681968271</v>
      </c>
      <c r="E20" s="846">
        <f>SUM(E14:E18)</f>
        <v>368345.63027242094</v>
      </c>
      <c r="F20" s="846"/>
      <c r="G20" s="952" t="e">
        <f>SUM(G14:G18)</f>
        <v>#REF!</v>
      </c>
      <c r="H20" s="837"/>
      <c r="I20" s="837"/>
    </row>
    <row r="21" spans="1:10" ht="13.15" x14ac:dyDescent="0.25">
      <c r="A21" s="837"/>
      <c r="B21" s="845"/>
      <c r="C21" s="837"/>
      <c r="D21" s="845"/>
      <c r="E21" s="845"/>
      <c r="F21" s="845"/>
      <c r="G21" s="845"/>
      <c r="H21" s="837"/>
      <c r="I21" s="837"/>
    </row>
    <row r="22" spans="1:10" ht="13.15" x14ac:dyDescent="0.25">
      <c r="A22" s="837"/>
      <c r="B22" s="845"/>
      <c r="C22" s="837"/>
      <c r="D22" s="845"/>
      <c r="E22" s="845"/>
      <c r="F22" s="845"/>
      <c r="G22" s="845"/>
      <c r="H22" s="837"/>
      <c r="I22" s="837"/>
    </row>
    <row r="23" spans="1:10" ht="13.15" x14ac:dyDescent="0.25">
      <c r="A23" s="837"/>
      <c r="B23" s="845"/>
      <c r="C23" s="837"/>
      <c r="D23" s="845"/>
      <c r="E23" s="845"/>
      <c r="F23" s="845"/>
      <c r="G23" s="845"/>
      <c r="H23" s="837"/>
      <c r="I23" s="837"/>
    </row>
    <row r="24" spans="1:10" ht="13.15" x14ac:dyDescent="0.25">
      <c r="A24" s="837"/>
      <c r="B24" s="837"/>
      <c r="C24" s="837"/>
      <c r="D24" s="845"/>
      <c r="E24" s="845"/>
      <c r="F24" s="837"/>
      <c r="G24" s="837"/>
      <c r="H24" s="837"/>
      <c r="I24" s="837"/>
    </row>
    <row r="25" spans="1:10" ht="13.9" x14ac:dyDescent="0.3">
      <c r="A25" s="847" t="s">
        <v>693</v>
      </c>
      <c r="B25" s="848"/>
      <c r="C25" s="849"/>
      <c r="D25" s="848"/>
      <c r="E25" s="848"/>
      <c r="F25" s="849"/>
      <c r="G25" s="848"/>
      <c r="H25" s="850"/>
      <c r="I25" s="850"/>
    </row>
    <row r="26" spans="1:10" ht="13.15" x14ac:dyDescent="0.25">
      <c r="A26" s="851"/>
      <c r="B26" s="852" t="s">
        <v>694</v>
      </c>
      <c r="C26" s="853"/>
      <c r="D26" s="852" t="s">
        <v>695</v>
      </c>
      <c r="E26" s="852" t="s">
        <v>696</v>
      </c>
      <c r="F26" s="853"/>
      <c r="G26" s="852" t="s">
        <v>697</v>
      </c>
      <c r="H26" s="852" t="s">
        <v>698</v>
      </c>
      <c r="I26" s="852" t="s">
        <v>699</v>
      </c>
    </row>
    <row r="27" spans="1:10" ht="13.15" x14ac:dyDescent="0.25">
      <c r="A27" s="841" t="s">
        <v>700</v>
      </c>
      <c r="B27" s="842">
        <v>221515.67</v>
      </c>
      <c r="C27" s="840"/>
      <c r="D27" s="842">
        <v>224050.67625000002</v>
      </c>
      <c r="E27" s="842">
        <v>222328.03875000001</v>
      </c>
      <c r="F27" s="840"/>
      <c r="G27" s="842">
        <v>224884.20874999999</v>
      </c>
      <c r="H27" s="842">
        <v>231550.285</v>
      </c>
      <c r="I27" s="842">
        <v>167408.60999999999</v>
      </c>
    </row>
    <row r="28" spans="1:10" ht="14.45" x14ac:dyDescent="0.3">
      <c r="A28" s="841" t="s">
        <v>701</v>
      </c>
      <c r="B28" s="854">
        <v>239645</v>
      </c>
      <c r="C28" s="840"/>
      <c r="D28" s="854">
        <v>239645</v>
      </c>
      <c r="E28" s="854">
        <v>239645</v>
      </c>
      <c r="F28" s="840"/>
      <c r="G28" s="854">
        <v>239645</v>
      </c>
      <c r="H28" s="854">
        <v>245908</v>
      </c>
      <c r="I28" s="854">
        <v>211523</v>
      </c>
    </row>
    <row r="29" spans="1:10" ht="13.15" x14ac:dyDescent="0.25">
      <c r="A29" s="855"/>
      <c r="B29" s="856"/>
      <c r="C29" s="837"/>
      <c r="D29" s="856"/>
      <c r="E29" s="856"/>
      <c r="F29" s="837"/>
      <c r="G29" s="856"/>
      <c r="H29" s="856"/>
      <c r="I29" s="856"/>
    </row>
    <row r="30" spans="1:10" ht="13.15" x14ac:dyDescent="0.25">
      <c r="A30" s="841" t="s">
        <v>702</v>
      </c>
      <c r="B30" s="842">
        <v>2958888.94</v>
      </c>
      <c r="C30" s="840"/>
      <c r="D30" s="842">
        <v>2958888.94</v>
      </c>
      <c r="E30" s="842">
        <v>2979972</v>
      </c>
      <c r="F30" s="840"/>
      <c r="G30" s="842">
        <v>2979972</v>
      </c>
      <c r="H30" s="842">
        <v>2979972</v>
      </c>
      <c r="I30" s="842">
        <v>2538200.4</v>
      </c>
    </row>
    <row r="31" spans="1:10" ht="13.15" x14ac:dyDescent="0.25">
      <c r="A31" s="841" t="s">
        <v>703</v>
      </c>
      <c r="B31" s="842">
        <v>2875740</v>
      </c>
      <c r="C31" s="840"/>
      <c r="D31" s="842">
        <v>2875740</v>
      </c>
      <c r="E31" s="842">
        <v>2875740</v>
      </c>
      <c r="F31" s="840"/>
      <c r="G31" s="842">
        <v>2875740</v>
      </c>
      <c r="H31" s="842">
        <v>2950896</v>
      </c>
      <c r="I31" s="842">
        <v>2538276</v>
      </c>
    </row>
    <row r="32" spans="1:10" ht="13.9" x14ac:dyDescent="0.3">
      <c r="A32" s="857" t="s">
        <v>704</v>
      </c>
      <c r="B32" s="842">
        <v>-83148.939999999944</v>
      </c>
      <c r="C32" s="858"/>
      <c r="D32" s="842">
        <v>-83148.939999999944</v>
      </c>
      <c r="E32" s="842">
        <v>-104232</v>
      </c>
      <c r="F32" s="858"/>
      <c r="G32" s="842">
        <v>-104232</v>
      </c>
      <c r="H32" s="842">
        <v>-29076</v>
      </c>
      <c r="I32" s="842">
        <v>75.600000000093132</v>
      </c>
    </row>
    <row r="33" spans="1:9" ht="13.15" x14ac:dyDescent="0.25">
      <c r="A33" s="859"/>
      <c r="B33" s="859"/>
      <c r="C33" s="849"/>
      <c r="D33" s="859"/>
      <c r="E33" s="859"/>
      <c r="F33" s="849"/>
      <c r="G33" s="859"/>
      <c r="H33" s="843"/>
      <c r="I33" s="843"/>
    </row>
    <row r="34" spans="1:9" ht="13.9" x14ac:dyDescent="0.3">
      <c r="A34" s="847" t="s">
        <v>705</v>
      </c>
      <c r="B34" s="849"/>
      <c r="C34" s="849"/>
      <c r="D34" s="849"/>
      <c r="E34" s="849"/>
      <c r="F34" s="849"/>
      <c r="G34" s="849"/>
      <c r="H34" s="837"/>
      <c r="I34" s="837"/>
    </row>
    <row r="35" spans="1:9" ht="13.15" x14ac:dyDescent="0.25">
      <c r="A35" s="837"/>
      <c r="B35" s="837"/>
      <c r="C35" s="837"/>
      <c r="D35" s="837"/>
      <c r="E35" s="837"/>
      <c r="F35" s="837"/>
      <c r="G35" s="837"/>
      <c r="H35" s="837"/>
      <c r="I35" s="837"/>
    </row>
    <row r="39" spans="1:9" ht="13.15" hidden="1" x14ac:dyDescent="0.25">
      <c r="C39" s="830" t="s">
        <v>666</v>
      </c>
      <c r="D39" s="830" t="s">
        <v>706</v>
      </c>
      <c r="E39" s="830" t="s">
        <v>707</v>
      </c>
    </row>
    <row r="40" spans="1:9" ht="14.45" hidden="1" x14ac:dyDescent="0.3">
      <c r="A40" s="830" t="s">
        <v>685</v>
      </c>
      <c r="C40" s="830" t="s">
        <v>309</v>
      </c>
      <c r="D40" s="860">
        <v>17369704.109256119</v>
      </c>
      <c r="E40" s="860">
        <v>18490859.850000001</v>
      </c>
      <c r="G40" s="651">
        <f>(E40-D40)/D40</f>
        <v>6.4546622883830923E-2</v>
      </c>
    </row>
    <row r="41" spans="1:9" ht="14.45" hidden="1" x14ac:dyDescent="0.3">
      <c r="A41" s="830" t="s">
        <v>686</v>
      </c>
      <c r="C41" s="830" t="s">
        <v>260</v>
      </c>
      <c r="D41" s="860">
        <v>3377479.2935757325</v>
      </c>
      <c r="E41" s="860">
        <v>3262034.1999999997</v>
      </c>
      <c r="G41" s="651">
        <f t="shared" ref="G41:G42" si="2">(E41-D41)/D41</f>
        <v>-3.4180844215779403E-2</v>
      </c>
    </row>
    <row r="42" spans="1:9" ht="14.45" hidden="1" x14ac:dyDescent="0.3">
      <c r="A42" s="830" t="s">
        <v>258</v>
      </c>
      <c r="C42" s="830" t="s">
        <v>258</v>
      </c>
      <c r="D42" s="860">
        <v>1041066.0928919478</v>
      </c>
      <c r="E42" s="860">
        <v>1168554.8</v>
      </c>
      <c r="G42" s="651">
        <f t="shared" si="2"/>
        <v>0.1224597631010198</v>
      </c>
    </row>
    <row r="43" spans="1:9" ht="14.45" hidden="1" x14ac:dyDescent="0.3">
      <c r="A43" s="861" t="s">
        <v>687</v>
      </c>
      <c r="B43" s="861"/>
      <c r="C43" s="861" t="s">
        <v>708</v>
      </c>
      <c r="D43" s="862">
        <v>876700.58695927565</v>
      </c>
      <c r="E43" s="862">
        <v>1028139.3</v>
      </c>
      <c r="G43" s="651">
        <f>(E43-D43)/D43</f>
        <v>0.1727370955299235</v>
      </c>
    </row>
    <row r="44" spans="1:9" ht="15" hidden="1" thickBot="1" x14ac:dyDescent="0.35">
      <c r="A44" s="863" t="s">
        <v>688</v>
      </c>
      <c r="B44" s="863"/>
      <c r="C44" s="863" t="s">
        <v>688</v>
      </c>
      <c r="D44" s="864">
        <v>986033.53688913595</v>
      </c>
      <c r="E44" s="864">
        <v>1111282.6500000001</v>
      </c>
      <c r="G44" s="651">
        <f>(E44-D44)/D44</f>
        <v>0.12702317763553561</v>
      </c>
    </row>
    <row r="45" spans="1:9" ht="15" hidden="1" thickTop="1" x14ac:dyDescent="0.3">
      <c r="A45" s="830" t="s">
        <v>667</v>
      </c>
      <c r="C45" s="830" t="s">
        <v>667</v>
      </c>
      <c r="D45" s="860">
        <v>23650983.619572211</v>
      </c>
      <c r="E45" s="860">
        <v>25060870.800000001</v>
      </c>
      <c r="G45" s="945"/>
    </row>
    <row r="46" spans="1:9" ht="13.15" hidden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I6" sqref="I6"/>
    </sheetView>
  </sheetViews>
  <sheetFormatPr defaultRowHeight="15" x14ac:dyDescent="0.25"/>
  <cols>
    <col min="1" max="1" width="43.5703125" style="560" customWidth="1"/>
    <col min="2" max="3" width="10.7109375" customWidth="1"/>
    <col min="4" max="4" width="13.42578125" customWidth="1"/>
    <col min="5" max="7" width="0" hidden="1" customWidth="1"/>
    <col min="8" max="8" width="11" bestFit="1" customWidth="1"/>
    <col min="9" max="9" width="101.28515625" style="827" customWidth="1"/>
  </cols>
  <sheetData>
    <row r="1" spans="1:17" ht="55.15" customHeight="1" x14ac:dyDescent="0.3">
      <c r="A1" s="680" t="s">
        <v>525</v>
      </c>
      <c r="B1" s="680" t="s">
        <v>526</v>
      </c>
      <c r="C1" s="680" t="s">
        <v>527</v>
      </c>
      <c r="D1" s="680" t="s">
        <v>669</v>
      </c>
      <c r="E1" s="680" t="s">
        <v>555</v>
      </c>
      <c r="H1" s="680" t="s">
        <v>673</v>
      </c>
      <c r="I1" s="1425" t="s">
        <v>679</v>
      </c>
      <c r="J1" s="1425"/>
      <c r="K1" s="1425"/>
      <c r="L1" s="1425"/>
      <c r="M1" s="1425"/>
      <c r="N1" s="1425"/>
      <c r="O1" s="1425"/>
      <c r="P1" s="1425"/>
      <c r="Q1" s="1425"/>
    </row>
    <row r="2" spans="1:17" ht="14.45" x14ac:dyDescent="0.3">
      <c r="A2" s="560" t="s">
        <v>528</v>
      </c>
      <c r="B2" s="682">
        <f>CIRT!E48</f>
        <v>579.72173178399066</v>
      </c>
      <c r="C2" s="682">
        <f>CIRT!F48</f>
        <v>591.52162335526441</v>
      </c>
      <c r="D2" s="683">
        <f>CIRT!M47</f>
        <v>212276</v>
      </c>
      <c r="E2" t="s">
        <v>556</v>
      </c>
      <c r="H2" s="825">
        <f>'CIRT (rebased)'!M47</f>
        <v>212245</v>
      </c>
      <c r="I2" s="829" t="s">
        <v>674</v>
      </c>
    </row>
    <row r="3" spans="1:17" ht="28.9" x14ac:dyDescent="0.3">
      <c r="A3" s="560" t="s">
        <v>529</v>
      </c>
      <c r="B3" s="682">
        <f>'Group Home'!E46</f>
        <v>324.69932507240469</v>
      </c>
      <c r="C3" s="682">
        <f>'Group Home'!F46</f>
        <v>331.30838700515244</v>
      </c>
      <c r="D3" s="682">
        <f>'Group Home'!L46</f>
        <v>334.96166008409557</v>
      </c>
      <c r="H3" s="826">
        <f>'Group Home (rebased)'!L46</f>
        <v>335.73658395920756</v>
      </c>
      <c r="I3" s="829" t="s">
        <v>675</v>
      </c>
    </row>
    <row r="4" spans="1:17" ht="28.9" x14ac:dyDescent="0.3">
      <c r="A4" s="560" t="s">
        <v>530</v>
      </c>
      <c r="B4" s="682">
        <f>'Group Home'!E89</f>
        <v>272.34164056800336</v>
      </c>
      <c r="C4" s="682">
        <f>'Group Home'!F89</f>
        <v>277.88499292630797</v>
      </c>
      <c r="D4" s="682">
        <f>'Group Home'!L89</f>
        <v>281.53826600525116</v>
      </c>
      <c r="H4" s="826">
        <f>'Group Home (rebased)'!L89</f>
        <v>282.31260516675383</v>
      </c>
      <c r="I4" s="829" t="s">
        <v>675</v>
      </c>
    </row>
    <row r="5" spans="1:17" ht="14.45" x14ac:dyDescent="0.3">
      <c r="A5" s="560" t="s">
        <v>557</v>
      </c>
      <c r="B5" s="682">
        <f>'Group Home'!E130</f>
        <v>186.61375764818357</v>
      </c>
      <c r="C5" s="682">
        <f>'Group Home'!F130</f>
        <v>190.41216986085013</v>
      </c>
      <c r="D5" s="682">
        <f>'Group Home'!L130</f>
        <v>241.77780133113239</v>
      </c>
      <c r="H5" s="953">
        <f>'Group Home (rebased)'!L130</f>
        <v>241.78009637919018</v>
      </c>
      <c r="I5" s="828" t="s">
        <v>672</v>
      </c>
    </row>
    <row r="6" spans="1:17" ht="14.45" x14ac:dyDescent="0.3">
      <c r="A6" s="560" t="s">
        <v>531</v>
      </c>
      <c r="B6" s="682">
        <f>'Group Home'!E167</f>
        <v>101.56129404855095</v>
      </c>
      <c r="C6" s="682">
        <f>'Group Home'!F167</f>
        <v>103.62851387473076</v>
      </c>
      <c r="D6" s="682">
        <f>'Group Home'!F167</f>
        <v>103.62851387473076</v>
      </c>
      <c r="H6" s="682">
        <f>D6</f>
        <v>103.62851387473076</v>
      </c>
      <c r="I6" s="828" t="s">
        <v>672</v>
      </c>
    </row>
    <row r="7" spans="1:17" ht="14.45" x14ac:dyDescent="0.3">
      <c r="A7" s="560" t="s">
        <v>532</v>
      </c>
      <c r="B7" s="682">
        <f>IRTP!E48</f>
        <v>542.79533471434024</v>
      </c>
      <c r="C7" s="682">
        <f>IRTP!F48</f>
        <v>553.84</v>
      </c>
      <c r="D7" s="684"/>
      <c r="H7" s="682"/>
      <c r="I7" s="828"/>
    </row>
    <row r="8" spans="1:17" ht="14.45" x14ac:dyDescent="0.3">
      <c r="A8" s="560" t="s">
        <v>558</v>
      </c>
      <c r="B8" s="684"/>
      <c r="C8" s="684"/>
      <c r="D8" s="683">
        <f>IRTP!M48</f>
        <v>239645</v>
      </c>
      <c r="E8" t="s">
        <v>556</v>
      </c>
      <c r="H8" s="825">
        <f>'IRTP (rebased)'!M48</f>
        <v>240677</v>
      </c>
      <c r="I8" s="829" t="s">
        <v>676</v>
      </c>
    </row>
    <row r="9" spans="1:17" ht="14.45" x14ac:dyDescent="0.3">
      <c r="A9" s="560" t="s">
        <v>559</v>
      </c>
      <c r="B9" s="684"/>
      <c r="C9" s="684"/>
      <c r="D9" s="683">
        <f>IRTP!T48</f>
        <v>245908</v>
      </c>
      <c r="E9" t="s">
        <v>556</v>
      </c>
      <c r="H9" s="825">
        <f>'IRTP (rebased)'!T48</f>
        <v>246940</v>
      </c>
      <c r="I9" s="829" t="s">
        <v>674</v>
      </c>
    </row>
    <row r="10" spans="1:17" ht="14.45" x14ac:dyDescent="0.3">
      <c r="A10" s="560" t="s">
        <v>533</v>
      </c>
      <c r="B10" s="682">
        <f>'STARR (rebased)'!E89</f>
        <v>363.19868611057967</v>
      </c>
      <c r="C10" s="682">
        <f>'STARR (rebased)'!F89</f>
        <v>363.19868611057962</v>
      </c>
      <c r="D10" s="682">
        <f>STARR!L86</f>
        <v>330.47053405582318</v>
      </c>
      <c r="E10" t="s">
        <v>564</v>
      </c>
      <c r="H10" s="826">
        <f>'STARR (rebased)'!N88</f>
        <v>418.49866286843718</v>
      </c>
      <c r="I10" s="829" t="s">
        <v>680</v>
      </c>
    </row>
    <row r="11" spans="1:17" ht="14.45" x14ac:dyDescent="0.3">
      <c r="A11" s="560" t="s">
        <v>560</v>
      </c>
      <c r="B11" s="684"/>
      <c r="C11" s="684"/>
      <c r="D11" s="683">
        <f>STARR!M86</f>
        <v>60311</v>
      </c>
      <c r="E11" t="s">
        <v>556</v>
      </c>
      <c r="H11" s="682"/>
      <c r="I11" s="828"/>
    </row>
    <row r="12" spans="1:17" ht="28.9" x14ac:dyDescent="0.3">
      <c r="A12" s="560" t="s">
        <v>534</v>
      </c>
      <c r="B12" s="682">
        <f>'STARR (rebased)'!E134</f>
        <v>357.45501273627116</v>
      </c>
      <c r="C12" s="682">
        <f>'STARR (rebased)'!F134</f>
        <v>357.45501273627116</v>
      </c>
      <c r="D12" s="682">
        <f>STARR!L131</f>
        <v>293.51597220765086</v>
      </c>
      <c r="E12" t="s">
        <v>564</v>
      </c>
      <c r="H12" s="826">
        <f>'STARR (rebased)'!N133</f>
        <v>367.72787815634462</v>
      </c>
      <c r="I12" s="829" t="s">
        <v>681</v>
      </c>
    </row>
    <row r="13" spans="1:17" ht="14.45" x14ac:dyDescent="0.3">
      <c r="A13" s="560" t="s">
        <v>561</v>
      </c>
      <c r="B13" s="684"/>
      <c r="C13" s="684"/>
      <c r="D13" s="683">
        <f>STARR!M131</f>
        <v>80350</v>
      </c>
      <c r="E13" t="s">
        <v>556</v>
      </c>
      <c r="H13" s="682"/>
      <c r="I13" s="828"/>
    </row>
    <row r="14" spans="1:17" ht="28.9" x14ac:dyDescent="0.3">
      <c r="A14" s="560" t="s">
        <v>535</v>
      </c>
      <c r="B14" s="682">
        <f>'STARR (rebased)'!E45</f>
        <v>333.72534216387464</v>
      </c>
      <c r="C14" s="682">
        <f>'STARR (rebased)'!F45</f>
        <v>333.72534216387464</v>
      </c>
      <c r="D14" s="682">
        <f>STARR!L43</f>
        <v>286.25509897288384</v>
      </c>
      <c r="E14" t="s">
        <v>564</v>
      </c>
      <c r="H14" s="826">
        <f>'STARR (rebased)'!N44</f>
        <v>337.66841581477894</v>
      </c>
      <c r="I14" s="829" t="s">
        <v>757</v>
      </c>
    </row>
    <row r="15" spans="1:17" ht="14.45" x14ac:dyDescent="0.3">
      <c r="A15" s="560" t="s">
        <v>562</v>
      </c>
      <c r="B15" s="684"/>
      <c r="C15" s="684"/>
      <c r="D15" s="683">
        <f>STARR!M43</f>
        <v>104483</v>
      </c>
      <c r="E15" t="s">
        <v>556</v>
      </c>
      <c r="H15" s="682"/>
      <c r="I15" s="828"/>
    </row>
    <row r="16" spans="1:17" ht="28.9" x14ac:dyDescent="0.3">
      <c r="A16" s="560" t="s">
        <v>536</v>
      </c>
      <c r="B16" s="682">
        <f>'STARR (rebased)'!E177</f>
        <v>323.76087545294524</v>
      </c>
      <c r="C16" s="682">
        <f>'STARR (rebased)'!F177</f>
        <v>323.76087545294524</v>
      </c>
      <c r="D16" s="682">
        <f>STARR!L175</f>
        <v>277.64595988106618</v>
      </c>
      <c r="E16" t="s">
        <v>564</v>
      </c>
      <c r="H16" s="826">
        <f>'STARR (rebased)'!N176</f>
        <v>324.49153758614744</v>
      </c>
      <c r="I16" s="829" t="s">
        <v>757</v>
      </c>
    </row>
    <row r="17" spans="1:13" ht="14.45" x14ac:dyDescent="0.3">
      <c r="A17" s="560" t="s">
        <v>563</v>
      </c>
      <c r="B17" s="684"/>
      <c r="C17" s="684"/>
      <c r="D17" s="683">
        <f>STARR!M175</f>
        <v>126676</v>
      </c>
      <c r="E17" t="s">
        <v>556</v>
      </c>
      <c r="H17" s="682"/>
      <c r="I17" s="828"/>
    </row>
    <row r="18" spans="1:13" ht="14.45" x14ac:dyDescent="0.3">
      <c r="A18" s="560" t="s">
        <v>537</v>
      </c>
      <c r="B18" s="682"/>
      <c r="C18" s="682"/>
      <c r="D18" s="682"/>
      <c r="H18" s="682"/>
      <c r="I18" s="828"/>
      <c r="M18" s="324"/>
    </row>
    <row r="19" spans="1:13" ht="14.45" x14ac:dyDescent="0.3">
      <c r="A19" s="560" t="s">
        <v>554</v>
      </c>
      <c r="B19" s="682"/>
      <c r="C19" s="682"/>
      <c r="D19" s="682"/>
      <c r="H19" s="682"/>
      <c r="I19" s="828"/>
    </row>
    <row r="20" spans="1:13" ht="28.9" x14ac:dyDescent="0.3">
      <c r="A20" s="560" t="s">
        <v>538</v>
      </c>
      <c r="B20" s="682">
        <f>'Teen Parent'!E42</f>
        <v>278.5543520445832</v>
      </c>
      <c r="C20" s="682">
        <f>'Teen Parent'!F42</f>
        <v>278.5543520445832</v>
      </c>
      <c r="D20" s="682">
        <f>'Teen Parent'!F42</f>
        <v>278.5543520445832</v>
      </c>
      <c r="H20" s="826">
        <f>'Teen Parent (rebased)'!F42</f>
        <v>278.5543520445832</v>
      </c>
      <c r="I20" s="829" t="s">
        <v>677</v>
      </c>
    </row>
    <row r="21" spans="1:13" ht="14.45" x14ac:dyDescent="0.3">
      <c r="A21" s="560" t="s">
        <v>539</v>
      </c>
      <c r="B21" s="682">
        <f>'Teen Parent'!E83</f>
        <v>237.14858814860082</v>
      </c>
      <c r="C21" s="682">
        <f>'Teen Parent'!F83</f>
        <v>241.97560682499716</v>
      </c>
      <c r="D21" s="683">
        <f>'Teen Parent'!G82</f>
        <v>66241</v>
      </c>
      <c r="E21" t="s">
        <v>556</v>
      </c>
      <c r="H21" s="826">
        <f>'Teen Parent'!H82</f>
        <v>6625</v>
      </c>
      <c r="I21" s="829" t="s">
        <v>671</v>
      </c>
    </row>
    <row r="22" spans="1:13" ht="14.45" x14ac:dyDescent="0.3">
      <c r="A22" s="560" t="s">
        <v>540</v>
      </c>
      <c r="B22" s="682">
        <f>'Teen Parent'!E125</f>
        <v>239.09452556583673</v>
      </c>
      <c r="C22" s="682">
        <f>'Teen Parent'!F125</f>
        <v>243.9611526427276</v>
      </c>
      <c r="D22" s="683">
        <f>'Teen Parent'!G124</f>
        <v>33392</v>
      </c>
      <c r="E22" t="s">
        <v>556</v>
      </c>
      <c r="H22" s="826">
        <f>'Teen Parent'!H124</f>
        <v>6679</v>
      </c>
      <c r="I22" s="829" t="s">
        <v>671</v>
      </c>
    </row>
    <row r="23" spans="1:13" ht="14.45" x14ac:dyDescent="0.3">
      <c r="A23" s="560" t="s">
        <v>541</v>
      </c>
      <c r="B23" s="682">
        <f>'Teen Parent'!E160</f>
        <v>119.6688327846789</v>
      </c>
      <c r="C23" s="682">
        <f>'Teen Parent'!F160</f>
        <v>122.10462080831341</v>
      </c>
      <c r="D23" s="683">
        <f>'Teen Parent'!G159</f>
        <v>13370</v>
      </c>
      <c r="E23" t="s">
        <v>556</v>
      </c>
      <c r="H23" s="826">
        <f>'Teen Parent'!H159</f>
        <v>3343</v>
      </c>
      <c r="I23" s="829" t="s">
        <v>671</v>
      </c>
    </row>
    <row r="24" spans="1:13" ht="14.45" x14ac:dyDescent="0.3">
      <c r="A24" s="560" t="s">
        <v>542</v>
      </c>
      <c r="B24" s="682">
        <f>Continuum!E47</f>
        <v>112.62568877780143</v>
      </c>
      <c r="C24" s="682">
        <f>Continuum!F47</f>
        <v>114.918117787886</v>
      </c>
      <c r="D24" s="682">
        <f>Continuum!F47</f>
        <v>114.918117787886</v>
      </c>
      <c r="H24" s="826">
        <f>'Continuum (rebased)'!F47</f>
        <v>116.1580273719737</v>
      </c>
      <c r="I24" s="829" t="s">
        <v>678</v>
      </c>
    </row>
    <row r="25" spans="1:13" ht="14.45" x14ac:dyDescent="0.3">
      <c r="A25" s="560" t="s">
        <v>543</v>
      </c>
      <c r="B25" s="682">
        <f>Continuum!E94</f>
        <v>324.69932507240469</v>
      </c>
      <c r="C25" s="682">
        <f>Continuum!F94</f>
        <v>331.30838700515244</v>
      </c>
      <c r="D25" s="682">
        <f>'Group Home'!L46</f>
        <v>334.96166008409557</v>
      </c>
      <c r="H25" s="826">
        <f>'Continuum (rebased)'!G94</f>
        <v>0</v>
      </c>
      <c r="I25" s="829" t="s">
        <v>670</v>
      </c>
    </row>
    <row r="26" spans="1:13" ht="14.45" x14ac:dyDescent="0.3">
      <c r="A26" s="560" t="s">
        <v>544</v>
      </c>
      <c r="B26" s="682">
        <f>Continuum!E136</f>
        <v>272.34164056800336</v>
      </c>
      <c r="C26" s="682">
        <f>Continuum!F136</f>
        <v>277.88499292630797</v>
      </c>
      <c r="D26" s="682">
        <f>'Group Home'!L89</f>
        <v>281.53826600525116</v>
      </c>
      <c r="H26" s="826">
        <f>'Continuum (rebased)'!G138</f>
        <v>0</v>
      </c>
      <c r="I26" s="829" t="s">
        <v>670</v>
      </c>
    </row>
    <row r="27" spans="1:13" ht="14.45" x14ac:dyDescent="0.3">
      <c r="A27" s="560" t="s">
        <v>136</v>
      </c>
      <c r="B27" s="682">
        <f>'FA - SO (rebased)'!E39</f>
        <v>67.824854151011294</v>
      </c>
      <c r="C27" s="682" t="e">
        <f>'FA - SO (rebased)'!#REF!</f>
        <v>#REF!</v>
      </c>
      <c r="D27" s="682" t="e">
        <f>'FA - SO (rebased)'!#REF!</f>
        <v>#REF!</v>
      </c>
      <c r="H27" s="682" t="e">
        <f>D27</f>
        <v>#REF!</v>
      </c>
      <c r="I27" s="828" t="s">
        <v>672</v>
      </c>
    </row>
    <row r="28" spans="1:13" ht="14.45" x14ac:dyDescent="0.3">
      <c r="A28" s="560" t="s">
        <v>137</v>
      </c>
      <c r="B28" s="682">
        <f>'FA - SO (rebased)'!E73</f>
        <v>45.912773715385221</v>
      </c>
      <c r="C28" s="682" t="e">
        <f>'FA - SO (rebased)'!#REF!</f>
        <v>#REF!</v>
      </c>
      <c r="D28" s="682" t="e">
        <f>'FA - SO (rebased)'!#REF!</f>
        <v>#REF!</v>
      </c>
      <c r="H28" s="682" t="e">
        <f t="shared" ref="H28:H43" si="0">D28</f>
        <v>#REF!</v>
      </c>
      <c r="I28" s="828" t="s">
        <v>672</v>
      </c>
    </row>
    <row r="29" spans="1:13" ht="14.45" x14ac:dyDescent="0.3">
      <c r="A29" s="560" t="s">
        <v>545</v>
      </c>
      <c r="B29" s="682">
        <f>'SpecPgm-TAY(rebased)'!E47</f>
        <v>156.48546803192534</v>
      </c>
      <c r="C29" s="682" t="e">
        <f>'SpecPgm-TAY(rebased)'!#REF!</f>
        <v>#REF!</v>
      </c>
      <c r="D29" s="682" t="e">
        <f>'SpecPgm-TAY(rebased)'!#REF!</f>
        <v>#REF!</v>
      </c>
      <c r="H29" s="682" t="e">
        <f t="shared" si="0"/>
        <v>#REF!</v>
      </c>
      <c r="I29" s="828" t="s">
        <v>672</v>
      </c>
    </row>
    <row r="30" spans="1:13" ht="14.45" x14ac:dyDescent="0.3">
      <c r="A30" s="560" t="s">
        <v>546</v>
      </c>
      <c r="B30" s="682">
        <f>'SpecPgm-TAY(rebased)'!E93</f>
        <v>338.28688988641204</v>
      </c>
      <c r="C30" s="682" t="e">
        <f>'SpecPgm-TAY(rebased)'!#REF!</f>
        <v>#REF!</v>
      </c>
      <c r="D30" s="682" t="e">
        <f>'SpecPgm-TAY(rebased)'!#REF!</f>
        <v>#REF!</v>
      </c>
      <c r="H30" s="682" t="e">
        <f t="shared" si="0"/>
        <v>#REF!</v>
      </c>
      <c r="I30" s="828" t="s">
        <v>672</v>
      </c>
    </row>
    <row r="31" spans="1:13" ht="14.45" x14ac:dyDescent="0.3">
      <c r="A31" s="560" t="s">
        <v>547</v>
      </c>
      <c r="B31" s="682">
        <f>'SpecPgm-Outrch Ind.Liv (rebased'!E37</f>
        <v>69.523082392737621</v>
      </c>
      <c r="C31" s="682" t="e">
        <f>'SpecPgm-Outrch Ind.Liv (rebased'!#REF!</f>
        <v>#REF!</v>
      </c>
      <c r="D31" s="682" t="e">
        <f>'SpecPgm-Outrch Ind.Liv (rebased'!#REF!</f>
        <v>#REF!</v>
      </c>
      <c r="H31" s="682" t="e">
        <f t="shared" si="0"/>
        <v>#REF!</v>
      </c>
      <c r="I31" s="828" t="s">
        <v>672</v>
      </c>
    </row>
    <row r="32" spans="1:13" ht="14.45" x14ac:dyDescent="0.3">
      <c r="A32" s="560" t="s">
        <v>548</v>
      </c>
      <c r="B32" s="682">
        <f>'SpecPgm-1t1 SL'!E39</f>
        <v>646.19025007947585</v>
      </c>
      <c r="C32" s="682">
        <f>'SpecPgm-1t1 SL'!F40</f>
        <v>659.34306886701313</v>
      </c>
      <c r="D32" s="682">
        <f>'SpecPgm-1t1 SL'!F40</f>
        <v>659.34306886701313</v>
      </c>
      <c r="H32" s="826" t="e">
        <f>'SpecPgm-1t1 SL (rebased)'!#REF!</f>
        <v>#REF!</v>
      </c>
      <c r="I32" s="829" t="s">
        <v>678</v>
      </c>
    </row>
    <row r="33" spans="1:9" ht="14.45" x14ac:dyDescent="0.3">
      <c r="A33" s="560" t="s">
        <v>549</v>
      </c>
      <c r="B33" s="682">
        <f>'SpecPgm-1t2 GH'!E44</f>
        <v>372.51757751167486</v>
      </c>
      <c r="C33" s="682">
        <f>'SpecPgm-1t2 GH'!F44</f>
        <v>380.09995157501118</v>
      </c>
      <c r="D33" s="682">
        <f>'SpecPgm-1t2 GH'!F44</f>
        <v>380.09995157501118</v>
      </c>
      <c r="H33" s="826" t="e">
        <f>'SpecPgm-1t2 GH (rebased)'!#REF!</f>
        <v>#REF!</v>
      </c>
      <c r="I33" s="829" t="s">
        <v>678</v>
      </c>
    </row>
    <row r="34" spans="1:9" ht="14.45" x14ac:dyDescent="0.3">
      <c r="A34" s="560" t="s">
        <v>550</v>
      </c>
      <c r="B34" s="682">
        <f>'Intensive GH with exp. Nursing'!E49</f>
        <v>378.73995030015982</v>
      </c>
      <c r="C34" s="682">
        <f>'Intensive GH with exp. Nursing'!F49</f>
        <v>386.4489770663269</v>
      </c>
      <c r="D34" s="682">
        <f>'Intensive GH with exp. Nursing'!F49</f>
        <v>386.4489770663269</v>
      </c>
      <c r="H34" s="826" t="e">
        <f>'Inten GH w exp. Nurs (rebased)'!#REF!</f>
        <v>#REF!</v>
      </c>
      <c r="I34" s="829" t="s">
        <v>678</v>
      </c>
    </row>
    <row r="35" spans="1:9" ht="14.45" x14ac:dyDescent="0.3">
      <c r="A35" s="560" t="s">
        <v>571</v>
      </c>
      <c r="B35" s="682">
        <f>'SpecPgm-Med.Com N.GH'!E42</f>
        <v>293.9985278377344</v>
      </c>
      <c r="C35" s="682">
        <f>'SpecPgm-Med.Com N.GH'!F42</f>
        <v>299.9826932750446</v>
      </c>
      <c r="D35" s="682">
        <f>'SpecPgm-Med.Com N.GH'!L42</f>
        <v>460.68056702365197</v>
      </c>
      <c r="H35" s="826">
        <f>'SpecPgm-Med.Com N.GH (rebased)'!L42</f>
        <v>461.4626229893608</v>
      </c>
      <c r="I35" s="829" t="s">
        <v>678</v>
      </c>
    </row>
    <row r="36" spans="1:9" ht="14.45" x14ac:dyDescent="0.3">
      <c r="A36" s="560" t="s">
        <v>572</v>
      </c>
      <c r="B36" s="684"/>
      <c r="C36" s="684"/>
      <c r="D36" s="682">
        <f>'SpecPgm-Med.Com N.GH'!N42</f>
        <v>539.13854137357896</v>
      </c>
      <c r="H36" s="826">
        <f>'SpecPgm-Med.Com N.GH (rebased)'!N42</f>
        <v>539.90751123858774</v>
      </c>
      <c r="I36" s="829" t="s">
        <v>678</v>
      </c>
    </row>
    <row r="37" spans="1:9" ht="14.45" x14ac:dyDescent="0.3">
      <c r="A37" s="560" t="s">
        <v>569</v>
      </c>
      <c r="B37" s="684"/>
      <c r="C37" s="684"/>
      <c r="D37" s="682">
        <f>'SpecPgm-Med.Com N.GH'!L85</f>
        <v>431.61251473421669</v>
      </c>
      <c r="H37" s="826">
        <f>'SpecPgm-Med.Com N.GH (rebased)'!L93</f>
        <v>432.19133132092571</v>
      </c>
      <c r="I37" s="829" t="s">
        <v>678</v>
      </c>
    </row>
    <row r="38" spans="1:9" ht="14.45" x14ac:dyDescent="0.3">
      <c r="A38" s="560" t="s">
        <v>567</v>
      </c>
      <c r="B38" s="684"/>
      <c r="C38" s="684"/>
      <c r="D38" s="682">
        <f>'SpecPgm-Med.Com N.GH'!N85</f>
        <v>484.32646625057373</v>
      </c>
      <c r="H38" s="826">
        <f>'SpecPgm-Med.Com N.GH (rebased)'!N93</f>
        <v>484.90876382481213</v>
      </c>
      <c r="I38" s="829" t="s">
        <v>678</v>
      </c>
    </row>
    <row r="39" spans="1:9" ht="14.45" x14ac:dyDescent="0.3">
      <c r="A39" s="560" t="s">
        <v>570</v>
      </c>
      <c r="B39" s="684"/>
      <c r="C39" s="684"/>
      <c r="D39" s="682">
        <f>'SpecPgm-Med.Com N.GH'!L128</f>
        <v>478.78220317845881</v>
      </c>
      <c r="H39" s="826">
        <f>'SpecPgm-Med.Com N.GH (rebased)'!L136</f>
        <v>479.952774948853</v>
      </c>
      <c r="I39" s="829" t="s">
        <v>678</v>
      </c>
    </row>
    <row r="40" spans="1:9" ht="14.45" x14ac:dyDescent="0.3">
      <c r="A40" s="560" t="s">
        <v>568</v>
      </c>
      <c r="B40" s="684"/>
      <c r="C40" s="684"/>
      <c r="D40" s="682">
        <f>'SpecPgm-Med.Com N.GH'!N128</f>
        <v>608.72822319552517</v>
      </c>
      <c r="H40" s="826">
        <f>'SpecPgm-Med.Com N.GH (rebased)'!N136</f>
        <v>609.89030704046615</v>
      </c>
      <c r="I40" s="829" t="s">
        <v>678</v>
      </c>
    </row>
    <row r="41" spans="1:9" x14ac:dyDescent="0.25">
      <c r="A41" s="560" t="s">
        <v>551</v>
      </c>
      <c r="B41" s="682">
        <f>'SpecPgm-College Prep'!E37</f>
        <v>148.17926423585394</v>
      </c>
      <c r="C41" s="682">
        <f>'SpecPgm-College Prep'!F38</f>
        <v>151.19536516019485</v>
      </c>
      <c r="D41" s="682">
        <f>'SpecPgm-College Prep'!F38</f>
        <v>151.19536516019485</v>
      </c>
      <c r="H41" s="682">
        <f t="shared" si="0"/>
        <v>151.19536516019485</v>
      </c>
      <c r="I41" s="828" t="s">
        <v>672</v>
      </c>
    </row>
    <row r="42" spans="1:9" x14ac:dyDescent="0.25">
      <c r="A42" s="560" t="s">
        <v>552</v>
      </c>
      <c r="B42" s="682">
        <f>'SpecPgm-TransIFC'!E33</f>
        <v>37.162041934310089</v>
      </c>
      <c r="C42" s="682">
        <f>'SpecPgm-TransIFC'!F33</f>
        <v>37.918453228471094</v>
      </c>
      <c r="D42" s="682">
        <f>'SpecPgm-TransIFC'!F33</f>
        <v>37.918453228471094</v>
      </c>
      <c r="H42" s="682">
        <f t="shared" si="0"/>
        <v>37.918453228471094</v>
      </c>
      <c r="I42" s="828" t="s">
        <v>672</v>
      </c>
    </row>
    <row r="43" spans="1:9" x14ac:dyDescent="0.25">
      <c r="A43" s="560" t="s">
        <v>553</v>
      </c>
      <c r="B43" s="682">
        <f>'TLP E-bed add-on (rebased)'!E24</f>
        <v>14.51052830958904</v>
      </c>
      <c r="C43" s="682">
        <f>'TLP E-bed add-on (rebased)'!F25</f>
        <v>14.51052830958904</v>
      </c>
      <c r="D43" s="682">
        <f>'TLP E-bed add-on (rebased)'!F25</f>
        <v>14.51052830958904</v>
      </c>
      <c r="H43" s="682">
        <f t="shared" si="0"/>
        <v>14.51052830958904</v>
      </c>
      <c r="I43" s="828" t="s">
        <v>672</v>
      </c>
    </row>
  </sheetData>
  <mergeCells count="1">
    <mergeCell ref="I1:Q1"/>
  </mergeCells>
  <pageMargins left="0.25" right="0.25" top="0.75" bottom="0.75" header="0.3" footer="0.3"/>
  <pageSetup scale="74" fitToHeight="0" orientation="landscape" r:id="rId1"/>
  <ignoredErrors>
    <ignoredError sqref="H34 H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L92"/>
  <sheetViews>
    <sheetView view="pageBreakPreview" topLeftCell="F10" zoomScale="85" zoomScaleNormal="70" zoomScaleSheetLayoutView="85" workbookViewId="0">
      <selection activeCell="D61" sqref="D61"/>
    </sheetView>
  </sheetViews>
  <sheetFormatPr defaultColWidth="9.140625" defaultRowHeight="12.75" x14ac:dyDescent="0.2"/>
  <cols>
    <col min="1" max="1" width="31.85546875" style="23" customWidth="1"/>
    <col min="2" max="2" width="5.7109375" style="23" customWidth="1"/>
    <col min="3" max="3" width="12.85546875" style="23" customWidth="1"/>
    <col min="4" max="4" width="10.85546875" style="23" customWidth="1"/>
    <col min="5" max="6" width="13.140625" style="23" customWidth="1"/>
    <col min="7" max="7" width="9.140625" style="23"/>
    <col min="8" max="8" width="31.85546875" style="23" customWidth="1"/>
    <col min="9" max="9" width="4.42578125" style="585" customWidth="1"/>
    <col min="10" max="10" width="11.5703125" style="23" customWidth="1"/>
    <col min="11" max="11" width="10.85546875" style="23" customWidth="1"/>
    <col min="12" max="13" width="12.85546875" style="23" customWidth="1"/>
    <col min="14" max="14" width="9.140625" style="23"/>
    <col min="15" max="15" width="31.85546875" style="23" customWidth="1"/>
    <col min="16" max="16" width="4.42578125" style="585" customWidth="1"/>
    <col min="17" max="17" width="11.5703125" style="23" customWidth="1"/>
    <col min="18" max="18" width="10.85546875" style="23" customWidth="1"/>
    <col min="19" max="20" width="12.85546875" style="23" customWidth="1"/>
    <col min="21" max="21" width="9.140625" style="23"/>
    <col min="22" max="22" width="31.85546875" style="23" bestFit="1" customWidth="1"/>
    <col min="23" max="23" width="10" style="23" customWidth="1"/>
    <col min="24" max="24" width="11.28515625" style="23" customWidth="1"/>
    <col min="25" max="25" width="11" style="23" customWidth="1"/>
    <col min="26" max="16384" width="9.140625" style="23"/>
  </cols>
  <sheetData>
    <row r="1" spans="1:27" ht="13.9" thickBot="1" x14ac:dyDescent="0.3">
      <c r="V1" s="1431" t="s">
        <v>8</v>
      </c>
      <c r="W1" s="1431"/>
      <c r="X1" s="1431"/>
      <c r="Y1" s="1431"/>
    </row>
    <row r="2" spans="1:27" ht="13.9" thickBot="1" x14ac:dyDescent="0.3">
      <c r="G2" s="23">
        <f>7.2*3</f>
        <v>21.6</v>
      </c>
    </row>
    <row r="3" spans="1:27" ht="13.15" x14ac:dyDescent="0.25">
      <c r="V3" s="5" t="s">
        <v>9</v>
      </c>
      <c r="W3" s="1432" t="s">
        <v>10</v>
      </c>
      <c r="X3" s="1432"/>
      <c r="Y3" s="6"/>
      <c r="Z3" s="24"/>
      <c r="AA3" s="24"/>
    </row>
    <row r="4" spans="1:27" ht="13.15" x14ac:dyDescent="0.25">
      <c r="V4" s="7"/>
      <c r="W4" s="8" t="s">
        <v>11</v>
      </c>
      <c r="X4" s="9" t="s">
        <v>12</v>
      </c>
      <c r="Y4" s="10"/>
      <c r="Z4" s="24"/>
      <c r="AA4" s="24"/>
    </row>
    <row r="5" spans="1:27" ht="13.15" x14ac:dyDescent="0.25">
      <c r="V5" s="11" t="s">
        <v>13</v>
      </c>
      <c r="W5" s="12">
        <v>13</v>
      </c>
      <c r="X5" s="13">
        <f>W5*8</f>
        <v>104</v>
      </c>
      <c r="Y5" s="10"/>
      <c r="Z5" s="24"/>
      <c r="AA5" s="24"/>
    </row>
    <row r="6" spans="1:27" ht="21.6" customHeight="1" x14ac:dyDescent="0.2">
      <c r="A6" s="1426" t="s">
        <v>491</v>
      </c>
      <c r="B6" s="1427"/>
      <c r="C6" s="1427"/>
      <c r="D6" s="1427"/>
      <c r="E6" s="1427"/>
      <c r="F6" s="1433" t="s">
        <v>460</v>
      </c>
      <c r="H6" s="1426" t="s">
        <v>499</v>
      </c>
      <c r="I6" s="1427"/>
      <c r="J6" s="1427"/>
      <c r="K6" s="1427"/>
      <c r="L6" s="1427"/>
      <c r="M6" s="1429" t="s">
        <v>496</v>
      </c>
      <c r="O6" s="1426" t="s">
        <v>500</v>
      </c>
      <c r="P6" s="1427"/>
      <c r="Q6" s="1427"/>
      <c r="R6" s="1427"/>
      <c r="S6" s="1427"/>
      <c r="T6" s="1429" t="s">
        <v>496</v>
      </c>
      <c r="V6" s="11" t="s">
        <v>14</v>
      </c>
      <c r="W6" s="12">
        <v>10</v>
      </c>
      <c r="X6" s="13">
        <f>W6*8</f>
        <v>80</v>
      </c>
      <c r="Y6" s="10"/>
      <c r="Z6" s="24"/>
      <c r="AA6" s="24">
        <f>SUM(X5:X7)/2080</f>
        <v>0.13076923076923078</v>
      </c>
    </row>
    <row r="7" spans="1:27" ht="15" customHeight="1" thickBot="1" x14ac:dyDescent="0.25">
      <c r="A7" s="1428"/>
      <c r="B7" s="1428"/>
      <c r="C7" s="1428"/>
      <c r="D7" s="1428"/>
      <c r="E7" s="1428"/>
      <c r="F7" s="1434"/>
      <c r="H7" s="1428"/>
      <c r="I7" s="1428"/>
      <c r="J7" s="1428"/>
      <c r="K7" s="1428"/>
      <c r="L7" s="1428"/>
      <c r="M7" s="1430"/>
      <c r="O7" s="1428"/>
      <c r="P7" s="1428"/>
      <c r="Q7" s="1428"/>
      <c r="R7" s="1428"/>
      <c r="S7" s="1428"/>
      <c r="T7" s="1430"/>
      <c r="V7" s="11" t="s">
        <v>15</v>
      </c>
      <c r="W7" s="12">
        <v>11</v>
      </c>
      <c r="X7" s="13">
        <f>W7*8</f>
        <v>88</v>
      </c>
      <c r="Y7" s="10"/>
      <c r="Z7" s="24"/>
      <c r="AA7" s="24"/>
    </row>
    <row r="8" spans="1:27" ht="13.15" x14ac:dyDescent="0.25">
      <c r="A8" s="25" t="s">
        <v>0</v>
      </c>
      <c r="B8" s="69">
        <f>$X$32</f>
        <v>15</v>
      </c>
      <c r="C8" s="25"/>
      <c r="D8" s="25" t="s">
        <v>1</v>
      </c>
      <c r="E8" s="68">
        <f>B8*365</f>
        <v>5475</v>
      </c>
      <c r="F8" s="427"/>
      <c r="H8" s="582" t="s">
        <v>0</v>
      </c>
      <c r="I8" s="603">
        <f>$X$32</f>
        <v>15</v>
      </c>
      <c r="J8" s="25"/>
      <c r="K8" s="25" t="s">
        <v>1</v>
      </c>
      <c r="L8" s="68">
        <f>I8*365</f>
        <v>5475</v>
      </c>
      <c r="M8" s="590" t="s">
        <v>459</v>
      </c>
      <c r="O8" s="582" t="s">
        <v>0</v>
      </c>
      <c r="P8" s="603">
        <f>$X$32</f>
        <v>15</v>
      </c>
      <c r="Q8" s="25"/>
      <c r="R8" s="25" t="s">
        <v>1</v>
      </c>
      <c r="S8" s="68">
        <f>P8*365</f>
        <v>5475</v>
      </c>
      <c r="T8" s="595" t="s">
        <v>459</v>
      </c>
      <c r="V8" s="14" t="s">
        <v>16</v>
      </c>
      <c r="W8" s="15">
        <v>5</v>
      </c>
      <c r="X8" s="16">
        <f>W8*8</f>
        <v>40</v>
      </c>
      <c r="Y8" s="17"/>
      <c r="Z8" s="24"/>
      <c r="AA8" s="24"/>
    </row>
    <row r="9" spans="1:27" ht="13.15" x14ac:dyDescent="0.25">
      <c r="F9" s="407"/>
      <c r="H9" s="131"/>
      <c r="M9" s="407"/>
      <c r="O9" s="131"/>
      <c r="T9" s="407"/>
      <c r="V9" s="11"/>
      <c r="W9" s="18" t="s">
        <v>17</v>
      </c>
      <c r="X9" s="13">
        <f>SUM(X5:X8)</f>
        <v>312</v>
      </c>
      <c r="Y9" s="19"/>
      <c r="Z9" s="24"/>
      <c r="AA9" s="24"/>
    </row>
    <row r="10" spans="1:27" ht="13.9" thickBot="1" x14ac:dyDescent="0.3">
      <c r="A10" s="26"/>
      <c r="B10" s="26"/>
      <c r="C10" s="27" t="s">
        <v>2</v>
      </c>
      <c r="D10" s="27" t="s">
        <v>3</v>
      </c>
      <c r="E10" s="27" t="s">
        <v>4</v>
      </c>
      <c r="F10" s="407"/>
      <c r="H10" s="567"/>
      <c r="I10" s="27"/>
      <c r="J10" s="27" t="s">
        <v>2</v>
      </c>
      <c r="K10" s="27" t="s">
        <v>3</v>
      </c>
      <c r="L10" s="27" t="s">
        <v>4</v>
      </c>
      <c r="M10" s="407"/>
      <c r="O10" s="567"/>
      <c r="P10" s="27"/>
      <c r="Q10" s="27" t="s">
        <v>2</v>
      </c>
      <c r="R10" s="27" t="s">
        <v>3</v>
      </c>
      <c r="S10" s="27" t="s">
        <v>4</v>
      </c>
      <c r="T10" s="407"/>
      <c r="V10" s="20"/>
      <c r="W10" s="21" t="s">
        <v>18</v>
      </c>
      <c r="X10" s="22">
        <f>X9/(52*40)</f>
        <v>0.15</v>
      </c>
      <c r="Y10" s="56"/>
    </row>
    <row r="11" spans="1:27" ht="13.9" thickBot="1" x14ac:dyDescent="0.3">
      <c r="A11" s="1" t="s">
        <v>19</v>
      </c>
      <c r="C11" s="30">
        <f>$X$13</f>
        <v>59700.570397111915</v>
      </c>
      <c r="D11" s="35">
        <f>$X$33</f>
        <v>4.0999999999999996</v>
      </c>
      <c r="E11" s="28">
        <f>C11*D11</f>
        <v>244772.33862815882</v>
      </c>
      <c r="F11" s="407"/>
      <c r="H11" s="568" t="s">
        <v>19</v>
      </c>
      <c r="J11" s="30">
        <f>$X$13</f>
        <v>59700.570397111915</v>
      </c>
      <c r="K11" s="599">
        <f>$X$33</f>
        <v>4.0999999999999996</v>
      </c>
      <c r="L11" s="28">
        <f>J11*K11</f>
        <v>244772.33862815882</v>
      </c>
      <c r="M11" s="407"/>
      <c r="O11" s="568" t="s">
        <v>19</v>
      </c>
      <c r="Q11" s="30">
        <f>$X$13</f>
        <v>59700.570397111915</v>
      </c>
      <c r="R11" s="599">
        <f>$X$33</f>
        <v>4.0999999999999996</v>
      </c>
      <c r="S11" s="28">
        <f>Q11*R11</f>
        <v>244772.33862815882</v>
      </c>
      <c r="T11" s="407"/>
    </row>
    <row r="12" spans="1:27" ht="13.15" x14ac:dyDescent="0.25">
      <c r="A12" s="2" t="s">
        <v>227</v>
      </c>
      <c r="C12" s="30"/>
      <c r="D12" s="35"/>
      <c r="E12" s="28"/>
      <c r="F12" s="407"/>
      <c r="H12" s="569" t="s">
        <v>227</v>
      </c>
      <c r="J12" s="30"/>
      <c r="K12" s="599"/>
      <c r="L12" s="28"/>
      <c r="M12" s="407"/>
      <c r="O12" s="569" t="s">
        <v>227</v>
      </c>
      <c r="Q12" s="30"/>
      <c r="R12" s="599"/>
      <c r="S12" s="28"/>
      <c r="T12" s="407"/>
      <c r="V12" s="36"/>
      <c r="W12" s="37"/>
      <c r="X12" s="38" t="s">
        <v>34</v>
      </c>
      <c r="Y12" s="39"/>
    </row>
    <row r="13" spans="1:27" ht="13.15" x14ac:dyDescent="0.25">
      <c r="A13" s="3" t="s">
        <v>23</v>
      </c>
      <c r="C13" s="30">
        <f>$X$15</f>
        <v>200122.62</v>
      </c>
      <c r="D13" s="35">
        <f>$X$35</f>
        <v>0.5</v>
      </c>
      <c r="E13" s="28">
        <f t="shared" ref="E13:E26" si="0">C13*D13</f>
        <v>100061.31</v>
      </c>
      <c r="F13" s="407"/>
      <c r="H13" s="570" t="s">
        <v>23</v>
      </c>
      <c r="J13" s="30">
        <f>$X$15</f>
        <v>200122.62</v>
      </c>
      <c r="K13" s="599">
        <f>$X$35</f>
        <v>0.5</v>
      </c>
      <c r="L13" s="28">
        <f t="shared" ref="L13" si="1">J13*K13</f>
        <v>100061.31</v>
      </c>
      <c r="M13" s="407"/>
      <c r="O13" s="570" t="s">
        <v>23</v>
      </c>
      <c r="Q13" s="30">
        <f>$X$15</f>
        <v>200122.62</v>
      </c>
      <c r="R13" s="599">
        <f>$X$35</f>
        <v>0.5</v>
      </c>
      <c r="S13" s="28">
        <f t="shared" ref="S13" si="2">Q13*R13</f>
        <v>100061.31</v>
      </c>
      <c r="T13" s="407"/>
      <c r="V13" s="7" t="s">
        <v>19</v>
      </c>
      <c r="W13" s="29"/>
      <c r="X13" s="40">
        <f>'[2]Avg Salaries'!$J$3</f>
        <v>59700.570397111915</v>
      </c>
      <c r="Y13" s="99"/>
    </row>
    <row r="14" spans="1:27" ht="13.15" x14ac:dyDescent="0.25">
      <c r="A14" s="3" t="s">
        <v>170</v>
      </c>
      <c r="C14" s="30">
        <f>$X$16</f>
        <v>74241.704227057009</v>
      </c>
      <c r="D14" s="35">
        <f>$X$36</f>
        <v>1</v>
      </c>
      <c r="E14" s="28">
        <f>C14*D14</f>
        <v>74241.704227057009</v>
      </c>
      <c r="F14" s="407"/>
      <c r="H14" s="570" t="s">
        <v>170</v>
      </c>
      <c r="J14" s="30">
        <f>$X$16</f>
        <v>74241.704227057009</v>
      </c>
      <c r="K14" s="599">
        <f>$X$36</f>
        <v>1</v>
      </c>
      <c r="L14" s="28">
        <f>J14*K14</f>
        <v>74241.704227057009</v>
      </c>
      <c r="M14" s="407"/>
      <c r="O14" s="570" t="s">
        <v>170</v>
      </c>
      <c r="Q14" s="30">
        <f>$X$16</f>
        <v>74241.704227057009</v>
      </c>
      <c r="R14" s="599">
        <f>$X$36</f>
        <v>1</v>
      </c>
      <c r="S14" s="28">
        <f>Q14*R14</f>
        <v>74241.704227057009</v>
      </c>
      <c r="T14" s="407"/>
      <c r="V14" s="7" t="s">
        <v>227</v>
      </c>
      <c r="W14" s="29"/>
      <c r="X14" s="40"/>
      <c r="Y14" s="99"/>
    </row>
    <row r="15" spans="1:27" ht="13.15" x14ac:dyDescent="0.25">
      <c r="A15" s="3" t="s">
        <v>24</v>
      </c>
      <c r="C15" s="30">
        <f>$X$17</f>
        <v>64673.926018287602</v>
      </c>
      <c r="D15" s="46">
        <f>$X$37</f>
        <v>3</v>
      </c>
      <c r="E15" s="28">
        <f t="shared" si="0"/>
        <v>194021.77805486281</v>
      </c>
      <c r="F15" s="407"/>
      <c r="H15" s="570" t="s">
        <v>24</v>
      </c>
      <c r="J15" s="30">
        <f>$X$17</f>
        <v>64673.926018287602</v>
      </c>
      <c r="K15" s="600">
        <f>AK36</f>
        <v>4.0250000000000004</v>
      </c>
      <c r="L15" s="28">
        <f>J15*K15</f>
        <v>260312.55222360764</v>
      </c>
      <c r="M15" s="407"/>
      <c r="O15" s="570" t="s">
        <v>24</v>
      </c>
      <c r="Q15" s="30">
        <f>$X$17</f>
        <v>64673.926018287602</v>
      </c>
      <c r="R15" s="600">
        <f>AK46</f>
        <v>4.83</v>
      </c>
      <c r="S15" s="28">
        <f>Q15*R15</f>
        <v>312375.0626683291</v>
      </c>
      <c r="T15" s="407"/>
      <c r="V15" s="11" t="s">
        <v>23</v>
      </c>
      <c r="W15" s="29"/>
      <c r="X15" s="40">
        <f>'[2]Avg Salaries'!$J$14</f>
        <v>200122.62</v>
      </c>
      <c r="Y15" s="99"/>
      <c r="Z15" s="177"/>
    </row>
    <row r="16" spans="1:27" ht="13.15" x14ac:dyDescent="0.25">
      <c r="A16" s="3" t="s">
        <v>25</v>
      </c>
      <c r="C16" s="30">
        <f>$X$18</f>
        <v>61725</v>
      </c>
      <c r="D16" s="35">
        <f>$X$38</f>
        <v>1</v>
      </c>
      <c r="E16" s="28">
        <f t="shared" si="0"/>
        <v>61725</v>
      </c>
      <c r="F16" s="407"/>
      <c r="H16" s="570" t="s">
        <v>25</v>
      </c>
      <c r="J16" s="30">
        <f>$X$18</f>
        <v>61725</v>
      </c>
      <c r="K16" s="599">
        <f>$X$38</f>
        <v>1</v>
      </c>
      <c r="L16" s="28">
        <f>J16*K16</f>
        <v>61725</v>
      </c>
      <c r="M16" s="407"/>
      <c r="O16" s="570" t="s">
        <v>25</v>
      </c>
      <c r="Q16" s="30">
        <f>$X$18</f>
        <v>61725</v>
      </c>
      <c r="R16" s="599">
        <f>$X$38</f>
        <v>1</v>
      </c>
      <c r="S16" s="28">
        <f>Q16*R16</f>
        <v>61725</v>
      </c>
      <c r="T16" s="407"/>
      <c r="V16" s="106" t="s">
        <v>169</v>
      </c>
      <c r="W16" s="29"/>
      <c r="X16" s="40">
        <v>74241.704227057009</v>
      </c>
      <c r="Y16" s="99" t="s">
        <v>61</v>
      </c>
    </row>
    <row r="17" spans="1:36" ht="13.15" x14ac:dyDescent="0.25">
      <c r="A17" s="3" t="s">
        <v>26</v>
      </c>
      <c r="C17" s="282">
        <f>$X$19</f>
        <v>50000</v>
      </c>
      <c r="D17" s="35">
        <f>$X$39</f>
        <v>1</v>
      </c>
      <c r="E17" s="28">
        <f t="shared" si="0"/>
        <v>50000</v>
      </c>
      <c r="F17" s="407"/>
      <c r="H17" s="570" t="s">
        <v>26</v>
      </c>
      <c r="J17" s="282">
        <f>$X$19</f>
        <v>50000</v>
      </c>
      <c r="K17" s="599">
        <f>$X$39</f>
        <v>1</v>
      </c>
      <c r="L17" s="28">
        <f t="shared" ref="L17:L18" si="3">J17*K17</f>
        <v>50000</v>
      </c>
      <c r="M17" s="407"/>
      <c r="O17" s="570" t="s">
        <v>26</v>
      </c>
      <c r="Q17" s="282">
        <f>$X$19</f>
        <v>50000</v>
      </c>
      <c r="R17" s="599">
        <f>$X$39</f>
        <v>1</v>
      </c>
      <c r="S17" s="28">
        <f t="shared" ref="S17:S18" si="4">Q17*R17</f>
        <v>50000</v>
      </c>
      <c r="T17" s="407"/>
      <c r="V17" s="11" t="s">
        <v>24</v>
      </c>
      <c r="W17" s="29"/>
      <c r="X17" s="40">
        <f>'[2]Avg Salaries'!$J$17</f>
        <v>64673.926018287602</v>
      </c>
      <c r="Y17" s="99"/>
    </row>
    <row r="18" spans="1:36" ht="13.15" x14ac:dyDescent="0.25">
      <c r="A18" s="3" t="s">
        <v>27</v>
      </c>
      <c r="C18" s="30">
        <f>$X$20</f>
        <v>44297.831117021276</v>
      </c>
      <c r="D18" s="35">
        <f>$X$40</f>
        <v>1</v>
      </c>
      <c r="E18" s="28">
        <f t="shared" si="0"/>
        <v>44297.831117021276</v>
      </c>
      <c r="F18" s="407"/>
      <c r="H18" s="570" t="s">
        <v>27</v>
      </c>
      <c r="J18" s="30">
        <f>$X$20</f>
        <v>44297.831117021276</v>
      </c>
      <c r="K18" s="599">
        <f>$X$40</f>
        <v>1</v>
      </c>
      <c r="L18" s="28">
        <f t="shared" si="3"/>
        <v>44297.831117021276</v>
      </c>
      <c r="M18" s="407"/>
      <c r="O18" s="570" t="s">
        <v>27</v>
      </c>
      <c r="Q18" s="30">
        <f>$X$20</f>
        <v>44297.831117021276</v>
      </c>
      <c r="R18" s="599">
        <f>$X$40</f>
        <v>1</v>
      </c>
      <c r="S18" s="28">
        <f t="shared" si="4"/>
        <v>44297.831117021276</v>
      </c>
      <c r="T18" s="407"/>
      <c r="V18" s="11" t="s">
        <v>25</v>
      </c>
      <c r="W18" s="29"/>
      <c r="X18" s="40">
        <f>61725</f>
        <v>61725</v>
      </c>
      <c r="Y18" s="99" t="s">
        <v>71</v>
      </c>
    </row>
    <row r="19" spans="1:36" ht="13.15" x14ac:dyDescent="0.25">
      <c r="A19" s="2" t="s">
        <v>5</v>
      </c>
      <c r="C19" s="30"/>
      <c r="D19" s="35"/>
      <c r="E19" s="28"/>
      <c r="F19" s="407"/>
      <c r="H19" s="569" t="s">
        <v>5</v>
      </c>
      <c r="J19" s="30"/>
      <c r="K19" s="599"/>
      <c r="L19" s="28"/>
      <c r="M19" s="407"/>
      <c r="O19" s="569" t="s">
        <v>5</v>
      </c>
      <c r="Q19" s="30"/>
      <c r="R19" s="599"/>
      <c r="S19" s="28"/>
      <c r="T19" s="407"/>
      <c r="V19" s="11" t="s">
        <v>26</v>
      </c>
      <c r="W19" s="29"/>
      <c r="X19" s="280">
        <v>50000</v>
      </c>
      <c r="Y19" s="99" t="s">
        <v>61</v>
      </c>
    </row>
    <row r="20" spans="1:36" ht="13.15" x14ac:dyDescent="0.25">
      <c r="A20" s="3" t="s">
        <v>28</v>
      </c>
      <c r="C20" s="30">
        <f>$X$22</f>
        <v>35805.96</v>
      </c>
      <c r="D20" s="35">
        <f>$X$42</f>
        <v>0.15</v>
      </c>
      <c r="E20" s="28">
        <f t="shared" si="0"/>
        <v>5370.8939999999993</v>
      </c>
      <c r="F20" s="407"/>
      <c r="H20" s="570" t="s">
        <v>28</v>
      </c>
      <c r="J20" s="30">
        <f>$X$22</f>
        <v>35805.96</v>
      </c>
      <c r="K20" s="599">
        <f>$X$42</f>
        <v>0.15</v>
      </c>
      <c r="L20" s="28">
        <f t="shared" ref="L20:L22" si="5">J20*K20</f>
        <v>5370.8939999999993</v>
      </c>
      <c r="M20" s="407"/>
      <c r="O20" s="570" t="s">
        <v>28</v>
      </c>
      <c r="Q20" s="30">
        <f>$X$22</f>
        <v>35805.96</v>
      </c>
      <c r="R20" s="599">
        <f>$X$42</f>
        <v>0.15</v>
      </c>
      <c r="S20" s="28">
        <f t="shared" ref="S20:S22" si="6">Q20*R20</f>
        <v>5370.8939999999993</v>
      </c>
      <c r="T20" s="407"/>
      <c r="V20" s="11" t="s">
        <v>27</v>
      </c>
      <c r="W20" s="29"/>
      <c r="X20" s="40">
        <f>'[2]Avg Salaries'!$J$33</f>
        <v>44297.831117021276</v>
      </c>
      <c r="Y20" s="99"/>
    </row>
    <row r="21" spans="1:36" ht="13.15" x14ac:dyDescent="0.25">
      <c r="A21" s="3" t="s">
        <v>29</v>
      </c>
      <c r="C21" s="30">
        <f>$X$23</f>
        <v>32000</v>
      </c>
      <c r="D21" s="35">
        <f>$X$43</f>
        <v>1</v>
      </c>
      <c r="E21" s="28">
        <f t="shared" si="0"/>
        <v>32000</v>
      </c>
      <c r="F21" s="407"/>
      <c r="H21" s="570" t="s">
        <v>29</v>
      </c>
      <c r="J21" s="30">
        <f>$X$23</f>
        <v>32000</v>
      </c>
      <c r="K21" s="599">
        <f>$X$43</f>
        <v>1</v>
      </c>
      <c r="L21" s="28">
        <f t="shared" si="5"/>
        <v>32000</v>
      </c>
      <c r="M21" s="407"/>
      <c r="O21" s="570" t="s">
        <v>29</v>
      </c>
      <c r="Q21" s="30">
        <f>$X$23</f>
        <v>32000</v>
      </c>
      <c r="R21" s="599">
        <f>$X$43</f>
        <v>1</v>
      </c>
      <c r="S21" s="28">
        <f t="shared" si="6"/>
        <v>32000</v>
      </c>
      <c r="T21" s="407"/>
      <c r="V21" s="7" t="s">
        <v>5</v>
      </c>
      <c r="W21" s="29"/>
      <c r="X21" s="40"/>
      <c r="Y21" s="99"/>
    </row>
    <row r="22" spans="1:36" ht="13.15" x14ac:dyDescent="0.25">
      <c r="A22" s="3" t="s">
        <v>30</v>
      </c>
      <c r="C22" s="30">
        <f>$X$24</f>
        <v>30381.418803418801</v>
      </c>
      <c r="D22" s="35">
        <f>$X$44</f>
        <v>21.3</v>
      </c>
      <c r="E22" s="28">
        <f t="shared" si="0"/>
        <v>647124.22051282052</v>
      </c>
      <c r="F22" s="407"/>
      <c r="H22" s="570" t="s">
        <v>30</v>
      </c>
      <c r="J22" s="30">
        <f>$X$24</f>
        <v>30381.418803418801</v>
      </c>
      <c r="K22" s="599">
        <f>$X$44</f>
        <v>21.3</v>
      </c>
      <c r="L22" s="28">
        <f t="shared" si="5"/>
        <v>647124.22051282052</v>
      </c>
      <c r="M22" s="407"/>
      <c r="O22" s="570" t="s">
        <v>30</v>
      </c>
      <c r="Q22" s="30">
        <f>$X$24</f>
        <v>30381.418803418801</v>
      </c>
      <c r="R22" s="599">
        <f>$X$44</f>
        <v>21.3</v>
      </c>
      <c r="S22" s="28">
        <f t="shared" si="6"/>
        <v>647124.22051282052</v>
      </c>
      <c r="T22" s="407"/>
      <c r="V22" s="11" t="s">
        <v>28</v>
      </c>
      <c r="W22" s="29"/>
      <c r="X22" s="40">
        <f>'[2]Avg Salaries'!$J$24</f>
        <v>35805.96</v>
      </c>
      <c r="Y22" s="99"/>
    </row>
    <row r="23" spans="1:36" ht="13.15" x14ac:dyDescent="0.25">
      <c r="A23" s="4" t="s">
        <v>31</v>
      </c>
      <c r="C23" s="30">
        <f>$X$25</f>
        <v>30381.418803418801</v>
      </c>
      <c r="D23" s="35">
        <f>$X$45</f>
        <v>3.1949999999999998</v>
      </c>
      <c r="E23" s="28">
        <f>C23*D23</f>
        <v>97068.63307692307</v>
      </c>
      <c r="F23" s="407"/>
      <c r="H23" s="587" t="s">
        <v>85</v>
      </c>
      <c r="I23" s="604"/>
      <c r="J23" s="588">
        <f>$X$24</f>
        <v>30381.418803418801</v>
      </c>
      <c r="K23" s="601">
        <v>1</v>
      </c>
      <c r="L23" s="589">
        <f>J23*K23</f>
        <v>30381.418803418801</v>
      </c>
      <c r="M23" s="407"/>
      <c r="O23" s="587" t="s">
        <v>85</v>
      </c>
      <c r="P23" s="604"/>
      <c r="Q23" s="588">
        <f>$X$24</f>
        <v>30381.418803418801</v>
      </c>
      <c r="R23" s="601">
        <v>1</v>
      </c>
      <c r="S23" s="589">
        <f>Q23*R23</f>
        <v>30381.418803418801</v>
      </c>
      <c r="T23" s="407"/>
      <c r="V23" s="11" t="s">
        <v>29</v>
      </c>
      <c r="W23" s="29"/>
      <c r="X23" s="40">
        <f>'[2]Avg Salaries'!$M$42</f>
        <v>32000</v>
      </c>
      <c r="Y23" s="279" t="s">
        <v>64</v>
      </c>
      <c r="Z23" s="177"/>
    </row>
    <row r="24" spans="1:36" ht="13.15" x14ac:dyDescent="0.25">
      <c r="A24" s="2" t="s">
        <v>6</v>
      </c>
      <c r="C24" s="30"/>
      <c r="D24" s="35"/>
      <c r="E24" s="28"/>
      <c r="F24" s="407"/>
      <c r="H24" s="571" t="s">
        <v>31</v>
      </c>
      <c r="J24" s="30">
        <f>$X$25</f>
        <v>30381.418803418801</v>
      </c>
      <c r="K24" s="599">
        <f>$X$45</f>
        <v>3.1949999999999998</v>
      </c>
      <c r="L24" s="28">
        <f>J24*K24</f>
        <v>97068.63307692307</v>
      </c>
      <c r="M24" s="407"/>
      <c r="O24" s="571" t="s">
        <v>31</v>
      </c>
      <c r="Q24" s="30">
        <f>$X$25</f>
        <v>30381.418803418801</v>
      </c>
      <c r="R24" s="599">
        <f>$X$45</f>
        <v>3.1949999999999998</v>
      </c>
      <c r="S24" s="28">
        <f>Q24*R24</f>
        <v>97068.63307692307</v>
      </c>
      <c r="T24" s="407"/>
      <c r="V24" s="11" t="s">
        <v>30</v>
      </c>
      <c r="W24" s="29"/>
      <c r="X24" s="40">
        <f>'[2]Avg Salaries'!$J$6</f>
        <v>30381.418803418801</v>
      </c>
      <c r="Y24" s="99"/>
    </row>
    <row r="25" spans="1:36" ht="13.15" x14ac:dyDescent="0.25">
      <c r="A25" s="3" t="s">
        <v>32</v>
      </c>
      <c r="C25" s="30">
        <f>$X$27</f>
        <v>37831.10544815466</v>
      </c>
      <c r="D25" s="35">
        <f>$X$47</f>
        <v>1.25</v>
      </c>
      <c r="E25" s="28">
        <f t="shared" si="0"/>
        <v>47288.881810193328</v>
      </c>
      <c r="F25" s="407"/>
      <c r="H25" s="569" t="s">
        <v>6</v>
      </c>
      <c r="J25" s="30"/>
      <c r="K25" s="599"/>
      <c r="L25" s="28"/>
      <c r="M25" s="407"/>
      <c r="O25" s="569" t="s">
        <v>6</v>
      </c>
      <c r="Q25" s="30"/>
      <c r="R25" s="599"/>
      <c r="S25" s="28"/>
      <c r="T25" s="407"/>
      <c r="V25" s="42" t="s">
        <v>31</v>
      </c>
      <c r="W25" s="29"/>
      <c r="X25" s="40">
        <f>X24</f>
        <v>30381.418803418801</v>
      </c>
      <c r="Y25" s="99"/>
    </row>
    <row r="26" spans="1:36" ht="13.15" x14ac:dyDescent="0.25">
      <c r="A26" s="3" t="s">
        <v>33</v>
      </c>
      <c r="C26" s="30">
        <f>$X$28</f>
        <v>30381.418803418801</v>
      </c>
      <c r="D26" s="35">
        <f>$X$48</f>
        <v>4.5</v>
      </c>
      <c r="E26" s="28">
        <f t="shared" si="0"/>
        <v>136716.3846153846</v>
      </c>
      <c r="F26" s="407"/>
      <c r="H26" s="570" t="s">
        <v>32</v>
      </c>
      <c r="J26" s="30">
        <f>$X$27</f>
        <v>37831.10544815466</v>
      </c>
      <c r="K26" s="599">
        <f>$X$47</f>
        <v>1.25</v>
      </c>
      <c r="L26" s="28">
        <f t="shared" ref="L26:L27" si="7">J26*K26</f>
        <v>47288.881810193328</v>
      </c>
      <c r="M26" s="407"/>
      <c r="O26" s="570" t="s">
        <v>32</v>
      </c>
      <c r="Q26" s="30">
        <f>$X$27</f>
        <v>37831.10544815466</v>
      </c>
      <c r="R26" s="599">
        <f>$X$47</f>
        <v>1.25</v>
      </c>
      <c r="S26" s="28">
        <f t="shared" ref="S26:S27" si="8">Q26*R26</f>
        <v>47288.881810193328</v>
      </c>
      <c r="T26" s="407"/>
      <c r="V26" s="7" t="s">
        <v>6</v>
      </c>
      <c r="W26" s="29"/>
      <c r="X26" s="40"/>
      <c r="Y26" s="99"/>
    </row>
    <row r="27" spans="1:36" ht="13.15" x14ac:dyDescent="0.25">
      <c r="A27" s="31" t="s">
        <v>7</v>
      </c>
      <c r="B27" s="31"/>
      <c r="C27" s="31"/>
      <c r="D27" s="32">
        <f>SUM(D11:D26)</f>
        <v>42.994999999999997</v>
      </c>
      <c r="E27" s="33">
        <f>SUM(E11:E26)</f>
        <v>1734688.9760424213</v>
      </c>
      <c r="F27" s="407"/>
      <c r="H27" s="570" t="s">
        <v>33</v>
      </c>
      <c r="J27" s="30">
        <f>$X$28</f>
        <v>30381.418803418801</v>
      </c>
      <c r="K27" s="599">
        <f>$X$48</f>
        <v>4.5</v>
      </c>
      <c r="L27" s="28">
        <f t="shared" si="7"/>
        <v>136716.3846153846</v>
      </c>
      <c r="M27" s="407"/>
      <c r="O27" s="570" t="s">
        <v>33</v>
      </c>
      <c r="Q27" s="30">
        <f>$X$28</f>
        <v>30381.418803418801</v>
      </c>
      <c r="R27" s="599">
        <f>$X$48</f>
        <v>4.5</v>
      </c>
      <c r="S27" s="28">
        <f t="shared" si="8"/>
        <v>136716.3846153846</v>
      </c>
      <c r="T27" s="407"/>
      <c r="V27" s="11" t="s">
        <v>32</v>
      </c>
      <c r="W27" s="29"/>
      <c r="X27" s="40">
        <f>'[2]Avg Salaries'!$J$44</f>
        <v>37831.10544815466</v>
      </c>
      <c r="Y27" s="99"/>
    </row>
    <row r="28" spans="1:36" ht="13.15" x14ac:dyDescent="0.25">
      <c r="F28" s="407"/>
      <c r="H28" s="572" t="s">
        <v>7</v>
      </c>
      <c r="I28" s="605"/>
      <c r="J28" s="31"/>
      <c r="K28" s="602">
        <f>SUM(K11:K27)</f>
        <v>45.02</v>
      </c>
      <c r="L28" s="33">
        <f>SUM(L11:L27)</f>
        <v>1831361.169014585</v>
      </c>
      <c r="M28" s="407"/>
      <c r="O28" s="572" t="s">
        <v>7</v>
      </c>
      <c r="P28" s="605"/>
      <c r="Q28" s="31"/>
      <c r="R28" s="602">
        <f>SUM(R11:R27)</f>
        <v>45.825000000000003</v>
      </c>
      <c r="S28" s="33">
        <f>SUM(S11:S27)</f>
        <v>1883423.6794593062</v>
      </c>
      <c r="T28" s="407"/>
      <c r="V28" s="11" t="s">
        <v>33</v>
      </c>
      <c r="W28" s="29"/>
      <c r="X28" s="40">
        <f>IF('[2]Avg Salaries'!$J$45&gt;X24,X24,'[2]Avg Salaries'!$J$45)</f>
        <v>30381.418803418801</v>
      </c>
      <c r="Y28" s="99" t="s">
        <v>70</v>
      </c>
      <c r="AC28" s="584" t="s">
        <v>492</v>
      </c>
    </row>
    <row r="29" spans="1:36" ht="13.15" x14ac:dyDescent="0.25">
      <c r="A29" s="25" t="s">
        <v>21</v>
      </c>
      <c r="D29" s="25" t="s">
        <v>20</v>
      </c>
      <c r="F29" s="407"/>
      <c r="H29" s="131"/>
      <c r="M29" s="407"/>
      <c r="O29" s="131"/>
      <c r="T29" s="407"/>
      <c r="V29" s="11"/>
      <c r="W29" s="29"/>
      <c r="X29" s="40"/>
      <c r="Y29" s="41"/>
      <c r="AD29" s="586" t="s">
        <v>477</v>
      </c>
      <c r="AE29" s="586" t="s">
        <v>478</v>
      </c>
      <c r="AF29" s="586" t="s">
        <v>479</v>
      </c>
      <c r="AG29" s="586" t="s">
        <v>465</v>
      </c>
      <c r="AH29" s="586" t="s">
        <v>480</v>
      </c>
      <c r="AI29" s="586" t="s">
        <v>481</v>
      </c>
      <c r="AJ29" s="586" t="s">
        <v>468</v>
      </c>
    </row>
    <row r="30" spans="1:36" ht="13.15" x14ac:dyDescent="0.25">
      <c r="A30" s="23" t="s">
        <v>22</v>
      </c>
      <c r="C30" s="97">
        <f>$X$51</f>
        <v>0.26</v>
      </c>
      <c r="E30" s="28">
        <f>C30*E27</f>
        <v>451019.13377102953</v>
      </c>
      <c r="F30" s="407"/>
      <c r="H30" s="512" t="s">
        <v>21</v>
      </c>
      <c r="K30" s="25" t="s">
        <v>20</v>
      </c>
      <c r="M30" s="407"/>
      <c r="O30" s="512" t="s">
        <v>21</v>
      </c>
      <c r="R30" s="25" t="s">
        <v>20</v>
      </c>
      <c r="T30" s="407"/>
      <c r="V30" s="43"/>
      <c r="W30" s="29"/>
      <c r="X30" s="44" t="s">
        <v>37</v>
      </c>
      <c r="Y30" s="41"/>
      <c r="AC30" s="177" t="s">
        <v>469</v>
      </c>
      <c r="AD30" s="564">
        <v>8</v>
      </c>
      <c r="AE30" s="564">
        <v>8</v>
      </c>
      <c r="AF30" s="564">
        <v>8</v>
      </c>
      <c r="AG30" s="564">
        <v>8</v>
      </c>
      <c r="AH30" s="564">
        <v>8</v>
      </c>
      <c r="AI30" s="564">
        <v>8</v>
      </c>
      <c r="AJ30" s="564">
        <v>8</v>
      </c>
    </row>
    <row r="31" spans="1:36" ht="13.15" x14ac:dyDescent="0.25">
      <c r="A31" s="31" t="s">
        <v>51</v>
      </c>
      <c r="B31" s="31"/>
      <c r="C31" s="31"/>
      <c r="D31" s="70">
        <f>E31/E8</f>
        <v>399.216093116612</v>
      </c>
      <c r="E31" s="33">
        <f>E30+E27</f>
        <v>2185708.1098134508</v>
      </c>
      <c r="F31" s="407"/>
      <c r="H31" s="131" t="s">
        <v>22</v>
      </c>
      <c r="J31" s="593">
        <f>'STARR (rebased)'!T39</f>
        <v>0.23424901786252411</v>
      </c>
      <c r="L31" s="28">
        <f>J31*L28</f>
        <v>428994.55519323057</v>
      </c>
      <c r="M31" s="407"/>
      <c r="O31" s="131" t="s">
        <v>22</v>
      </c>
      <c r="Q31" s="593">
        <f>'STARR (rebased)'!T39</f>
        <v>0.23424901786252411</v>
      </c>
      <c r="S31" s="28">
        <f>Q31*S28</f>
        <v>441190.14713236393</v>
      </c>
      <c r="T31" s="407"/>
      <c r="V31" s="43" t="s">
        <v>35</v>
      </c>
      <c r="W31" s="65"/>
      <c r="X31" s="65"/>
      <c r="Y31" s="66"/>
      <c r="AC31" s="177" t="s">
        <v>470</v>
      </c>
      <c r="AD31" s="564">
        <v>8</v>
      </c>
      <c r="AE31" s="564">
        <v>8</v>
      </c>
      <c r="AF31" s="564">
        <v>8</v>
      </c>
      <c r="AG31" s="564">
        <v>8</v>
      </c>
      <c r="AH31" s="564">
        <v>8</v>
      </c>
      <c r="AI31" s="564">
        <v>8</v>
      </c>
      <c r="AJ31" s="564">
        <v>8</v>
      </c>
    </row>
    <row r="32" spans="1:36" ht="13.15" x14ac:dyDescent="0.25">
      <c r="F32" s="407"/>
      <c r="H32" s="612" t="s">
        <v>51</v>
      </c>
      <c r="I32" s="605"/>
      <c r="J32" s="31"/>
      <c r="K32" s="70">
        <f>L32/L8</f>
        <v>412.85036058590242</v>
      </c>
      <c r="L32" s="33">
        <f>L31+L28</f>
        <v>2260355.7242078157</v>
      </c>
      <c r="M32" s="407"/>
      <c r="O32" s="572" t="s">
        <v>51</v>
      </c>
      <c r="P32" s="605"/>
      <c r="Q32" s="31"/>
      <c r="R32" s="70">
        <f>S32/S8</f>
        <v>424.58700029071599</v>
      </c>
      <c r="S32" s="33">
        <f>S31+S28</f>
        <v>2324613.82659167</v>
      </c>
      <c r="T32" s="407"/>
      <c r="V32" s="43" t="s">
        <v>36</v>
      </c>
      <c r="W32" s="57"/>
      <c r="X32" s="57">
        <v>15</v>
      </c>
      <c r="Y32" s="67"/>
      <c r="AC32" s="177" t="s">
        <v>471</v>
      </c>
      <c r="AD32" s="564">
        <v>4</v>
      </c>
      <c r="AE32" s="564">
        <v>4</v>
      </c>
      <c r="AF32" s="564">
        <v>4</v>
      </c>
      <c r="AG32" s="564">
        <v>4</v>
      </c>
      <c r="AH32" s="564">
        <v>4</v>
      </c>
      <c r="AI32" s="564">
        <v>4</v>
      </c>
      <c r="AJ32" s="564">
        <v>4</v>
      </c>
    </row>
    <row r="33" spans="1:38" ht="13.15" x14ac:dyDescent="0.25">
      <c r="A33" s="23" t="s">
        <v>39</v>
      </c>
      <c r="D33" s="71">
        <f>$X$53</f>
        <v>10.849918306351181</v>
      </c>
      <c r="E33" s="105">
        <f>D33*E8</f>
        <v>59403.302727272719</v>
      </c>
      <c r="F33" s="407"/>
      <c r="H33" s="131"/>
      <c r="M33" s="407"/>
      <c r="O33" s="131"/>
      <c r="T33" s="407"/>
      <c r="V33" s="7" t="s">
        <v>19</v>
      </c>
      <c r="W33" s="46"/>
      <c r="X33" s="195">
        <v>4.0999999999999996</v>
      </c>
      <c r="Y33" s="47"/>
      <c r="AK33" s="23">
        <f>SUM(AD30:AJ32)</f>
        <v>140</v>
      </c>
      <c r="AL33" s="177" t="s">
        <v>493</v>
      </c>
    </row>
    <row r="34" spans="1:38" ht="13.15" x14ac:dyDescent="0.25">
      <c r="A34" s="29" t="s">
        <v>40</v>
      </c>
      <c r="D34" s="71">
        <f>$X$54</f>
        <v>25.408549439601494</v>
      </c>
      <c r="E34" s="105">
        <f>D34*E8</f>
        <v>139111.80818181817</v>
      </c>
      <c r="F34" s="407"/>
      <c r="H34" s="131" t="s">
        <v>39</v>
      </c>
      <c r="K34" s="71">
        <f>$X$53</f>
        <v>10.849918306351181</v>
      </c>
      <c r="L34" s="105">
        <f>K34*L8</f>
        <v>59403.302727272719</v>
      </c>
      <c r="M34" s="407"/>
      <c r="O34" s="131" t="s">
        <v>39</v>
      </c>
      <c r="R34" s="71">
        <f>$X$53</f>
        <v>10.849918306351181</v>
      </c>
      <c r="S34" s="105">
        <f>R34*S8</f>
        <v>59403.302727272719</v>
      </c>
      <c r="T34" s="407"/>
      <c r="V34" s="7" t="s">
        <v>227</v>
      </c>
      <c r="W34" s="46"/>
      <c r="X34" s="195"/>
      <c r="Y34" s="47"/>
      <c r="AK34" s="23">
        <f>AK33/40</f>
        <v>3.5</v>
      </c>
      <c r="AL34" s="177" t="s">
        <v>3</v>
      </c>
    </row>
    <row r="35" spans="1:38" ht="13.15" x14ac:dyDescent="0.25">
      <c r="D35" s="72">
        <f>SUM(D33:D34)</f>
        <v>36.258467745952672</v>
      </c>
      <c r="F35" s="407"/>
      <c r="H35" s="131" t="s">
        <v>40</v>
      </c>
      <c r="K35" s="71">
        <f>$X$54</f>
        <v>25.408549439601494</v>
      </c>
      <c r="L35" s="105">
        <f>K35*L8</f>
        <v>139111.80818181817</v>
      </c>
      <c r="M35" s="407"/>
      <c r="O35" s="131" t="s">
        <v>40</v>
      </c>
      <c r="R35" s="71">
        <f>$X$54</f>
        <v>25.408549439601494</v>
      </c>
      <c r="S35" s="105">
        <f>R35*S8</f>
        <v>139111.80818181817</v>
      </c>
      <c r="T35" s="407"/>
      <c r="V35" s="11" t="s">
        <v>23</v>
      </c>
      <c r="W35" s="46"/>
      <c r="X35" s="195">
        <v>0.5</v>
      </c>
      <c r="Y35" s="47"/>
      <c r="AK35" s="552">
        <f>AK34*X10</f>
        <v>0.52500000000000002</v>
      </c>
      <c r="AL35" s="177" t="s">
        <v>495</v>
      </c>
    </row>
    <row r="36" spans="1:38" ht="13.15" x14ac:dyDescent="0.25">
      <c r="F36" s="407"/>
      <c r="H36" s="131"/>
      <c r="K36" s="72">
        <f>SUM(K34:K35)</f>
        <v>36.258467745952672</v>
      </c>
      <c r="M36" s="407"/>
      <c r="O36" s="131"/>
      <c r="R36" s="72">
        <f>SUM(R34:R35)</f>
        <v>36.258467745952672</v>
      </c>
      <c r="T36" s="407"/>
      <c r="V36" s="106" t="s">
        <v>169</v>
      </c>
      <c r="W36" s="46"/>
      <c r="X36" s="195">
        <v>1</v>
      </c>
      <c r="Y36" s="47"/>
      <c r="AK36" s="552">
        <f>SUM(AK34:AK35)</f>
        <v>4.0250000000000004</v>
      </c>
      <c r="AL36" s="177" t="s">
        <v>523</v>
      </c>
    </row>
    <row r="37" spans="1:38" ht="13.15" x14ac:dyDescent="0.25">
      <c r="A37" s="31" t="s">
        <v>43</v>
      </c>
      <c r="B37" s="31"/>
      <c r="C37" s="31"/>
      <c r="D37" s="31"/>
      <c r="E37" s="33">
        <f>SUM(E31:E34)</f>
        <v>2384223.2207225417</v>
      </c>
      <c r="F37" s="407"/>
      <c r="H37" s="131"/>
      <c r="M37" s="407"/>
      <c r="O37" s="131"/>
      <c r="T37" s="407"/>
      <c r="V37" s="3" t="s">
        <v>24</v>
      </c>
      <c r="W37" s="46"/>
      <c r="X37" s="195">
        <v>3</v>
      </c>
      <c r="Y37" s="47"/>
    </row>
    <row r="38" spans="1:38" ht="13.15" x14ac:dyDescent="0.25">
      <c r="F38" s="407"/>
      <c r="H38" s="572" t="s">
        <v>43</v>
      </c>
      <c r="I38" s="605"/>
      <c r="J38" s="31"/>
      <c r="K38" s="31"/>
      <c r="L38" s="33">
        <f>SUM(L32:L35)</f>
        <v>2458870.8351169066</v>
      </c>
      <c r="M38" s="407"/>
      <c r="O38" s="572" t="s">
        <v>43</v>
      </c>
      <c r="P38" s="605"/>
      <c r="Q38" s="31"/>
      <c r="R38" s="31"/>
      <c r="S38" s="33">
        <f>SUM(S32:S35)</f>
        <v>2523128.9375007609</v>
      </c>
      <c r="T38" s="407"/>
      <c r="V38" s="11" t="s">
        <v>25</v>
      </c>
      <c r="W38" s="46"/>
      <c r="X38" s="195">
        <v>1</v>
      </c>
      <c r="Y38" s="47"/>
      <c r="AC38" s="584" t="s">
        <v>494</v>
      </c>
    </row>
    <row r="39" spans="1:38" ht="13.15" x14ac:dyDescent="0.25">
      <c r="A39" s="23" t="s">
        <v>44</v>
      </c>
      <c r="C39" s="97">
        <f>$X$57</f>
        <v>9.465319377551569E-2</v>
      </c>
      <c r="E39" s="28">
        <f>C39*E37</f>
        <v>225674.34251513486</v>
      </c>
      <c r="F39" s="407"/>
      <c r="H39" s="131"/>
      <c r="M39" s="407"/>
      <c r="O39" s="131"/>
      <c r="T39" s="407"/>
      <c r="V39" s="11" t="s">
        <v>26</v>
      </c>
      <c r="W39" s="46"/>
      <c r="X39" s="195">
        <v>1</v>
      </c>
      <c r="Y39" s="47"/>
      <c r="AD39" s="586" t="s">
        <v>477</v>
      </c>
      <c r="AE39" s="586" t="s">
        <v>478</v>
      </c>
      <c r="AF39" s="586" t="s">
        <v>479</v>
      </c>
      <c r="AG39" s="586" t="s">
        <v>465</v>
      </c>
      <c r="AH39" s="586" t="s">
        <v>480</v>
      </c>
      <c r="AI39" s="586" t="s">
        <v>481</v>
      </c>
      <c r="AJ39" s="586" t="s">
        <v>468</v>
      </c>
    </row>
    <row r="40" spans="1:38" ht="13.15" x14ac:dyDescent="0.25">
      <c r="F40" s="407"/>
      <c r="H40" s="131" t="s">
        <v>44</v>
      </c>
      <c r="J40" s="593">
        <f>Z57</f>
        <v>0.11846733793705286</v>
      </c>
      <c r="L40" s="28">
        <f>J40*L38</f>
        <v>291295.88216735795</v>
      </c>
      <c r="M40" s="407"/>
      <c r="O40" s="131" t="s">
        <v>44</v>
      </c>
      <c r="Q40" s="593">
        <f>Z57</f>
        <v>0.11846733793705286</v>
      </c>
      <c r="S40" s="28">
        <f>Q40*S38</f>
        <v>298908.36849765974</v>
      </c>
      <c r="T40" s="407"/>
      <c r="V40" s="11" t="s">
        <v>27</v>
      </c>
      <c r="W40" s="46"/>
      <c r="X40" s="195">
        <v>1</v>
      </c>
      <c r="Y40" s="47"/>
      <c r="AC40" s="177" t="s">
        <v>469</v>
      </c>
      <c r="AD40" s="564">
        <v>8</v>
      </c>
      <c r="AE40" s="564">
        <v>8</v>
      </c>
      <c r="AF40" s="564">
        <v>8</v>
      </c>
      <c r="AG40" s="564">
        <v>8</v>
      </c>
      <c r="AH40" s="564">
        <v>8</v>
      </c>
      <c r="AI40" s="564">
        <v>8</v>
      </c>
      <c r="AJ40" s="564">
        <v>8</v>
      </c>
    </row>
    <row r="41" spans="1:38" ht="13.9" thickBot="1" x14ac:dyDescent="0.3">
      <c r="A41" s="73" t="s">
        <v>52</v>
      </c>
      <c r="B41" s="74"/>
      <c r="C41" s="74"/>
      <c r="D41" s="74"/>
      <c r="E41" s="75">
        <f>SUM(E37:E39)</f>
        <v>2609897.5632376764</v>
      </c>
      <c r="F41" s="407"/>
      <c r="H41" s="131"/>
      <c r="M41" s="407"/>
      <c r="O41" s="131"/>
      <c r="T41" s="407"/>
      <c r="V41" s="7" t="s">
        <v>5</v>
      </c>
      <c r="W41" s="46"/>
      <c r="X41" s="195"/>
      <c r="Y41" s="47"/>
      <c r="AC41" s="177" t="s">
        <v>470</v>
      </c>
      <c r="AD41" s="564">
        <v>8</v>
      </c>
      <c r="AE41" s="564">
        <v>8</v>
      </c>
      <c r="AF41" s="564">
        <v>8</v>
      </c>
      <c r="AG41" s="564">
        <v>8</v>
      </c>
      <c r="AH41" s="564">
        <v>8</v>
      </c>
      <c r="AI41" s="564">
        <v>8</v>
      </c>
      <c r="AJ41" s="564">
        <v>8</v>
      </c>
    </row>
    <row r="42" spans="1:38" ht="14.45" thickTop="1" thickBot="1" x14ac:dyDescent="0.3">
      <c r="F42" s="407"/>
      <c r="H42" s="574" t="s">
        <v>52</v>
      </c>
      <c r="I42" s="606"/>
      <c r="J42" s="74"/>
      <c r="K42" s="74"/>
      <c r="L42" s="75">
        <f>SUM(L38:L40)</f>
        <v>2750166.7172842645</v>
      </c>
      <c r="M42" s="510">
        <f>L42</f>
        <v>2750166.7172842645</v>
      </c>
      <c r="O42" s="574" t="s">
        <v>52</v>
      </c>
      <c r="P42" s="606"/>
      <c r="Q42" s="74"/>
      <c r="R42" s="74"/>
      <c r="S42" s="75">
        <f>SUM(S38:S40)</f>
        <v>2822037.3059984208</v>
      </c>
      <c r="T42" s="510">
        <f>S42</f>
        <v>2822037.3059984208</v>
      </c>
      <c r="V42" s="11" t="s">
        <v>28</v>
      </c>
      <c r="W42" s="46"/>
      <c r="X42" s="195">
        <v>0.15</v>
      </c>
      <c r="Y42" s="47"/>
      <c r="AC42" s="177" t="s">
        <v>471</v>
      </c>
      <c r="AD42" s="564">
        <v>8</v>
      </c>
      <c r="AE42" s="564">
        <v>8</v>
      </c>
      <c r="AF42" s="564">
        <v>8</v>
      </c>
      <c r="AG42" s="564">
        <v>8</v>
      </c>
      <c r="AH42" s="564">
        <v>8</v>
      </c>
      <c r="AI42" s="564">
        <v>8</v>
      </c>
      <c r="AJ42" s="564">
        <v>8</v>
      </c>
    </row>
    <row r="43" spans="1:38" ht="13.9" thickTop="1" x14ac:dyDescent="0.25">
      <c r="A43" s="23" t="s">
        <v>53</v>
      </c>
      <c r="C43" s="98">
        <f>$X$59</f>
        <v>2.4800378941670066E-2</v>
      </c>
      <c r="E43" s="77">
        <f>E41*(1+C43)</f>
        <v>2674624.0118049118</v>
      </c>
      <c r="F43" s="407"/>
      <c r="H43" s="131"/>
      <c r="M43" s="407"/>
      <c r="O43" s="131"/>
      <c r="T43" s="407"/>
      <c r="V43" s="11" t="s">
        <v>29</v>
      </c>
      <c r="W43" s="46"/>
      <c r="X43" s="195">
        <v>1</v>
      </c>
      <c r="Y43" s="47"/>
      <c r="AK43" s="23">
        <f>SUM(AD40:AJ42)</f>
        <v>168</v>
      </c>
      <c r="AL43" s="177" t="s">
        <v>493</v>
      </c>
    </row>
    <row r="44" spans="1:38" ht="13.15" x14ac:dyDescent="0.25">
      <c r="F44" s="407"/>
      <c r="H44" s="131" t="s">
        <v>53</v>
      </c>
      <c r="J44" s="98">
        <f>$X$59</f>
        <v>2.4800378941670066E-2</v>
      </c>
      <c r="L44" s="77">
        <f>L42*(1+J44)</f>
        <v>2818371.8940256829</v>
      </c>
      <c r="M44" s="408">
        <f>M42*(1+J44)</f>
        <v>2818371.8940256829</v>
      </c>
      <c r="O44" s="131" t="s">
        <v>53</v>
      </c>
      <c r="Q44" s="98">
        <f>$X$59</f>
        <v>2.4800378941670066E-2</v>
      </c>
      <c r="S44" s="77">
        <f>S42*(1+Q44)</f>
        <v>2892024.9005747112</v>
      </c>
      <c r="T44" s="408">
        <f>T42*(1+Q44)</f>
        <v>2892024.9005747112</v>
      </c>
      <c r="V44" s="11" t="s">
        <v>30</v>
      </c>
      <c r="W44" s="46"/>
      <c r="X44" s="195">
        <v>21.3</v>
      </c>
      <c r="Y44" s="47"/>
      <c r="AK44" s="23">
        <f>AK43/40</f>
        <v>4.2</v>
      </c>
      <c r="AL44" s="177" t="s">
        <v>3</v>
      </c>
    </row>
    <row r="45" spans="1:38" ht="13.15" x14ac:dyDescent="0.25">
      <c r="E45" s="92" t="s">
        <v>56</v>
      </c>
      <c r="F45" s="407"/>
      <c r="H45" s="131"/>
      <c r="M45" s="407"/>
      <c r="O45" s="131"/>
      <c r="T45" s="407"/>
      <c r="V45" s="42" t="s">
        <v>31</v>
      </c>
      <c r="W45" s="46"/>
      <c r="X45" s="178">
        <v>3.1949999999999998</v>
      </c>
      <c r="Y45" s="47"/>
      <c r="AK45" s="23">
        <f>AK44*X10</f>
        <v>0.63</v>
      </c>
      <c r="AL45" s="177" t="s">
        <v>495</v>
      </c>
    </row>
    <row r="46" spans="1:38" ht="13.15" x14ac:dyDescent="0.25">
      <c r="A46" s="23" t="s">
        <v>55</v>
      </c>
      <c r="D46" s="76">
        <f>E41/E8</f>
        <v>476.69361885619662</v>
      </c>
      <c r="E46" s="76">
        <f>D46*(1+C43)</f>
        <v>488.51580124290632</v>
      </c>
      <c r="F46" s="407"/>
      <c r="H46" s="131"/>
      <c r="L46" s="597" t="s">
        <v>497</v>
      </c>
      <c r="M46" s="598" t="s">
        <v>497</v>
      </c>
      <c r="O46" s="131"/>
      <c r="S46" s="597" t="s">
        <v>497</v>
      </c>
      <c r="T46" s="598" t="s">
        <v>497</v>
      </c>
      <c r="V46" s="7" t="s">
        <v>6</v>
      </c>
      <c r="W46" s="46"/>
      <c r="X46" s="195"/>
      <c r="Y46" s="47"/>
      <c r="AK46" s="23">
        <f>SUM(AK44:AK45)</f>
        <v>4.83</v>
      </c>
      <c r="AL46" s="177" t="s">
        <v>523</v>
      </c>
    </row>
    <row r="47" spans="1:38" ht="13.9" thickBot="1" x14ac:dyDescent="0.3">
      <c r="A47" s="377" t="s">
        <v>455</v>
      </c>
      <c r="B47" s="378"/>
      <c r="C47" s="379">
        <f>'CAF Spring 2015'!$BC$24</f>
        <v>2.0354406130268236E-2</v>
      </c>
      <c r="D47" s="380"/>
      <c r="E47" s="380"/>
      <c r="F47" s="381">
        <f>E46*(1+C47)</f>
        <v>498.45925026245789</v>
      </c>
      <c r="H47" s="131" t="s">
        <v>55</v>
      </c>
      <c r="K47" s="76">
        <f>L42/L8</f>
        <v>502.31355566835879</v>
      </c>
      <c r="L47" s="76">
        <f>K47*(1+J44)</f>
        <v>514.77112219647177</v>
      </c>
      <c r="M47" s="408">
        <f>M44/12</f>
        <v>234864.32450214025</v>
      </c>
      <c r="O47" s="131" t="s">
        <v>55</v>
      </c>
      <c r="R47" s="76">
        <f>S42/S8</f>
        <v>515.44060383532803</v>
      </c>
      <c r="S47" s="76">
        <f>R47*(1+Q44)</f>
        <v>528.22372613236735</v>
      </c>
      <c r="T47" s="408">
        <f>T44/12</f>
        <v>241002.07504789261</v>
      </c>
      <c r="V47" s="11" t="s">
        <v>32</v>
      </c>
      <c r="W47" s="46"/>
      <c r="X47" s="195">
        <v>1.25</v>
      </c>
      <c r="Y47" s="47"/>
    </row>
    <row r="48" spans="1:38" ht="13.9" thickBot="1" x14ac:dyDescent="0.3">
      <c r="A48" s="78" t="s">
        <v>54</v>
      </c>
      <c r="B48" s="79">
        <v>0.9</v>
      </c>
      <c r="C48" s="80"/>
      <c r="D48" s="86">
        <f>E41/(E8*B48)</f>
        <v>529.65957650688506</v>
      </c>
      <c r="E48" s="384">
        <f>D48*(1+C43)</f>
        <v>542.79533471434024</v>
      </c>
      <c r="F48" s="746">
        <f>ROUND($F$47/B48,2)</f>
        <v>553.84</v>
      </c>
      <c r="H48" s="576" t="s">
        <v>455</v>
      </c>
      <c r="I48" s="607"/>
      <c r="J48" s="379">
        <f>'CAF Spring 2015'!$BC$24</f>
        <v>2.0354406130268236E-2</v>
      </c>
      <c r="K48" s="380"/>
      <c r="L48" s="380">
        <f>L47*(1+J48)</f>
        <v>525.24898268179277</v>
      </c>
      <c r="M48" s="592">
        <f>ROUND(M47*(1+J48),0)</f>
        <v>239645</v>
      </c>
      <c r="O48" s="576" t="s">
        <v>455</v>
      </c>
      <c r="P48" s="607"/>
      <c r="Q48" s="379">
        <f>'CAF Spring 2015'!$BC$24</f>
        <v>2.0354406130268236E-2</v>
      </c>
      <c r="R48" s="380"/>
      <c r="S48" s="380">
        <f>S47*(1+Q48)</f>
        <v>538.97540638170915</v>
      </c>
      <c r="T48" s="596">
        <f>ROUND(T47*(1+Q48),0)</f>
        <v>245908</v>
      </c>
      <c r="V48" s="11" t="s">
        <v>33</v>
      </c>
      <c r="W48" s="46"/>
      <c r="X48" s="195">
        <v>4.5</v>
      </c>
      <c r="Y48" s="47"/>
    </row>
    <row r="49" spans="1:26" ht="13.9" thickBot="1" x14ac:dyDescent="0.3">
      <c r="A49" s="81"/>
      <c r="B49" s="82">
        <v>0.85</v>
      </c>
      <c r="C49" s="83"/>
      <c r="D49" s="88">
        <f>E41/(E8*B49)</f>
        <v>560.81602218376077</v>
      </c>
      <c r="E49" s="88">
        <f>D49*(1+C43)</f>
        <v>574.72447205047808</v>
      </c>
      <c r="F49" s="747">
        <f t="shared" ref="F49:F53" si="9">ROUND($F$47/B49,2)</f>
        <v>586.41999999999996</v>
      </c>
      <c r="H49" s="78" t="s">
        <v>54</v>
      </c>
      <c r="I49" s="608">
        <v>0.9</v>
      </c>
      <c r="J49" s="80"/>
      <c r="K49" s="86"/>
      <c r="L49" s="656">
        <f>L48/I49</f>
        <v>583.60998075754753</v>
      </c>
      <c r="M49" s="591"/>
      <c r="O49" s="78" t="s">
        <v>54</v>
      </c>
      <c r="P49" s="608">
        <v>0.9</v>
      </c>
      <c r="Q49" s="80"/>
      <c r="R49" s="86"/>
      <c r="S49" s="656">
        <f>S48/P49</f>
        <v>598.86156264634349</v>
      </c>
      <c r="T49" s="591"/>
      <c r="V49" s="43"/>
      <c r="W49" s="29"/>
      <c r="X49" s="29"/>
      <c r="Y49" s="41"/>
    </row>
    <row r="50" spans="1:26" ht="13.15" x14ac:dyDescent="0.25">
      <c r="A50" s="84"/>
      <c r="B50" s="85">
        <v>0.8</v>
      </c>
      <c r="C50" s="34"/>
      <c r="D50" s="90">
        <f>$E$41/($E$8*B50)</f>
        <v>595.86702357024581</v>
      </c>
      <c r="E50" s="90">
        <f>D50*(1+$C$43)</f>
        <v>610.64475155363289</v>
      </c>
      <c r="F50" s="748">
        <f t="shared" si="9"/>
        <v>623.07000000000005</v>
      </c>
      <c r="H50" s="81"/>
      <c r="I50" s="609">
        <v>0.85</v>
      </c>
      <c r="J50" s="83"/>
      <c r="K50" s="88"/>
      <c r="L50" s="88"/>
      <c r="M50" s="508"/>
      <c r="O50" s="81"/>
      <c r="P50" s="609">
        <v>0.85</v>
      </c>
      <c r="Q50" s="83"/>
      <c r="R50" s="88"/>
      <c r="S50" s="88"/>
      <c r="T50" s="508"/>
    </row>
    <row r="51" spans="1:26" x14ac:dyDescent="0.2">
      <c r="B51" s="383">
        <v>0.75</v>
      </c>
      <c r="D51" s="88">
        <f t="shared" ref="D51:D53" si="10">$E$41/($E$8*B51)</f>
        <v>635.59149180826216</v>
      </c>
      <c r="E51" s="88">
        <f t="shared" ref="E51:E53" si="11">D51*(1+$C$43)</f>
        <v>651.35440165720843</v>
      </c>
      <c r="F51" s="747">
        <f t="shared" si="9"/>
        <v>664.61</v>
      </c>
      <c r="H51" s="84"/>
      <c r="I51" s="610">
        <v>0.8</v>
      </c>
      <c r="J51" s="34"/>
      <c r="K51" s="90"/>
      <c r="L51" s="90"/>
      <c r="M51" s="509"/>
      <c r="O51" s="84"/>
      <c r="P51" s="610">
        <v>0.8</v>
      </c>
      <c r="Q51" s="34"/>
      <c r="R51" s="90"/>
      <c r="S51" s="90"/>
      <c r="T51" s="509"/>
      <c r="V51" s="43" t="s">
        <v>22</v>
      </c>
      <c r="W51" s="29"/>
      <c r="X51" s="95">
        <f>IF('[2]Avg Expenses'!$C$3&gt;26%,26%,'[2]Avg Expenses'!$C$3)</f>
        <v>0.26</v>
      </c>
      <c r="Y51" s="99" t="s">
        <v>146</v>
      </c>
    </row>
    <row r="52" spans="1:26" ht="13.15" x14ac:dyDescent="0.25">
      <c r="B52" s="383">
        <v>0.7</v>
      </c>
      <c r="D52" s="88">
        <f t="shared" si="10"/>
        <v>680.99088408028092</v>
      </c>
      <c r="E52" s="88">
        <f t="shared" si="11"/>
        <v>697.87971606129474</v>
      </c>
      <c r="F52" s="747">
        <f t="shared" si="9"/>
        <v>712.08</v>
      </c>
      <c r="I52" s="611"/>
      <c r="M52" s="394"/>
      <c r="P52" s="611"/>
      <c r="T52" s="394"/>
      <c r="V52" s="43"/>
      <c r="W52" s="29"/>
      <c r="X52" s="48"/>
      <c r="Y52" s="41"/>
    </row>
    <row r="53" spans="1:26" ht="13.9" thickBot="1" x14ac:dyDescent="0.3">
      <c r="B53" s="383">
        <v>0.65</v>
      </c>
      <c r="D53" s="88">
        <f t="shared" si="10"/>
        <v>733.37479824030243</v>
      </c>
      <c r="E53" s="88">
        <f t="shared" si="11"/>
        <v>751.56277114293266</v>
      </c>
      <c r="F53" s="749">
        <f t="shared" si="9"/>
        <v>766.86</v>
      </c>
      <c r="I53" s="611"/>
      <c r="M53" s="394"/>
      <c r="P53" s="611"/>
      <c r="T53" s="394"/>
      <c r="V53" s="43" t="s">
        <v>39</v>
      </c>
      <c r="W53" s="29"/>
      <c r="X53" s="59">
        <f>'[2]Avg Expenses'!$H$5</f>
        <v>10.849918306351181</v>
      </c>
      <c r="Y53" s="41"/>
    </row>
    <row r="54" spans="1:26" ht="13.15" x14ac:dyDescent="0.25">
      <c r="B54" s="383"/>
      <c r="F54" s="394"/>
      <c r="I54" s="611"/>
      <c r="M54" s="394"/>
      <c r="P54" s="611"/>
      <c r="T54" s="394"/>
      <c r="V54" s="43" t="s">
        <v>40</v>
      </c>
      <c r="W54" s="29"/>
      <c r="X54" s="59">
        <f>'[2]Avg Expenses'!$H$11</f>
        <v>25.408549439601494</v>
      </c>
      <c r="Y54" s="41"/>
    </row>
    <row r="55" spans="1:26" ht="13.15" x14ac:dyDescent="0.25">
      <c r="D55" s="29"/>
      <c r="E55" s="61"/>
      <c r="F55" s="71"/>
      <c r="I55" s="611"/>
      <c r="M55" s="394"/>
      <c r="P55" s="611"/>
      <c r="T55" s="394"/>
      <c r="V55" s="101" t="s">
        <v>43</v>
      </c>
      <c r="W55" s="102"/>
      <c r="X55" s="103">
        <f>SUM(X53:X54)</f>
        <v>36.258467745952672</v>
      </c>
      <c r="Y55" s="104"/>
    </row>
    <row r="56" spans="1:26" ht="13.15" x14ac:dyDescent="0.25">
      <c r="D56" s="29"/>
      <c r="E56" s="750"/>
      <c r="F56" s="71"/>
      <c r="V56" s="43"/>
      <c r="W56" s="29"/>
      <c r="X56" s="29"/>
      <c r="Y56" s="41"/>
    </row>
    <row r="57" spans="1:26" ht="13.15" x14ac:dyDescent="0.25">
      <c r="D57" s="29"/>
      <c r="E57" s="29"/>
      <c r="V57" s="43" t="s">
        <v>44</v>
      </c>
      <c r="W57" s="29"/>
      <c r="X57" s="95">
        <f>'[2]Avg Expenses'!$C$39</f>
        <v>9.465319377551569E-2</v>
      </c>
      <c r="Y57" s="41"/>
      <c r="Z57" s="583">
        <f>'STARR (rebased)'!T47</f>
        <v>0.11846733793705286</v>
      </c>
    </row>
    <row r="58" spans="1:26" ht="13.15" customHeight="1" x14ac:dyDescent="0.25">
      <c r="V58" s="43"/>
      <c r="W58" s="29"/>
      <c r="X58" s="29"/>
      <c r="Y58" s="41"/>
    </row>
    <row r="59" spans="1:26" ht="13.9" thickBot="1" x14ac:dyDescent="0.3">
      <c r="V59" s="51" t="s">
        <v>45</v>
      </c>
      <c r="W59" s="52"/>
      <c r="X59" s="96">
        <f>'[3]Spring 2011 CPI'!$J$37</f>
        <v>2.4800378941670066E-2</v>
      </c>
      <c r="Y59" s="53"/>
    </row>
    <row r="60" spans="1:26" ht="13.15" x14ac:dyDescent="0.25">
      <c r="V60" s="63" t="s">
        <v>50</v>
      </c>
      <c r="W60" s="64" t="s">
        <v>46</v>
      </c>
    </row>
    <row r="61" spans="1:26" ht="13.15" x14ac:dyDescent="0.25">
      <c r="V61" s="24" t="s">
        <v>81</v>
      </c>
    </row>
    <row r="62" spans="1:26" ht="13.15" x14ac:dyDescent="0.25">
      <c r="V62" s="23" t="s">
        <v>63</v>
      </c>
    </row>
    <row r="63" spans="1:26" ht="13.15" x14ac:dyDescent="0.25">
      <c r="V63" s="54" t="s">
        <v>48</v>
      </c>
    </row>
    <row r="65" spans="8:22" ht="13.15" x14ac:dyDescent="0.25">
      <c r="L65" s="105"/>
      <c r="S65" s="105"/>
      <c r="V65" s="55" t="s">
        <v>49</v>
      </c>
    </row>
    <row r="66" spans="8:22" ht="13.15" x14ac:dyDescent="0.25">
      <c r="O66" s="71"/>
      <c r="Q66" s="71"/>
      <c r="V66" s="100" t="s">
        <v>74</v>
      </c>
    </row>
    <row r="67" spans="8:22" ht="13.15" x14ac:dyDescent="0.25">
      <c r="J67" s="71"/>
      <c r="O67" s="594"/>
      <c r="V67" s="181" t="s">
        <v>293</v>
      </c>
    </row>
    <row r="68" spans="8:22" ht="13.15" x14ac:dyDescent="0.25">
      <c r="H68" s="177"/>
      <c r="J68" s="594"/>
      <c r="V68" s="100" t="s">
        <v>72</v>
      </c>
    </row>
    <row r="69" spans="8:22" ht="13.15" x14ac:dyDescent="0.25">
      <c r="J69" s="594"/>
      <c r="Q69" s="71"/>
      <c r="V69" s="173" t="s">
        <v>219</v>
      </c>
    </row>
    <row r="70" spans="8:22" ht="13.15" x14ac:dyDescent="0.25">
      <c r="J70" s="594"/>
      <c r="V70" s="94" t="s">
        <v>294</v>
      </c>
    </row>
    <row r="71" spans="8:22" ht="13.15" x14ac:dyDescent="0.25">
      <c r="J71" s="71"/>
      <c r="V71" s="94" t="s">
        <v>79</v>
      </c>
    </row>
    <row r="72" spans="8:22" ht="13.15" x14ac:dyDescent="0.25">
      <c r="V72" s="23" t="s">
        <v>73</v>
      </c>
    </row>
    <row r="73" spans="8:22" x14ac:dyDescent="0.2">
      <c r="V73" s="94" t="s">
        <v>147</v>
      </c>
    </row>
    <row r="85" spans="12:15" x14ac:dyDescent="0.2">
      <c r="L85" s="23">
        <v>15</v>
      </c>
      <c r="M85" s="23">
        <v>525</v>
      </c>
      <c r="N85" s="177">
        <f>L85*30</f>
        <v>450</v>
      </c>
      <c r="O85" s="23">
        <f>M85*N85</f>
        <v>236250</v>
      </c>
    </row>
    <row r="86" spans="12:15" x14ac:dyDescent="0.2">
      <c r="M86" s="23">
        <f>M85/0.9</f>
        <v>583.33333333333337</v>
      </c>
      <c r="N86" s="23">
        <f>N85*0.9</f>
        <v>405</v>
      </c>
      <c r="O86" s="23">
        <f>M86*N86</f>
        <v>236250.00000000003</v>
      </c>
    </row>
    <row r="87" spans="12:15" x14ac:dyDescent="0.2">
      <c r="L87" s="23">
        <f>15*0.8</f>
        <v>12</v>
      </c>
      <c r="M87" s="23">
        <f>M85/0.8</f>
        <v>656.25</v>
      </c>
      <c r="N87" s="23">
        <f>L87*30</f>
        <v>360</v>
      </c>
      <c r="O87" s="23">
        <f t="shared" ref="O87:O88" si="12">M87*N87</f>
        <v>236250</v>
      </c>
    </row>
    <row r="88" spans="12:15" x14ac:dyDescent="0.2">
      <c r="L88" s="679"/>
      <c r="M88" s="23">
        <f>M85/0.7</f>
        <v>750</v>
      </c>
      <c r="N88" s="23">
        <f>N85*0.7</f>
        <v>315</v>
      </c>
      <c r="O88" s="23">
        <f t="shared" si="12"/>
        <v>236250</v>
      </c>
    </row>
    <row r="92" spans="12:15" x14ac:dyDescent="0.2">
      <c r="M92" s="23">
        <f>583.33*405</f>
        <v>236248.65000000002</v>
      </c>
    </row>
  </sheetData>
  <customSheetViews>
    <customSheetView guid="{C4FB04C2-CA74-4980-BD95-4B9444F5E469}" scale="85" showRuler="0" topLeftCell="A6">
      <selection activeCell="J22" sqref="J22"/>
      <pageMargins left="0.7" right="0.7" top="0.75" bottom="0.75" header="0.3" footer="0.3"/>
      <pageSetup orientation="portrait" verticalDpi="0" r:id="rId1"/>
      <headerFooter alignWithMargins="0"/>
    </customSheetView>
    <customSheetView guid="{DD59BDBA-2B4B-4A1B-B4A1-2CCC67D7DFDF}" scale="85" showRuler="0" topLeftCell="C1">
      <selection activeCell="J18" sqref="J18"/>
      <pageMargins left="0.7" right="0.7" top="0.75" bottom="0.75" header="0.3" footer="0.3"/>
      <pageSetup orientation="portrait" verticalDpi="0" r:id="rId2"/>
      <headerFooter alignWithMargins="0"/>
    </customSheetView>
    <customSheetView guid="{5AADE27E-F302-43C6-9977-5F0A9EFCE2DA}" scale="85" showRuler="0" topLeftCell="A6">
      <selection activeCell="J22" sqref="J22"/>
      <pageMargins left="0.7" right="0.7" top="0.75" bottom="0.75" header="0.3" footer="0.3"/>
      <pageSetup orientation="portrait" verticalDpi="0" r:id="rId3"/>
      <headerFooter alignWithMargins="0"/>
    </customSheetView>
    <customSheetView guid="{24909757-F1DE-4143-82F8-9D141610CA99}" scale="85" topLeftCell="A7">
      <selection activeCell="L55" sqref="L55"/>
      <pageMargins left="0.7" right="0.7" top="0.75" bottom="0.75" header="0.3" footer="0.3"/>
      <pageSetup orientation="portrait" verticalDpi="0" r:id="rId4"/>
    </customSheetView>
  </customSheetViews>
  <mergeCells count="8">
    <mergeCell ref="H6:L7"/>
    <mergeCell ref="M6:M7"/>
    <mergeCell ref="O6:S7"/>
    <mergeCell ref="A6:E7"/>
    <mergeCell ref="V1:Y1"/>
    <mergeCell ref="W3:X3"/>
    <mergeCell ref="F6:F7"/>
    <mergeCell ref="T6:T7"/>
  </mergeCells>
  <phoneticPr fontId="29" type="noConversion"/>
  <pageMargins left="0.7" right="0.7" top="0.75" bottom="0.75" header="0.3" footer="0.3"/>
  <pageSetup scale="63" fitToWidth="0" orientation="landscape" r:id="rId5"/>
  <headerFooter>
    <oddFooter>&amp;R2016-04-12
&amp;A
Caring Together rate review</oddFooter>
  </headerFooter>
  <colBreaks count="1" manualBreakCount="1">
    <brk id="7" min="5" max="65" man="1"/>
  </colBreaks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36"/>
  <sheetViews>
    <sheetView zoomScale="70" zoomScaleNormal="70" workbookViewId="0">
      <pane ySplit="1" topLeftCell="A14" activePane="bottomLeft" state="frozen"/>
      <selection pane="bottomLeft" activeCell="K33" sqref="K33"/>
    </sheetView>
  </sheetViews>
  <sheetFormatPr defaultColWidth="8.85546875" defaultRowHeight="15" x14ac:dyDescent="0.25"/>
  <cols>
    <col min="1" max="1" width="44.42578125" style="1303" customWidth="1"/>
    <col min="2" max="4" width="8.85546875" style="324" hidden="1" customWidth="1"/>
    <col min="5" max="5" width="14.7109375" style="324" hidden="1" customWidth="1"/>
    <col min="6" max="6" width="46.5703125" style="1304" hidden="1" customWidth="1"/>
    <col min="7" max="7" width="15.7109375" style="1312" customWidth="1"/>
    <col min="8" max="8" width="25.28515625" style="1309" customWidth="1"/>
    <col min="9" max="9" width="11.7109375" style="1299" customWidth="1"/>
    <col min="10" max="10" width="8.85546875" style="1299"/>
    <col min="11" max="11" width="26.85546875" style="324" customWidth="1"/>
    <col min="12" max="12" width="10.42578125" style="324" customWidth="1"/>
    <col min="13" max="16384" width="8.85546875" style="324"/>
  </cols>
  <sheetData>
    <row r="1" spans="1:14" ht="55.15" customHeight="1" x14ac:dyDescent="0.3">
      <c r="A1" s="1300" t="s">
        <v>525</v>
      </c>
      <c r="B1" s="1300" t="s">
        <v>555</v>
      </c>
      <c r="E1" s="1300" t="s">
        <v>795</v>
      </c>
      <c r="F1" s="1301" t="s">
        <v>679</v>
      </c>
      <c r="G1" s="1300" t="s">
        <v>797</v>
      </c>
      <c r="H1" s="1300" t="s">
        <v>799</v>
      </c>
      <c r="I1" s="1302" t="s">
        <v>800</v>
      </c>
      <c r="J1" s="1302"/>
      <c r="K1" s="1301"/>
      <c r="L1" s="1301"/>
      <c r="M1" s="1301"/>
      <c r="N1" s="1301"/>
    </row>
    <row r="2" spans="1:14" ht="43.15" x14ac:dyDescent="0.3">
      <c r="A2" s="1303" t="s">
        <v>528</v>
      </c>
      <c r="B2" s="324" t="s">
        <v>556</v>
      </c>
      <c r="E2" s="1297">
        <f>'[4]CIRT (post ph)'!M47</f>
        <v>212245</v>
      </c>
      <c r="F2" s="1298" t="s">
        <v>674</v>
      </c>
      <c r="G2" s="1310">
        <v>212245</v>
      </c>
      <c r="H2" s="1307" t="s">
        <v>798</v>
      </c>
      <c r="I2" s="1305">
        <v>2.6200000000000001E-2</v>
      </c>
    </row>
    <row r="3" spans="1:14" ht="43.15" x14ac:dyDescent="0.3">
      <c r="A3" s="1303" t="s">
        <v>558</v>
      </c>
      <c r="B3" s="324" t="s">
        <v>556</v>
      </c>
      <c r="E3" s="1297" t="e">
        <f>'[4]IRTP (post PH)'!M41</f>
        <v>#REF!</v>
      </c>
      <c r="F3" s="1298" t="s">
        <v>676</v>
      </c>
      <c r="G3" s="1310">
        <v>240677</v>
      </c>
      <c r="H3" s="1307" t="s">
        <v>798</v>
      </c>
      <c r="I3" s="1305">
        <v>2.6200000000000001E-2</v>
      </c>
    </row>
    <row r="4" spans="1:14" ht="43.15" x14ac:dyDescent="0.3">
      <c r="A4" s="1303" t="s">
        <v>559</v>
      </c>
      <c r="B4" s="324" t="s">
        <v>556</v>
      </c>
      <c r="E4" s="1297" t="e">
        <f>'[4]IRTP (post PH)'!T41</f>
        <v>#REF!</v>
      </c>
      <c r="F4" s="1298" t="s">
        <v>674</v>
      </c>
      <c r="G4" s="1310">
        <v>246940</v>
      </c>
      <c r="H4" s="1307" t="s">
        <v>798</v>
      </c>
      <c r="I4" s="1305">
        <v>2.6200000000000001E-2</v>
      </c>
    </row>
    <row r="5" spans="1:14" ht="43.15" x14ac:dyDescent="0.3">
      <c r="A5" s="1303" t="s">
        <v>529</v>
      </c>
      <c r="E5" s="953">
        <f>'[4]Group Home (post PH)'!L46</f>
        <v>335.73771594864553</v>
      </c>
      <c r="F5" s="1298" t="s">
        <v>675</v>
      </c>
      <c r="G5" s="1311">
        <v>335.73771594864553</v>
      </c>
      <c r="H5" s="1308" t="e">
        <f>'Group Home (rebased)'!#REF!</f>
        <v>#REF!</v>
      </c>
      <c r="I5" s="1306" t="e">
        <f>(H5-G5)/G5</f>
        <v>#REF!</v>
      </c>
    </row>
    <row r="6" spans="1:14" ht="43.15" x14ac:dyDescent="0.3">
      <c r="A6" s="1303" t="s">
        <v>530</v>
      </c>
      <c r="E6" s="953">
        <f>'[4]Group Home (post PH)'!L89</f>
        <v>282.31432186980112</v>
      </c>
      <c r="F6" s="1298" t="s">
        <v>675</v>
      </c>
      <c r="G6" s="1311">
        <v>282.31432186980112</v>
      </c>
      <c r="H6" s="1308" t="e">
        <f>'Group Home (rebased)'!#REF!</f>
        <v>#REF!</v>
      </c>
      <c r="I6" s="1306" t="e">
        <f t="shared" ref="I6:I7" si="0">(H6-G6)/G6</f>
        <v>#REF!</v>
      </c>
      <c r="K6" s="324" t="s">
        <v>124</v>
      </c>
      <c r="L6" s="1314">
        <v>2.6200000000000001E-2</v>
      </c>
    </row>
    <row r="7" spans="1:14" ht="43.15" x14ac:dyDescent="0.3">
      <c r="A7" s="1303" t="s">
        <v>557</v>
      </c>
      <c r="E7" s="953">
        <f>'[4]Group Home (post PH)'!L130</f>
        <v>241.77780133113239</v>
      </c>
      <c r="F7" s="1298" t="s">
        <v>796</v>
      </c>
      <c r="G7" s="1311">
        <v>241.77780133113239</v>
      </c>
      <c r="H7" s="1308" t="e">
        <f>'Group Home (rebased)'!#REF!</f>
        <v>#REF!</v>
      </c>
      <c r="I7" s="1306" t="e">
        <f t="shared" si="0"/>
        <v>#REF!</v>
      </c>
      <c r="K7" s="324" t="s">
        <v>802</v>
      </c>
      <c r="L7" s="1314">
        <v>3.6400000000000002E-2</v>
      </c>
      <c r="M7" s="324" t="s">
        <v>803</v>
      </c>
    </row>
    <row r="8" spans="1:14" ht="28.9" x14ac:dyDescent="0.3">
      <c r="A8" s="1303" t="s">
        <v>531</v>
      </c>
      <c r="E8" s="953" t="e">
        <f>#REF!</f>
        <v>#REF!</v>
      </c>
      <c r="F8" s="1298" t="s">
        <v>672</v>
      </c>
      <c r="G8" s="1311">
        <v>103.62851387473076</v>
      </c>
      <c r="H8" s="1308" t="s">
        <v>798</v>
      </c>
      <c r="I8" s="1305">
        <v>2.6200000000000001E-2</v>
      </c>
      <c r="K8" s="324" t="s">
        <v>801</v>
      </c>
      <c r="L8" s="1314">
        <v>2.6200000000000001E-2</v>
      </c>
      <c r="M8" s="324" t="s">
        <v>803</v>
      </c>
    </row>
    <row r="9" spans="1:14" ht="43.15" x14ac:dyDescent="0.3">
      <c r="A9" s="1303" t="s">
        <v>533</v>
      </c>
      <c r="B9" s="324" t="s">
        <v>564</v>
      </c>
      <c r="E9" s="953">
        <f>'[4]STARR (post PH)'!O88</f>
        <v>408.72565385714512</v>
      </c>
      <c r="F9" s="1298" t="s">
        <v>680</v>
      </c>
      <c r="G9" s="1311">
        <v>408.72565385714512</v>
      </c>
      <c r="H9" s="1308" t="e">
        <f>'STARR (rebased)'!#REF!</f>
        <v>#REF!</v>
      </c>
      <c r="I9" s="1306" t="e">
        <f>(H9-G9)/G9</f>
        <v>#REF!</v>
      </c>
      <c r="K9" s="324" t="s">
        <v>804</v>
      </c>
      <c r="L9" s="1314" t="e">
        <f>AVERAGE(I6,I17)</f>
        <v>#REF!</v>
      </c>
    </row>
    <row r="10" spans="1:14" ht="43.15" x14ac:dyDescent="0.3">
      <c r="A10" s="1303" t="s">
        <v>534</v>
      </c>
      <c r="B10" s="324" t="s">
        <v>564</v>
      </c>
      <c r="E10" s="953">
        <f>'[4]STARR (post PH)'!O133</f>
        <v>359.15190612731084</v>
      </c>
      <c r="F10" s="1298" t="s">
        <v>681</v>
      </c>
      <c r="G10" s="1311">
        <v>359.15190612731084</v>
      </c>
      <c r="H10" s="1308" t="e">
        <f>'STARR (rebased)'!#REF!</f>
        <v>#REF!</v>
      </c>
      <c r="I10" s="1306" t="e">
        <f t="shared" ref="I10:I15" si="1">(H10-G10)/G10</f>
        <v>#REF!</v>
      </c>
      <c r="K10" s="324" t="s">
        <v>805</v>
      </c>
      <c r="L10" s="1314" t="e">
        <f>I5</f>
        <v>#REF!</v>
      </c>
    </row>
    <row r="11" spans="1:14" ht="43.15" x14ac:dyDescent="0.3">
      <c r="A11" s="1303" t="s">
        <v>535</v>
      </c>
      <c r="B11" s="324" t="s">
        <v>564</v>
      </c>
      <c r="E11" s="953">
        <f>'[4]STARR (post PH)'!O44</f>
        <v>337.66646774858759</v>
      </c>
      <c r="F11" s="1298" t="s">
        <v>757</v>
      </c>
      <c r="G11" s="1311">
        <v>337.66646774858759</v>
      </c>
      <c r="H11" s="1308" t="e">
        <f>'STARR (rebased)'!#REF!</f>
        <v>#REF!</v>
      </c>
      <c r="I11" s="1306" t="e">
        <f t="shared" si="1"/>
        <v>#REF!</v>
      </c>
      <c r="K11" s="324" t="s">
        <v>806</v>
      </c>
      <c r="L11" s="1314" t="e">
        <f>I6</f>
        <v>#REF!</v>
      </c>
    </row>
    <row r="12" spans="1:14" ht="43.15" x14ac:dyDescent="0.3">
      <c r="A12" s="1303" t="s">
        <v>536</v>
      </c>
      <c r="B12" s="324" t="s">
        <v>564</v>
      </c>
      <c r="E12" s="953">
        <f>'[4]STARR (post PH)'!O176</f>
        <v>324.49013065886675</v>
      </c>
      <c r="F12" s="1298" t="s">
        <v>757</v>
      </c>
      <c r="G12" s="1311">
        <v>324.49013065886675</v>
      </c>
      <c r="H12" s="1308" t="e">
        <f>'STARR (rebased)'!#REF!</f>
        <v>#REF!</v>
      </c>
      <c r="I12" s="1306" t="e">
        <f t="shared" si="1"/>
        <v>#REF!</v>
      </c>
    </row>
    <row r="13" spans="1:14" ht="57.6" x14ac:dyDescent="0.3">
      <c r="A13" s="1303" t="s">
        <v>538</v>
      </c>
      <c r="E13" s="953">
        <f>'[4]Teen Parent (post PH)'!F42</f>
        <v>278.54880600548699</v>
      </c>
      <c r="F13" s="1298" t="s">
        <v>677</v>
      </c>
      <c r="G13" s="1311">
        <v>278.54880600548699</v>
      </c>
      <c r="H13" s="1308" t="e">
        <f>'Teen Parent (rebased)'!#REF!</f>
        <v>#REF!</v>
      </c>
      <c r="I13" s="1306" t="e">
        <f t="shared" si="1"/>
        <v>#REF!</v>
      </c>
    </row>
    <row r="14" spans="1:14" ht="30" x14ac:dyDescent="0.25">
      <c r="A14" s="1303" t="s">
        <v>539</v>
      </c>
      <c r="B14" s="324" t="s">
        <v>556</v>
      </c>
      <c r="E14" s="953">
        <f>'[4]Teen Parent'!H82</f>
        <v>6054</v>
      </c>
      <c r="F14" s="1298" t="s">
        <v>671</v>
      </c>
      <c r="G14" s="1311">
        <v>6054</v>
      </c>
      <c r="H14" s="1308" t="e">
        <f>'Teen Parent (rebased)'!#REF!</f>
        <v>#REF!</v>
      </c>
      <c r="I14" s="1306" t="e">
        <f t="shared" si="1"/>
        <v>#REF!</v>
      </c>
    </row>
    <row r="15" spans="1:14" ht="30" x14ac:dyDescent="0.25">
      <c r="A15" s="1303" t="s">
        <v>540</v>
      </c>
      <c r="B15" s="324" t="s">
        <v>556</v>
      </c>
      <c r="E15" s="953">
        <f>'[4]Teen Parent'!H124</f>
        <v>6110</v>
      </c>
      <c r="F15" s="1298" t="s">
        <v>671</v>
      </c>
      <c r="G15" s="1311">
        <v>6110</v>
      </c>
      <c r="H15" s="1308" t="e">
        <f>'Teen Parent (rebased)'!#REF!</f>
        <v>#REF!</v>
      </c>
      <c r="I15" s="1306" t="e">
        <f t="shared" si="1"/>
        <v>#REF!</v>
      </c>
    </row>
    <row r="16" spans="1:14" ht="30" x14ac:dyDescent="0.25">
      <c r="A16" s="1303" t="s">
        <v>541</v>
      </c>
      <c r="B16" s="324" t="s">
        <v>556</v>
      </c>
      <c r="E16" s="953">
        <f>'[4]Teen Parent'!H159</f>
        <v>2828</v>
      </c>
      <c r="F16" s="1298" t="s">
        <v>671</v>
      </c>
      <c r="G16" s="1311">
        <v>2828</v>
      </c>
      <c r="H16" s="1308" t="s">
        <v>798</v>
      </c>
      <c r="I16" s="1305">
        <v>2.6200000000000001E-2</v>
      </c>
    </row>
    <row r="17" spans="1:9" ht="30" x14ac:dyDescent="0.25">
      <c r="A17" s="1303" t="s">
        <v>542</v>
      </c>
      <c r="E17" s="953">
        <f>'[4]Continuum (post PH)'!F47</f>
        <v>116.15980717116577</v>
      </c>
      <c r="F17" s="1298" t="s">
        <v>678</v>
      </c>
      <c r="G17" s="1311">
        <v>116.15980717116577</v>
      </c>
      <c r="H17" s="1308" t="s">
        <v>798</v>
      </c>
      <c r="I17" s="1305">
        <v>2.6200000000000001E-2</v>
      </c>
    </row>
    <row r="18" spans="1:9" x14ac:dyDescent="0.25">
      <c r="A18" s="1303" t="s">
        <v>543</v>
      </c>
      <c r="E18" s="953">
        <f>'[4]Continuum (post PH)'!G94</f>
        <v>335.73771594864553</v>
      </c>
      <c r="F18" s="1298" t="s">
        <v>670</v>
      </c>
      <c r="G18" s="1311">
        <v>335.73771594864553</v>
      </c>
      <c r="H18" s="1308" t="e">
        <f>'Continuum (rebased)'!#REF!</f>
        <v>#REF!</v>
      </c>
      <c r="I18" s="1306" t="e">
        <f>(H18-G18)/G18</f>
        <v>#REF!</v>
      </c>
    </row>
    <row r="19" spans="1:9" x14ac:dyDescent="0.25">
      <c r="A19" s="1303" t="s">
        <v>544</v>
      </c>
      <c r="E19" s="953">
        <f>'[4]Continuum (post PH)'!G136</f>
        <v>282.31432186980112</v>
      </c>
      <c r="F19" s="1298" t="s">
        <v>670</v>
      </c>
      <c r="G19" s="1311">
        <v>282.31432186980112</v>
      </c>
      <c r="H19" s="1308" t="e">
        <f>'Continuum (rebased)'!#REF!</f>
        <v>#REF!</v>
      </c>
      <c r="I19" s="1306" t="e">
        <f t="shared" ref="I19:I20" si="2">(H19-G19)/G19</f>
        <v>#REF!</v>
      </c>
    </row>
    <row r="20" spans="1:9" x14ac:dyDescent="0.25">
      <c r="A20" s="1303" t="s">
        <v>136</v>
      </c>
      <c r="E20" s="953" t="e">
        <f>#REF!</f>
        <v>#REF!</v>
      </c>
      <c r="F20" s="1298" t="s">
        <v>672</v>
      </c>
      <c r="G20" s="1311">
        <v>67.823167669349957</v>
      </c>
      <c r="H20" s="1308" t="e">
        <f>'FA - SO (rebased)'!#REF!</f>
        <v>#REF!</v>
      </c>
      <c r="I20" s="1306" t="e">
        <f t="shared" si="2"/>
        <v>#REF!</v>
      </c>
    </row>
    <row r="21" spans="1:9" ht="14.45" x14ac:dyDescent="0.3">
      <c r="A21" s="1303" t="s">
        <v>137</v>
      </c>
      <c r="E21" s="953" t="e">
        <f>#REF!</f>
        <v>#REF!</v>
      </c>
      <c r="F21" s="1298" t="s">
        <v>672</v>
      </c>
      <c r="G21" s="1311">
        <v>45.911724426061369</v>
      </c>
      <c r="H21" s="1308" t="s">
        <v>798</v>
      </c>
      <c r="I21" s="1305">
        <v>2.6200000000000001E-2</v>
      </c>
    </row>
    <row r="22" spans="1:9" ht="14.45" x14ac:dyDescent="0.3">
      <c r="A22" s="1303" t="s">
        <v>545</v>
      </c>
      <c r="E22" s="953" t="e">
        <f>#REF!</f>
        <v>#REF!</v>
      </c>
      <c r="F22" s="1298" t="s">
        <v>672</v>
      </c>
      <c r="G22" s="1311">
        <v>156.49096683945777</v>
      </c>
      <c r="H22" s="1308" t="e">
        <f>'SpecPgm-TAY(rebased)'!#REF!</f>
        <v>#REF!</v>
      </c>
      <c r="I22" s="1305" t="e">
        <f>(H22-G22)/G22</f>
        <v>#REF!</v>
      </c>
    </row>
    <row r="23" spans="1:9" ht="14.45" x14ac:dyDescent="0.3">
      <c r="A23" s="1303" t="s">
        <v>546</v>
      </c>
      <c r="E23" s="953" t="e">
        <f>#REF!</f>
        <v>#REF!</v>
      </c>
      <c r="F23" s="1298" t="s">
        <v>672</v>
      </c>
      <c r="G23" s="1311">
        <v>338.28633063241637</v>
      </c>
      <c r="H23" s="1308" t="e">
        <f>'SpecPgm-TAY(rebased)'!#REF!</f>
        <v>#REF!</v>
      </c>
      <c r="I23" s="1305" t="e">
        <f t="shared" ref="I23:I33" si="3">(H23-G23)/G23</f>
        <v>#REF!</v>
      </c>
    </row>
    <row r="24" spans="1:9" ht="28.9" x14ac:dyDescent="0.3">
      <c r="A24" s="1303" t="s">
        <v>547</v>
      </c>
      <c r="E24" s="953" t="e">
        <f>#REF!</f>
        <v>#REF!</v>
      </c>
      <c r="F24" s="1298" t="s">
        <v>672</v>
      </c>
      <c r="G24" s="1311">
        <v>69.515904408277493</v>
      </c>
      <c r="H24" s="1308" t="e">
        <f>'SpecPgm-Outrch Ind.Liv (rebased'!#REF!</f>
        <v>#REF!</v>
      </c>
      <c r="I24" s="1305" t="e">
        <f t="shared" si="3"/>
        <v>#REF!</v>
      </c>
    </row>
    <row r="25" spans="1:9" ht="28.9" x14ac:dyDescent="0.3">
      <c r="A25" s="1303" t="s">
        <v>548</v>
      </c>
      <c r="E25" s="953">
        <f>'[4]SpecPgm-1t1 SL (post PH)'!F40</f>
        <v>660.0135811339843</v>
      </c>
      <c r="F25" s="1298" t="s">
        <v>678</v>
      </c>
      <c r="G25" s="1311">
        <v>660.0135811339843</v>
      </c>
      <c r="H25" s="1308" t="e">
        <f>'SpecPgm-1t1 SL (rebased)'!#REF!</f>
        <v>#REF!</v>
      </c>
      <c r="I25" s="1305" t="e">
        <f t="shared" si="3"/>
        <v>#REF!</v>
      </c>
    </row>
    <row r="26" spans="1:9" ht="28.9" x14ac:dyDescent="0.3">
      <c r="A26" s="1303" t="s">
        <v>549</v>
      </c>
      <c r="E26" s="953">
        <f>'[4]SpecPgm-1t2 GH (post PH)'!F44</f>
        <v>381.9624856499309</v>
      </c>
      <c r="F26" s="1298" t="s">
        <v>678</v>
      </c>
      <c r="G26" s="1311">
        <v>381.9624856499309</v>
      </c>
      <c r="H26" s="1308" t="e">
        <f>'SpecPgm-1t2 GH (rebased)'!#REF!</f>
        <v>#REF!</v>
      </c>
      <c r="I26" s="1305" t="e">
        <f t="shared" si="3"/>
        <v>#REF!</v>
      </c>
    </row>
    <row r="27" spans="1:9" ht="28.9" x14ac:dyDescent="0.3">
      <c r="A27" s="1303" t="s">
        <v>550</v>
      </c>
      <c r="E27" s="953">
        <f>'[4]Inten GH w exp. Nurs (post PH)'!F49</f>
        <v>387.22503293087669</v>
      </c>
      <c r="F27" s="1298" t="s">
        <v>678</v>
      </c>
      <c r="G27" s="1311">
        <v>387.22503293087669</v>
      </c>
      <c r="H27" s="1308" t="e">
        <f>'Inten GH w exp. Nurs (rebased)'!#REF!</f>
        <v>#REF!</v>
      </c>
      <c r="I27" s="1305" t="e">
        <f t="shared" si="3"/>
        <v>#REF!</v>
      </c>
    </row>
    <row r="28" spans="1:9" ht="28.9" x14ac:dyDescent="0.3">
      <c r="A28" s="1303" t="s">
        <v>571</v>
      </c>
      <c r="E28" s="953">
        <f>'[4]SpecPgm-Med.Com N.GH (pos PH)'!L42</f>
        <v>461.45662288820193</v>
      </c>
      <c r="F28" s="1298" t="s">
        <v>678</v>
      </c>
      <c r="G28" s="1311">
        <v>461.45662288820193</v>
      </c>
      <c r="H28" s="1308" t="e">
        <f>'SpecPgm-Med.Com N.GH (rebased)'!#REF!</f>
        <v>#REF!</v>
      </c>
      <c r="I28" s="1305" t="e">
        <f t="shared" si="3"/>
        <v>#REF!</v>
      </c>
    </row>
    <row r="29" spans="1:9" ht="28.9" x14ac:dyDescent="0.3">
      <c r="A29" s="1303" t="s">
        <v>572</v>
      </c>
      <c r="E29" s="953">
        <f>'[4]SpecPgm-Med.Com N.GH (pos PH)'!N42</f>
        <v>539.91459723812886</v>
      </c>
      <c r="F29" s="1298" t="s">
        <v>678</v>
      </c>
      <c r="G29" s="1311">
        <v>539.91459723812886</v>
      </c>
      <c r="H29" s="1308" t="e">
        <f>'SpecPgm-Med.Com N.GH (rebased)'!#REF!</f>
        <v>#REF!</v>
      </c>
      <c r="I29" s="1305" t="e">
        <f t="shared" si="3"/>
        <v>#REF!</v>
      </c>
    </row>
    <row r="30" spans="1:9" ht="28.9" x14ac:dyDescent="0.3">
      <c r="A30" s="1303" t="s">
        <v>569</v>
      </c>
      <c r="E30" s="953">
        <f>'[4]SpecPgm-Med.Com N.GH (pos PH)'!L85</f>
        <v>432.19455663262914</v>
      </c>
      <c r="F30" s="1298" t="s">
        <v>678</v>
      </c>
      <c r="G30" s="1311">
        <v>432.19455663262914</v>
      </c>
      <c r="H30" s="1308" t="e">
        <f>'SpecPgm-Med.Com N.GH (rebased)'!#REF!</f>
        <v>#REF!</v>
      </c>
      <c r="I30" s="1305" t="e">
        <f t="shared" si="3"/>
        <v>#REF!</v>
      </c>
    </row>
    <row r="31" spans="1:9" ht="28.9" x14ac:dyDescent="0.3">
      <c r="A31" s="1303" t="s">
        <v>567</v>
      </c>
      <c r="E31" s="953">
        <f>'[4]SpecPgm-Med.Com N.GH (pos PH)'!N85</f>
        <v>484.90850814898613</v>
      </c>
      <c r="F31" s="1298" t="s">
        <v>678</v>
      </c>
      <c r="G31" s="1311">
        <v>484.90850814898613</v>
      </c>
      <c r="H31" s="1308" t="e">
        <f>'SpecPgm-Med.Com N.GH (rebased)'!#REF!</f>
        <v>#REF!</v>
      </c>
      <c r="I31" s="1305" t="e">
        <f t="shared" si="3"/>
        <v>#REF!</v>
      </c>
    </row>
    <row r="32" spans="1:9" ht="28.9" x14ac:dyDescent="0.3">
      <c r="A32" s="1303" t="s">
        <v>570</v>
      </c>
      <c r="E32" s="953">
        <f>'[4]SpecPgm-Med.Com N.GH (pos PH)'!L128</f>
        <v>479.94628697528367</v>
      </c>
      <c r="F32" s="1298" t="s">
        <v>678</v>
      </c>
      <c r="G32" s="1311">
        <v>479.94628697528367</v>
      </c>
      <c r="H32" s="1308" t="e">
        <f>'SpecPgm-Med.Com N.GH (rebased)'!#REF!</f>
        <v>#REF!</v>
      </c>
      <c r="I32" s="1305" t="e">
        <f t="shared" si="3"/>
        <v>#REF!</v>
      </c>
    </row>
    <row r="33" spans="1:9" ht="28.9" x14ac:dyDescent="0.3">
      <c r="A33" s="1303" t="s">
        <v>568</v>
      </c>
      <c r="E33" s="953">
        <f>'[4]SpecPgm-Med.Com N.GH (pos PH)'!N128</f>
        <v>609.89230699235009</v>
      </c>
      <c r="F33" s="1298" t="s">
        <v>678</v>
      </c>
      <c r="G33" s="1311">
        <v>609.89230699235009</v>
      </c>
      <c r="H33" s="1308" t="e">
        <f>'SpecPgm-Med.Com N.GH (rebased)'!#REF!</f>
        <v>#REF!</v>
      </c>
      <c r="I33" s="1305" t="e">
        <f t="shared" si="3"/>
        <v>#REF!</v>
      </c>
    </row>
    <row r="34" spans="1:9" ht="14.45" x14ac:dyDescent="0.3">
      <c r="A34" s="1303" t="s">
        <v>551</v>
      </c>
      <c r="E34" s="953" t="e">
        <f>#REF!</f>
        <v>#REF!</v>
      </c>
      <c r="F34" s="1298" t="s">
        <v>672</v>
      </c>
      <c r="G34" s="1311">
        <v>151.19536516019485</v>
      </c>
      <c r="H34" s="1307" t="s">
        <v>798</v>
      </c>
      <c r="I34" s="1305">
        <v>2.6200000000000001E-2</v>
      </c>
    </row>
    <row r="35" spans="1:9" ht="14.45" x14ac:dyDescent="0.3">
      <c r="A35" s="1303" t="s">
        <v>552</v>
      </c>
      <c r="E35" s="953" t="e">
        <f>#REF!</f>
        <v>#REF!</v>
      </c>
      <c r="F35" s="1298" t="s">
        <v>672</v>
      </c>
      <c r="G35" s="1311">
        <v>37.918453228471094</v>
      </c>
      <c r="H35" s="1307" t="s">
        <v>798</v>
      </c>
      <c r="I35" s="1305">
        <v>2.6200000000000001E-2</v>
      </c>
    </row>
    <row r="36" spans="1:9" ht="14.45" x14ac:dyDescent="0.3">
      <c r="A36" s="1303" t="s">
        <v>553</v>
      </c>
      <c r="E36" s="953" t="e">
        <f>#REF!</f>
        <v>#REF!</v>
      </c>
      <c r="F36" s="1298" t="s">
        <v>672</v>
      </c>
      <c r="G36" s="1311">
        <v>14.50993763737093</v>
      </c>
      <c r="H36" s="1307" t="s">
        <v>798</v>
      </c>
      <c r="I36" s="1305">
        <v>2.6200000000000001E-2</v>
      </c>
    </row>
  </sheetData>
  <pageMargins left="0.25" right="0.25" top="0.75" bottom="0.75" header="0.3" footer="0.3"/>
  <pageSetup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showGridLines="0" zoomScaleNormal="100" workbookViewId="0">
      <selection activeCell="Q20" sqref="Q20"/>
    </sheetView>
  </sheetViews>
  <sheetFormatPr defaultColWidth="8.85546875" defaultRowHeight="12" x14ac:dyDescent="0.2"/>
  <cols>
    <col min="1" max="1" width="31.140625" style="969" customWidth="1"/>
    <col min="2" max="2" width="20.85546875" style="969" hidden="1" customWidth="1"/>
    <col min="3" max="4" width="15.140625" style="969" hidden="1" customWidth="1"/>
    <col min="5" max="5" width="11.7109375" style="969" customWidth="1"/>
    <col min="6" max="6" width="10.140625" style="1006" hidden="1" customWidth="1"/>
    <col min="7" max="7" width="2.7109375" style="1007" customWidth="1"/>
    <col min="8" max="8" width="0" style="969" hidden="1" customWidth="1"/>
    <col min="9" max="10" width="8.85546875" style="969"/>
    <col min="11" max="11" width="21.140625" style="969" customWidth="1"/>
    <col min="12" max="12" width="11.28515625" style="969" customWidth="1"/>
    <col min="13" max="13" width="21.140625" style="969" customWidth="1"/>
    <col min="14" max="16384" width="8.85546875" style="969"/>
  </cols>
  <sheetData>
    <row r="1" spans="1:13" ht="43.9" customHeight="1" x14ac:dyDescent="0.25">
      <c r="A1" s="966" t="s">
        <v>785</v>
      </c>
      <c r="B1" s="966"/>
      <c r="C1" s="966"/>
      <c r="D1" s="966"/>
      <c r="E1" s="966"/>
      <c r="F1" s="967"/>
      <c r="G1" s="968"/>
      <c r="K1" s="1025" t="s">
        <v>763</v>
      </c>
      <c r="L1" s="1016"/>
      <c r="M1" s="1017"/>
    </row>
    <row r="2" spans="1:13" ht="15" customHeight="1" thickBot="1" x14ac:dyDescent="0.3">
      <c r="A2" s="970"/>
      <c r="B2" s="970"/>
      <c r="C2" s="970"/>
      <c r="D2" s="970"/>
      <c r="E2" s="970"/>
      <c r="F2" s="971"/>
      <c r="G2" s="972"/>
      <c r="K2" s="1016"/>
      <c r="L2" s="1016"/>
      <c r="M2" s="1017"/>
    </row>
    <row r="3" spans="1:13" ht="19.899999999999999" customHeight="1" thickBot="1" x14ac:dyDescent="0.25">
      <c r="A3" s="1438" t="s">
        <v>711</v>
      </c>
      <c r="B3" s="1010" t="s">
        <v>712</v>
      </c>
      <c r="C3" s="1011" t="s">
        <v>713</v>
      </c>
      <c r="D3" s="1012" t="s">
        <v>714</v>
      </c>
      <c r="E3" s="1440" t="s">
        <v>778</v>
      </c>
      <c r="F3" s="1008" t="s">
        <v>716</v>
      </c>
      <c r="G3" s="879"/>
      <c r="K3" s="1016" t="s">
        <v>783</v>
      </c>
      <c r="L3" s="1016"/>
      <c r="M3" s="1017"/>
    </row>
    <row r="4" spans="1:13" ht="12" customHeight="1" thickBot="1" x14ac:dyDescent="0.25">
      <c r="A4" s="1439"/>
      <c r="B4" s="1013"/>
      <c r="C4" s="1014"/>
      <c r="D4" s="1015"/>
      <c r="E4" s="1441"/>
      <c r="F4" s="1009"/>
      <c r="G4" s="887"/>
      <c r="K4" s="1018" t="s">
        <v>764</v>
      </c>
      <c r="L4" s="1018" t="s">
        <v>765</v>
      </c>
      <c r="M4" s="1019" t="s">
        <v>778</v>
      </c>
    </row>
    <row r="5" spans="1:13" ht="10.15" customHeight="1" x14ac:dyDescent="0.25">
      <c r="A5" s="973" t="s">
        <v>258</v>
      </c>
      <c r="B5" s="890"/>
      <c r="C5" s="891"/>
      <c r="D5" s="891"/>
      <c r="E5" s="891"/>
      <c r="F5" s="892"/>
      <c r="G5" s="886"/>
      <c r="K5" s="1020" t="s">
        <v>309</v>
      </c>
      <c r="L5" s="1020" t="s">
        <v>766</v>
      </c>
      <c r="M5" s="1021"/>
    </row>
    <row r="6" spans="1:13" ht="10.15" customHeight="1" x14ac:dyDescent="0.25">
      <c r="A6" s="974" t="s">
        <v>720</v>
      </c>
      <c r="B6" s="974">
        <v>413.09</v>
      </c>
      <c r="C6" s="975">
        <v>119</v>
      </c>
      <c r="D6" s="974">
        <f>C6*12</f>
        <v>1428</v>
      </c>
      <c r="E6" s="976"/>
      <c r="F6" s="977">
        <v>0.1605</v>
      </c>
      <c r="G6" s="978"/>
      <c r="H6" s="969">
        <v>60311</v>
      </c>
      <c r="K6" s="1020" t="s">
        <v>309</v>
      </c>
      <c r="L6" s="1020" t="s">
        <v>767</v>
      </c>
      <c r="M6" s="1021"/>
    </row>
    <row r="7" spans="1:13" x14ac:dyDescent="0.25">
      <c r="A7" s="974" t="s">
        <v>721</v>
      </c>
      <c r="B7" s="974">
        <v>366.89</v>
      </c>
      <c r="C7" s="975">
        <v>150</v>
      </c>
      <c r="D7" s="974">
        <f t="shared" ref="D7:D9" si="0">C7*12</f>
        <v>1800</v>
      </c>
      <c r="E7" s="976"/>
      <c r="F7" s="977">
        <v>4.9000000000000002E-2</v>
      </c>
      <c r="G7" s="978"/>
      <c r="H7" s="969">
        <v>80350</v>
      </c>
      <c r="K7" s="1020" t="s">
        <v>309</v>
      </c>
      <c r="L7" s="1020" t="s">
        <v>768</v>
      </c>
      <c r="M7" s="1021"/>
    </row>
    <row r="8" spans="1:13" x14ac:dyDescent="0.25">
      <c r="A8" s="974" t="s">
        <v>722</v>
      </c>
      <c r="B8" s="974">
        <v>336.77</v>
      </c>
      <c r="C8" s="975">
        <v>228</v>
      </c>
      <c r="D8" s="974">
        <f t="shared" si="0"/>
        <v>2736</v>
      </c>
      <c r="E8" s="976"/>
      <c r="F8" s="977">
        <v>3.2199999999999999E-2</v>
      </c>
      <c r="G8" s="978"/>
      <c r="H8" s="969">
        <v>104483</v>
      </c>
      <c r="K8" s="1020" t="s">
        <v>309</v>
      </c>
      <c r="L8" s="1020" t="s">
        <v>769</v>
      </c>
      <c r="M8" s="1021"/>
    </row>
    <row r="9" spans="1:13" x14ac:dyDescent="0.25">
      <c r="A9" s="974" t="s">
        <v>723</v>
      </c>
      <c r="B9" s="974">
        <v>326.64</v>
      </c>
      <c r="C9" s="975">
        <v>171</v>
      </c>
      <c r="D9" s="974">
        <f t="shared" si="0"/>
        <v>2052</v>
      </c>
      <c r="E9" s="976"/>
      <c r="F9" s="977">
        <v>3.2599999999999997E-2</v>
      </c>
      <c r="G9" s="978"/>
      <c r="H9" s="969">
        <v>126676</v>
      </c>
      <c r="K9" s="1020" t="s">
        <v>309</v>
      </c>
      <c r="L9" s="1020" t="s">
        <v>770</v>
      </c>
      <c r="M9" s="1021"/>
    </row>
    <row r="10" spans="1:13" s="984" customFormat="1" ht="9.6" customHeight="1" x14ac:dyDescent="0.25">
      <c r="A10" s="979"/>
      <c r="B10" s="979"/>
      <c r="C10" s="980"/>
      <c r="D10" s="979"/>
      <c r="E10" s="981"/>
      <c r="F10" s="982"/>
      <c r="G10" s="983"/>
      <c r="K10" s="1020" t="s">
        <v>309</v>
      </c>
      <c r="L10" s="1020" t="s">
        <v>771</v>
      </c>
      <c r="M10" s="1021"/>
    </row>
    <row r="11" spans="1:13" s="984" customFormat="1" ht="9.6" customHeight="1" x14ac:dyDescent="0.25">
      <c r="A11" s="985" t="s">
        <v>260</v>
      </c>
      <c r="B11" s="985"/>
      <c r="C11" s="986"/>
      <c r="D11" s="987"/>
      <c r="E11" s="988"/>
      <c r="F11" s="989"/>
      <c r="G11" s="983"/>
      <c r="K11" s="1020" t="s">
        <v>258</v>
      </c>
      <c r="L11" s="1020" t="s">
        <v>772</v>
      </c>
      <c r="M11" s="1021"/>
    </row>
    <row r="12" spans="1:13" x14ac:dyDescent="0.25">
      <c r="A12" s="974" t="s">
        <v>724</v>
      </c>
      <c r="B12" s="974"/>
      <c r="C12" s="974">
        <v>9</v>
      </c>
      <c r="D12" s="974">
        <f>C12*12</f>
        <v>108</v>
      </c>
      <c r="E12" s="990"/>
      <c r="F12" s="977"/>
      <c r="G12" s="978"/>
      <c r="K12" s="1020" t="s">
        <v>258</v>
      </c>
      <c r="L12" s="1020" t="s">
        <v>773</v>
      </c>
      <c r="M12" s="1021"/>
    </row>
    <row r="13" spans="1:13" x14ac:dyDescent="0.25">
      <c r="A13" s="974" t="s">
        <v>725</v>
      </c>
      <c r="B13" s="974">
        <v>67.819999999999993</v>
      </c>
      <c r="C13" s="974">
        <v>29</v>
      </c>
      <c r="D13" s="974">
        <f t="shared" ref="D13:D43" si="1">C13*12</f>
        <v>348</v>
      </c>
      <c r="E13" s="990"/>
      <c r="F13" s="977">
        <v>2.0400000000000001E-2</v>
      </c>
      <c r="G13" s="978"/>
      <c r="K13" s="1020" t="s">
        <v>260</v>
      </c>
      <c r="L13" s="1020" t="s">
        <v>774</v>
      </c>
      <c r="M13" s="1021"/>
    </row>
    <row r="14" spans="1:13" x14ac:dyDescent="0.25">
      <c r="A14" s="974" t="s">
        <v>726</v>
      </c>
      <c r="B14" s="974">
        <v>281.54000000000002</v>
      </c>
      <c r="C14" s="974">
        <v>222</v>
      </c>
      <c r="D14" s="974">
        <f t="shared" si="1"/>
        <v>2664</v>
      </c>
      <c r="E14" s="990"/>
      <c r="F14" s="977">
        <v>3.3799999999999997E-2</v>
      </c>
      <c r="G14" s="978"/>
      <c r="K14" s="1020" t="s">
        <v>260</v>
      </c>
      <c r="L14" s="1020" t="s">
        <v>775</v>
      </c>
      <c r="M14" s="1021"/>
    </row>
    <row r="15" spans="1:13" x14ac:dyDescent="0.25">
      <c r="A15" s="974" t="s">
        <v>727</v>
      </c>
      <c r="B15" s="974">
        <v>103.63</v>
      </c>
      <c r="C15" s="974">
        <v>82</v>
      </c>
      <c r="D15" s="974">
        <f t="shared" si="1"/>
        <v>984</v>
      </c>
      <c r="E15" s="990"/>
      <c r="F15" s="977">
        <v>2.0400000000000001E-2</v>
      </c>
      <c r="G15" s="978"/>
      <c r="K15" s="1022" t="s">
        <v>667</v>
      </c>
      <c r="L15" s="1022"/>
      <c r="M15" s="1023">
        <f>SUM(M5:M14)</f>
        <v>0</v>
      </c>
    </row>
    <row r="16" spans="1:13" x14ac:dyDescent="0.25">
      <c r="A16" s="974" t="s">
        <v>728</v>
      </c>
      <c r="B16" s="974">
        <v>659.34</v>
      </c>
      <c r="C16" s="974">
        <v>4</v>
      </c>
      <c r="D16" s="974">
        <f t="shared" si="1"/>
        <v>48</v>
      </c>
      <c r="E16" s="990"/>
      <c r="F16" s="977">
        <v>2.0400000000000001E-2</v>
      </c>
      <c r="G16" s="978"/>
      <c r="K16" s="1016"/>
      <c r="L16" s="1016"/>
      <c r="M16" s="1024"/>
    </row>
    <row r="17" spans="1:13" x14ac:dyDescent="0.25">
      <c r="A17" s="974" t="s">
        <v>729</v>
      </c>
      <c r="B17" s="974">
        <v>380.1</v>
      </c>
      <c r="C17" s="974">
        <v>17</v>
      </c>
      <c r="D17" s="974">
        <f t="shared" si="1"/>
        <v>204</v>
      </c>
      <c r="E17" s="990"/>
      <c r="F17" s="977">
        <v>2.0400000000000001E-2</v>
      </c>
      <c r="G17" s="978"/>
      <c r="K17" s="1016" t="s">
        <v>784</v>
      </c>
      <c r="L17" s="1016"/>
      <c r="M17" s="1024"/>
    </row>
    <row r="18" spans="1:13" x14ac:dyDescent="0.25">
      <c r="A18" s="974" t="s">
        <v>730</v>
      </c>
      <c r="B18" s="974">
        <v>334.96</v>
      </c>
      <c r="C18" s="974">
        <v>616</v>
      </c>
      <c r="D18" s="974">
        <f t="shared" si="1"/>
        <v>7392</v>
      </c>
      <c r="E18" s="990"/>
      <c r="F18" s="977">
        <v>3.1600000000000003E-2</v>
      </c>
      <c r="G18" s="978"/>
      <c r="K18" s="1018" t="s">
        <v>764</v>
      </c>
      <c r="L18" s="1018" t="s">
        <v>765</v>
      </c>
      <c r="M18" s="1019" t="s">
        <v>778</v>
      </c>
    </row>
    <row r="19" spans="1:13" x14ac:dyDescent="0.25">
      <c r="A19" s="974" t="s">
        <v>731</v>
      </c>
      <c r="B19" s="974">
        <v>386.45</v>
      </c>
      <c r="C19" s="974">
        <v>23</v>
      </c>
      <c r="D19" s="974">
        <f t="shared" si="1"/>
        <v>276</v>
      </c>
      <c r="E19" s="990"/>
      <c r="F19" s="977">
        <v>2.0400000000000001E-2</v>
      </c>
      <c r="G19" s="978"/>
      <c r="K19" s="1020" t="s">
        <v>309</v>
      </c>
      <c r="L19" s="1020" t="s">
        <v>766</v>
      </c>
      <c r="M19" s="1021"/>
    </row>
    <row r="20" spans="1:13" x14ac:dyDescent="0.25">
      <c r="A20" s="974" t="s">
        <v>732</v>
      </c>
      <c r="B20" s="974">
        <v>431.61</v>
      </c>
      <c r="C20" s="974">
        <v>9</v>
      </c>
      <c r="D20" s="974">
        <f t="shared" si="1"/>
        <v>108</v>
      </c>
      <c r="E20" s="990"/>
      <c r="F20" s="977">
        <v>0.46810000000000002</v>
      </c>
      <c r="G20" s="978"/>
      <c r="K20" s="1020" t="s">
        <v>309</v>
      </c>
      <c r="L20" s="1020" t="s">
        <v>767</v>
      </c>
      <c r="M20" s="1021"/>
    </row>
    <row r="21" spans="1:13" x14ac:dyDescent="0.25">
      <c r="A21" s="991" t="s">
        <v>733</v>
      </c>
      <c r="B21" s="991">
        <v>241.78</v>
      </c>
      <c r="C21" s="991">
        <v>43</v>
      </c>
      <c r="D21" s="991">
        <f t="shared" si="1"/>
        <v>516</v>
      </c>
      <c r="E21" s="992"/>
      <c r="F21" s="993">
        <v>0.29559999999999997</v>
      </c>
      <c r="G21" s="994"/>
      <c r="K21" s="1020" t="s">
        <v>309</v>
      </c>
      <c r="L21" s="1020" t="s">
        <v>768</v>
      </c>
      <c r="M21" s="1021"/>
    </row>
    <row r="22" spans="1:13" x14ac:dyDescent="0.25">
      <c r="A22" s="974" t="s">
        <v>734</v>
      </c>
      <c r="B22" s="974">
        <v>151.19999999999999</v>
      </c>
      <c r="C22" s="974">
        <v>6</v>
      </c>
      <c r="D22" s="974">
        <f t="shared" si="1"/>
        <v>72</v>
      </c>
      <c r="E22" s="990"/>
      <c r="F22" s="977">
        <v>2.0400000000000001E-2</v>
      </c>
      <c r="G22" s="978"/>
      <c r="K22" s="1020" t="s">
        <v>309</v>
      </c>
      <c r="L22" s="1020" t="s">
        <v>769</v>
      </c>
      <c r="M22" s="1021"/>
    </row>
    <row r="23" spans="1:13" x14ac:dyDescent="0.25">
      <c r="A23" s="974" t="s">
        <v>735</v>
      </c>
      <c r="B23" s="974">
        <v>45.91</v>
      </c>
      <c r="C23" s="974">
        <v>1</v>
      </c>
      <c r="D23" s="974">
        <f t="shared" si="1"/>
        <v>12</v>
      </c>
      <c r="E23" s="990"/>
      <c r="F23" s="977">
        <v>2.0400000000000001E-2</v>
      </c>
      <c r="G23" s="978"/>
      <c r="K23" s="1020" t="s">
        <v>309</v>
      </c>
      <c r="L23" s="1020" t="s">
        <v>770</v>
      </c>
      <c r="M23" s="1021"/>
    </row>
    <row r="24" spans="1:13" x14ac:dyDescent="0.25">
      <c r="A24" s="974" t="s">
        <v>736</v>
      </c>
      <c r="B24" s="974">
        <v>69.52</v>
      </c>
      <c r="C24" s="974">
        <v>4</v>
      </c>
      <c r="D24" s="974">
        <f t="shared" si="1"/>
        <v>48</v>
      </c>
      <c r="E24" s="990"/>
      <c r="F24" s="977">
        <v>2.0400000000000001E-2</v>
      </c>
      <c r="G24" s="978"/>
      <c r="K24" s="1020" t="s">
        <v>309</v>
      </c>
      <c r="L24" s="1020" t="s">
        <v>771</v>
      </c>
      <c r="M24" s="1021"/>
    </row>
    <row r="25" spans="1:13" s="984" customFormat="1" x14ac:dyDescent="0.25">
      <c r="A25" s="979"/>
      <c r="B25" s="979"/>
      <c r="C25" s="979"/>
      <c r="D25" s="979"/>
      <c r="E25" s="995"/>
      <c r="F25" s="982"/>
      <c r="G25" s="983"/>
      <c r="K25" s="1020" t="s">
        <v>258</v>
      </c>
      <c r="L25" s="1020" t="s">
        <v>776</v>
      </c>
      <c r="M25" s="1021"/>
    </row>
    <row r="26" spans="1:13" s="984" customFormat="1" x14ac:dyDescent="0.25">
      <c r="A26" s="985" t="s">
        <v>737</v>
      </c>
      <c r="B26" s="985"/>
      <c r="C26" s="985"/>
      <c r="D26" s="985"/>
      <c r="E26" s="996"/>
      <c r="F26" s="997"/>
      <c r="G26" s="983"/>
      <c r="K26" s="1020" t="s">
        <v>260</v>
      </c>
      <c r="L26" s="1020" t="s">
        <v>774</v>
      </c>
      <c r="M26" s="1021"/>
    </row>
    <row r="27" spans="1:13" x14ac:dyDescent="0.25">
      <c r="A27" s="974" t="s">
        <v>738</v>
      </c>
      <c r="B27" s="974">
        <v>277</v>
      </c>
      <c r="C27" s="974">
        <v>13</v>
      </c>
      <c r="D27" s="974">
        <f t="shared" si="1"/>
        <v>156</v>
      </c>
      <c r="E27" s="990"/>
      <c r="F27" s="977">
        <v>2.0400000000000001E-2</v>
      </c>
      <c r="G27" s="978"/>
      <c r="K27" s="1020" t="s">
        <v>260</v>
      </c>
      <c r="L27" s="1020" t="s">
        <v>775</v>
      </c>
      <c r="M27" s="1021"/>
    </row>
    <row r="28" spans="1:13" x14ac:dyDescent="0.25">
      <c r="A28" s="974" t="s">
        <v>739</v>
      </c>
      <c r="B28" s="974">
        <v>223.18</v>
      </c>
      <c r="C28" s="974">
        <v>2</v>
      </c>
      <c r="D28" s="974">
        <f t="shared" si="1"/>
        <v>24</v>
      </c>
      <c r="E28" s="990"/>
      <c r="F28" s="977">
        <v>2.0400000000000001E-2</v>
      </c>
      <c r="G28" s="978"/>
      <c r="I28" s="998"/>
      <c r="K28" s="1022" t="s">
        <v>667</v>
      </c>
      <c r="L28" s="1022"/>
      <c r="M28" s="1023">
        <f>SUM(M19:M27)</f>
        <v>0</v>
      </c>
    </row>
    <row r="29" spans="1:13" x14ac:dyDescent="0.25">
      <c r="A29" s="974" t="s">
        <v>740</v>
      </c>
      <c r="B29" s="974">
        <v>221.12</v>
      </c>
      <c r="C29" s="974">
        <v>16</v>
      </c>
      <c r="D29" s="974">
        <f t="shared" si="1"/>
        <v>192</v>
      </c>
      <c r="E29" s="990"/>
      <c r="F29" s="977">
        <v>2.0400000000000001E-2</v>
      </c>
      <c r="G29" s="978"/>
      <c r="H29" s="969">
        <v>60533</v>
      </c>
      <c r="K29" s="1016"/>
      <c r="L29" s="1016"/>
      <c r="M29" s="1024"/>
    </row>
    <row r="30" spans="1:13" s="984" customFormat="1" x14ac:dyDescent="0.25">
      <c r="A30" s="979"/>
      <c r="B30" s="979"/>
      <c r="C30" s="979"/>
      <c r="D30" s="979"/>
      <c r="E30" s="995"/>
      <c r="F30" s="982"/>
      <c r="G30" s="983"/>
      <c r="K30" s="1016" t="s">
        <v>782</v>
      </c>
      <c r="L30" s="1016"/>
      <c r="M30" s="1024"/>
    </row>
    <row r="31" spans="1:13" s="984" customFormat="1" x14ac:dyDescent="0.25">
      <c r="A31" s="985" t="s">
        <v>309</v>
      </c>
      <c r="B31" s="985"/>
      <c r="C31" s="985"/>
      <c r="D31" s="985"/>
      <c r="E31" s="996"/>
      <c r="F31" s="997"/>
      <c r="G31" s="983"/>
      <c r="K31" s="1018" t="s">
        <v>764</v>
      </c>
      <c r="L31" s="1018" t="s">
        <v>765</v>
      </c>
      <c r="M31" s="1019" t="s">
        <v>778</v>
      </c>
    </row>
    <row r="32" spans="1:13" x14ac:dyDescent="0.25">
      <c r="A32" s="974" t="s">
        <v>741</v>
      </c>
      <c r="B32" s="974">
        <v>334.96</v>
      </c>
      <c r="C32" s="974">
        <v>17</v>
      </c>
      <c r="D32" s="974">
        <f t="shared" si="1"/>
        <v>204</v>
      </c>
      <c r="E32" s="990"/>
      <c r="F32" s="977">
        <v>3.1600000000000003E-2</v>
      </c>
      <c r="G32" s="978"/>
      <c r="K32" s="1020" t="s">
        <v>309</v>
      </c>
      <c r="L32" s="1020" t="s">
        <v>766</v>
      </c>
      <c r="M32" s="1021"/>
    </row>
    <row r="33" spans="1:13" x14ac:dyDescent="0.25">
      <c r="A33" s="974" t="s">
        <v>742</v>
      </c>
      <c r="B33" s="974">
        <v>334.96</v>
      </c>
      <c r="C33" s="974">
        <v>7</v>
      </c>
      <c r="D33" s="974">
        <f t="shared" si="1"/>
        <v>84</v>
      </c>
      <c r="E33" s="990"/>
      <c r="F33" s="977">
        <v>3.1600000000000003E-2</v>
      </c>
      <c r="G33" s="978"/>
      <c r="K33" s="1020" t="s">
        <v>309</v>
      </c>
      <c r="L33" s="1020" t="s">
        <v>767</v>
      </c>
      <c r="M33" s="1021"/>
    </row>
    <row r="34" spans="1:13" x14ac:dyDescent="0.25">
      <c r="A34" s="974" t="s">
        <v>743</v>
      </c>
      <c r="B34" s="974">
        <v>281.54000000000002</v>
      </c>
      <c r="C34" s="974">
        <v>1</v>
      </c>
      <c r="D34" s="974">
        <f t="shared" si="1"/>
        <v>12</v>
      </c>
      <c r="E34" s="990"/>
      <c r="F34" s="977">
        <v>3.3799999999999997E-2</v>
      </c>
      <c r="G34" s="978"/>
      <c r="K34" s="1020" t="s">
        <v>309</v>
      </c>
      <c r="L34" s="1020" t="s">
        <v>768</v>
      </c>
      <c r="M34" s="1021"/>
    </row>
    <row r="35" spans="1:13" x14ac:dyDescent="0.25">
      <c r="A35" s="974" t="s">
        <v>744</v>
      </c>
      <c r="B35" s="974">
        <v>281.54000000000002</v>
      </c>
      <c r="C35" s="974">
        <v>1</v>
      </c>
      <c r="D35" s="974">
        <f t="shared" si="1"/>
        <v>12</v>
      </c>
      <c r="E35" s="990"/>
      <c r="F35" s="977">
        <v>3.3799999999999997E-2</v>
      </c>
      <c r="G35" s="978"/>
      <c r="K35" s="1020" t="s">
        <v>309</v>
      </c>
      <c r="L35" s="1020" t="s">
        <v>769</v>
      </c>
      <c r="M35" s="1021"/>
    </row>
    <row r="36" spans="1:13" x14ac:dyDescent="0.25">
      <c r="A36" s="974" t="s">
        <v>745</v>
      </c>
      <c r="B36" s="974">
        <v>114.92</v>
      </c>
      <c r="C36" s="974">
        <v>97</v>
      </c>
      <c r="D36" s="974">
        <f t="shared" si="1"/>
        <v>1164</v>
      </c>
      <c r="E36" s="990"/>
      <c r="F36" s="977">
        <v>2.0400000000000001E-2</v>
      </c>
      <c r="G36" s="978"/>
      <c r="K36" s="1020" t="s">
        <v>309</v>
      </c>
      <c r="L36" s="1020" t="s">
        <v>770</v>
      </c>
      <c r="M36" s="1021"/>
    </row>
    <row r="37" spans="1:13" s="984" customFormat="1" x14ac:dyDescent="0.25">
      <c r="A37" s="979"/>
      <c r="B37" s="979"/>
      <c r="C37" s="979"/>
      <c r="D37" s="979"/>
      <c r="E37" s="995"/>
      <c r="F37" s="982"/>
      <c r="G37" s="983"/>
      <c r="K37" s="1020" t="s">
        <v>309</v>
      </c>
      <c r="L37" s="1020" t="s">
        <v>771</v>
      </c>
      <c r="M37" s="1021"/>
    </row>
    <row r="38" spans="1:13" s="984" customFormat="1" x14ac:dyDescent="0.25">
      <c r="A38" s="985" t="s">
        <v>746</v>
      </c>
      <c r="B38" s="985"/>
      <c r="C38" s="985"/>
      <c r="D38" s="985"/>
      <c r="E38" s="996"/>
      <c r="F38" s="997"/>
      <c r="G38" s="983"/>
      <c r="K38" s="1020" t="s">
        <v>258</v>
      </c>
      <c r="L38" s="1020" t="s">
        <v>773</v>
      </c>
      <c r="M38" s="1021"/>
    </row>
    <row r="39" spans="1:13" x14ac:dyDescent="0.25">
      <c r="A39" s="974" t="s">
        <v>747</v>
      </c>
      <c r="B39" s="974"/>
      <c r="C39" s="974">
        <v>26</v>
      </c>
      <c r="D39" s="974">
        <f t="shared" si="1"/>
        <v>312</v>
      </c>
      <c r="E39" s="990"/>
      <c r="F39" s="977">
        <v>2.0400000000000001E-2</v>
      </c>
      <c r="G39" s="978"/>
      <c r="K39" s="1020" t="s">
        <v>260</v>
      </c>
      <c r="L39" s="1020" t="s">
        <v>774</v>
      </c>
      <c r="M39" s="1021"/>
    </row>
    <row r="40" spans="1:13" x14ac:dyDescent="0.25">
      <c r="A40" s="974" t="s">
        <v>748</v>
      </c>
      <c r="B40" s="974"/>
      <c r="C40" s="974">
        <v>21</v>
      </c>
      <c r="D40" s="974">
        <f t="shared" si="1"/>
        <v>252</v>
      </c>
      <c r="E40" s="990"/>
      <c r="F40" s="977">
        <v>2.0400000000000001E-2</v>
      </c>
      <c r="G40" s="978"/>
      <c r="K40" s="1020" t="s">
        <v>260</v>
      </c>
      <c r="L40" s="1020" t="s">
        <v>775</v>
      </c>
      <c r="M40" s="1021"/>
    </row>
    <row r="41" spans="1:13" x14ac:dyDescent="0.25">
      <c r="A41" s="974" t="s">
        <v>749</v>
      </c>
      <c r="B41" s="974"/>
      <c r="C41" s="974">
        <v>112</v>
      </c>
      <c r="D41" s="974">
        <f t="shared" si="1"/>
        <v>1344</v>
      </c>
      <c r="E41" s="990"/>
      <c r="F41" s="977">
        <v>2.0400000000000001E-2</v>
      </c>
      <c r="G41" s="978"/>
      <c r="K41" s="1020" t="s">
        <v>260</v>
      </c>
      <c r="L41" s="1020" t="s">
        <v>777</v>
      </c>
      <c r="M41" s="1021"/>
    </row>
    <row r="42" spans="1:13" x14ac:dyDescent="0.25">
      <c r="A42" s="974" t="s">
        <v>750</v>
      </c>
      <c r="B42" s="974"/>
      <c r="C42" s="974">
        <v>2</v>
      </c>
      <c r="D42" s="974">
        <f t="shared" si="1"/>
        <v>24</v>
      </c>
      <c r="E42" s="990"/>
      <c r="F42" s="977">
        <v>2.0400000000000001E-2</v>
      </c>
      <c r="G42" s="978"/>
      <c r="K42" s="1022" t="s">
        <v>667</v>
      </c>
      <c r="L42" s="1022"/>
      <c r="M42" s="1023">
        <f>SUM(M32:M41)</f>
        <v>0</v>
      </c>
    </row>
    <row r="43" spans="1:13" x14ac:dyDescent="0.25">
      <c r="A43" s="974" t="s">
        <v>751</v>
      </c>
      <c r="B43" s="974"/>
      <c r="C43" s="974">
        <v>2</v>
      </c>
      <c r="D43" s="974">
        <f t="shared" si="1"/>
        <v>24</v>
      </c>
      <c r="E43" s="990"/>
      <c r="F43" s="977">
        <v>2.0400000000000001E-2</v>
      </c>
      <c r="G43" s="978"/>
      <c r="K43" s="1016"/>
      <c r="L43" s="1016"/>
      <c r="M43" s="1024"/>
    </row>
    <row r="44" spans="1:13" x14ac:dyDescent="0.25">
      <c r="A44" s="979"/>
      <c r="B44" s="979"/>
      <c r="C44" s="979"/>
      <c r="D44" s="979"/>
      <c r="E44" s="999"/>
      <c r="F44" s="1000"/>
      <c r="G44" s="972"/>
      <c r="K44" s="1016" t="s">
        <v>781</v>
      </c>
      <c r="L44" s="1016"/>
      <c r="M44" s="1024"/>
    </row>
    <row r="45" spans="1:13" ht="12.6" thickBot="1" x14ac:dyDescent="0.3">
      <c r="A45" s="1001"/>
      <c r="B45" s="1002"/>
      <c r="C45" s="1002"/>
      <c r="D45" s="1002"/>
      <c r="E45" s="1003"/>
      <c r="F45" s="1004"/>
      <c r="G45" s="972"/>
      <c r="K45" s="1018" t="s">
        <v>764</v>
      </c>
      <c r="L45" s="1018" t="s">
        <v>765</v>
      </c>
      <c r="M45" s="1019" t="s">
        <v>778</v>
      </c>
    </row>
    <row r="46" spans="1:13" ht="12.6" thickBot="1" x14ac:dyDescent="0.3">
      <c r="A46" s="1001"/>
      <c r="B46" s="1002"/>
      <c r="C46" s="1002"/>
      <c r="D46" s="1002"/>
      <c r="E46" s="833" t="s">
        <v>778</v>
      </c>
      <c r="F46" s="879"/>
      <c r="G46" s="879"/>
      <c r="K46" s="1020" t="s">
        <v>309</v>
      </c>
      <c r="L46" s="1020" t="s">
        <v>766</v>
      </c>
      <c r="M46" s="1021"/>
    </row>
    <row r="47" spans="1:13" x14ac:dyDescent="0.25">
      <c r="A47" s="1435">
        <f>SUM(E6:E43)</f>
        <v>0</v>
      </c>
      <c r="B47" s="1436"/>
      <c r="C47" s="1436"/>
      <c r="D47" s="1436"/>
      <c r="E47" s="1437"/>
      <c r="F47" s="1000"/>
      <c r="G47" s="972"/>
      <c r="K47" s="1020" t="s">
        <v>309</v>
      </c>
      <c r="L47" s="1020" t="s">
        <v>767</v>
      </c>
      <c r="M47" s="1021"/>
    </row>
    <row r="48" spans="1:13" x14ac:dyDescent="0.25">
      <c r="E48" s="1005"/>
      <c r="K48" s="1020" t="s">
        <v>309</v>
      </c>
      <c r="L48" s="1020" t="s">
        <v>768</v>
      </c>
      <c r="M48" s="1021"/>
    </row>
    <row r="49" spans="1:13" x14ac:dyDescent="0.25">
      <c r="E49" s="1005"/>
      <c r="K49" s="1020" t="s">
        <v>309</v>
      </c>
      <c r="L49" s="1020" t="s">
        <v>769</v>
      </c>
      <c r="M49" s="1021"/>
    </row>
    <row r="50" spans="1:13" x14ac:dyDescent="0.25">
      <c r="E50" s="1005"/>
      <c r="K50" s="1020" t="s">
        <v>309</v>
      </c>
      <c r="L50" s="1020" t="s">
        <v>770</v>
      </c>
      <c r="M50" s="1021"/>
    </row>
    <row r="51" spans="1:13" s="1006" customFormat="1" x14ac:dyDescent="0.25">
      <c r="A51" s="984"/>
      <c r="B51" s="969"/>
      <c r="C51" s="969"/>
      <c r="D51" s="969"/>
      <c r="E51" s="1005"/>
      <c r="G51" s="1007"/>
      <c r="K51" s="1020" t="s">
        <v>309</v>
      </c>
      <c r="L51" s="1020" t="s">
        <v>771</v>
      </c>
      <c r="M51" s="1021"/>
    </row>
    <row r="52" spans="1:13" s="1006" customFormat="1" x14ac:dyDescent="0.25">
      <c r="A52" s="969"/>
      <c r="B52" s="969"/>
      <c r="C52" s="969"/>
      <c r="D52" s="969"/>
      <c r="E52" s="1005"/>
      <c r="G52" s="1007"/>
      <c r="K52" s="1020" t="s">
        <v>258</v>
      </c>
      <c r="L52" s="1020" t="s">
        <v>776</v>
      </c>
      <c r="M52" s="1021"/>
    </row>
    <row r="53" spans="1:13" s="1006" customFormat="1" x14ac:dyDescent="0.25">
      <c r="A53" s="969"/>
      <c r="B53" s="969"/>
      <c r="C53" s="969"/>
      <c r="D53" s="969"/>
      <c r="E53" s="1005"/>
      <c r="G53" s="1007"/>
      <c r="K53" s="1020" t="s">
        <v>258</v>
      </c>
      <c r="L53" s="1020" t="s">
        <v>772</v>
      </c>
      <c r="M53" s="1021"/>
    </row>
    <row r="54" spans="1:13" s="1006" customFormat="1" x14ac:dyDescent="0.25">
      <c r="A54" s="969"/>
      <c r="B54" s="969"/>
      <c r="C54" s="969"/>
      <c r="D54" s="969"/>
      <c r="E54" s="1005"/>
      <c r="G54" s="1007"/>
      <c r="K54" s="1020" t="s">
        <v>260</v>
      </c>
      <c r="L54" s="1020" t="s">
        <v>774</v>
      </c>
      <c r="M54" s="1021"/>
    </row>
    <row r="55" spans="1:13" s="1006" customFormat="1" x14ac:dyDescent="0.25">
      <c r="A55" s="969"/>
      <c r="B55" s="969"/>
      <c r="C55" s="969"/>
      <c r="D55" s="969"/>
      <c r="E55" s="1005"/>
      <c r="G55" s="1007"/>
      <c r="K55" s="1020" t="s">
        <v>260</v>
      </c>
      <c r="L55" s="1020" t="s">
        <v>775</v>
      </c>
      <c r="M55" s="1021"/>
    </row>
    <row r="56" spans="1:13" s="1006" customFormat="1" x14ac:dyDescent="0.25">
      <c r="A56" s="969"/>
      <c r="B56" s="969"/>
      <c r="C56" s="969"/>
      <c r="D56" s="969"/>
      <c r="E56" s="1005"/>
      <c r="G56" s="1007"/>
      <c r="K56" s="1020" t="s">
        <v>708</v>
      </c>
      <c r="L56" s="1020" t="s">
        <v>708</v>
      </c>
      <c r="M56" s="1021"/>
    </row>
    <row r="57" spans="1:13" s="1006" customFormat="1" x14ac:dyDescent="0.2">
      <c r="A57" s="969"/>
      <c r="B57" s="969"/>
      <c r="C57" s="969"/>
      <c r="D57" s="969"/>
      <c r="E57" s="1005"/>
      <c r="G57" s="1007"/>
      <c r="K57" s="1020" t="s">
        <v>708</v>
      </c>
      <c r="L57" s="1020" t="s">
        <v>688</v>
      </c>
      <c r="M57" s="1021"/>
    </row>
    <row r="58" spans="1:13" s="1006" customFormat="1" x14ac:dyDescent="0.2">
      <c r="A58" s="969"/>
      <c r="B58" s="969"/>
      <c r="C58" s="969"/>
      <c r="D58" s="969"/>
      <c r="E58" s="1005"/>
      <c r="G58" s="1007"/>
      <c r="K58" s="1022" t="s">
        <v>667</v>
      </c>
      <c r="L58" s="1022"/>
      <c r="M58" s="1023">
        <f>SUM(M46:M57)</f>
        <v>0</v>
      </c>
    </row>
    <row r="59" spans="1:13" s="1006" customFormat="1" x14ac:dyDescent="0.2">
      <c r="A59" s="969"/>
      <c r="B59" s="969"/>
      <c r="C59" s="969"/>
      <c r="D59" s="969"/>
      <c r="E59" s="1005"/>
      <c r="G59" s="1007"/>
      <c r="K59" s="1016"/>
      <c r="L59" s="1016"/>
      <c r="M59" s="1024"/>
    </row>
    <row r="60" spans="1:13" s="1006" customFormat="1" x14ac:dyDescent="0.2">
      <c r="A60" s="969"/>
      <c r="B60" s="969"/>
      <c r="C60" s="969"/>
      <c r="D60" s="969"/>
      <c r="E60" s="1005"/>
      <c r="G60" s="1007"/>
      <c r="K60" s="1016" t="s">
        <v>780</v>
      </c>
      <c r="L60" s="1016"/>
      <c r="M60" s="1024"/>
    </row>
    <row r="61" spans="1:13" s="1006" customFormat="1" x14ac:dyDescent="0.2">
      <c r="A61" s="969"/>
      <c r="B61" s="969"/>
      <c r="C61" s="969"/>
      <c r="D61" s="969"/>
      <c r="E61" s="1005"/>
      <c r="G61" s="1007"/>
      <c r="K61" s="1018" t="s">
        <v>764</v>
      </c>
      <c r="L61" s="1018" t="s">
        <v>765</v>
      </c>
      <c r="M61" s="1019" t="s">
        <v>778</v>
      </c>
    </row>
    <row r="62" spans="1:13" s="1006" customFormat="1" x14ac:dyDescent="0.2">
      <c r="A62" s="969"/>
      <c r="B62" s="969"/>
      <c r="C62" s="969"/>
      <c r="D62" s="969"/>
      <c r="E62" s="1005"/>
      <c r="G62" s="1007"/>
      <c r="K62" s="1020" t="s">
        <v>309</v>
      </c>
      <c r="L62" s="1020" t="s">
        <v>766</v>
      </c>
      <c r="M62" s="1021"/>
    </row>
    <row r="63" spans="1:13" s="1006" customFormat="1" x14ac:dyDescent="0.2">
      <c r="A63" s="969"/>
      <c r="B63" s="969"/>
      <c r="C63" s="969"/>
      <c r="D63" s="969"/>
      <c r="E63" s="1005"/>
      <c r="G63" s="1007"/>
      <c r="K63" s="1020" t="s">
        <v>309</v>
      </c>
      <c r="L63" s="1020" t="s">
        <v>767</v>
      </c>
      <c r="M63" s="1021"/>
    </row>
    <row r="64" spans="1:13" s="1006" customFormat="1" x14ac:dyDescent="0.2">
      <c r="A64" s="969"/>
      <c r="B64" s="969"/>
      <c r="C64" s="969"/>
      <c r="D64" s="969"/>
      <c r="E64" s="1005"/>
      <c r="G64" s="1007"/>
      <c r="K64" s="1020" t="s">
        <v>309</v>
      </c>
      <c r="L64" s="1020" t="s">
        <v>768</v>
      </c>
      <c r="M64" s="1021"/>
    </row>
    <row r="65" spans="1:13" s="1006" customFormat="1" x14ac:dyDescent="0.2">
      <c r="A65" s="969"/>
      <c r="B65" s="969"/>
      <c r="C65" s="969"/>
      <c r="D65" s="969"/>
      <c r="E65" s="1005"/>
      <c r="G65" s="1007"/>
      <c r="K65" s="1020" t="s">
        <v>309</v>
      </c>
      <c r="L65" s="1020" t="s">
        <v>769</v>
      </c>
      <c r="M65" s="1021"/>
    </row>
    <row r="66" spans="1:13" s="1006" customFormat="1" x14ac:dyDescent="0.2">
      <c r="A66" s="969"/>
      <c r="B66" s="969"/>
      <c r="C66" s="969"/>
      <c r="D66" s="969"/>
      <c r="E66" s="1005"/>
      <c r="G66" s="1007"/>
      <c r="K66" s="1020" t="s">
        <v>309</v>
      </c>
      <c r="L66" s="1020" t="s">
        <v>770</v>
      </c>
      <c r="M66" s="1021"/>
    </row>
    <row r="67" spans="1:13" s="1006" customFormat="1" x14ac:dyDescent="0.2">
      <c r="A67" s="969"/>
      <c r="B67" s="969"/>
      <c r="C67" s="969"/>
      <c r="D67" s="969"/>
      <c r="E67" s="1005"/>
      <c r="G67" s="1007"/>
      <c r="K67" s="1020" t="s">
        <v>309</v>
      </c>
      <c r="L67" s="1020" t="s">
        <v>771</v>
      </c>
      <c r="M67" s="1021"/>
    </row>
    <row r="68" spans="1:13" s="1006" customFormat="1" x14ac:dyDescent="0.2">
      <c r="A68" s="969"/>
      <c r="B68" s="969"/>
      <c r="C68" s="969"/>
      <c r="D68" s="969"/>
      <c r="E68" s="1005"/>
      <c r="G68" s="1007"/>
      <c r="K68" s="1020" t="s">
        <v>258</v>
      </c>
      <c r="L68" s="1020" t="s">
        <v>772</v>
      </c>
      <c r="M68" s="1021"/>
    </row>
    <row r="69" spans="1:13" s="1006" customFormat="1" x14ac:dyDescent="0.2">
      <c r="A69" s="969"/>
      <c r="B69" s="969"/>
      <c r="C69" s="969"/>
      <c r="D69" s="969"/>
      <c r="E69" s="1005"/>
      <c r="G69" s="1007"/>
      <c r="K69" s="1020" t="s">
        <v>260</v>
      </c>
      <c r="L69" s="1020" t="s">
        <v>774</v>
      </c>
      <c r="M69" s="1021"/>
    </row>
    <row r="70" spans="1:13" s="1006" customFormat="1" x14ac:dyDescent="0.2">
      <c r="A70" s="969"/>
      <c r="B70" s="969"/>
      <c r="C70" s="969"/>
      <c r="D70" s="969"/>
      <c r="E70" s="1005"/>
      <c r="G70" s="1007"/>
      <c r="K70" s="1020" t="s">
        <v>260</v>
      </c>
      <c r="L70" s="1020" t="s">
        <v>775</v>
      </c>
      <c r="M70" s="1021"/>
    </row>
    <row r="71" spans="1:13" s="1006" customFormat="1" x14ac:dyDescent="0.2">
      <c r="A71" s="969"/>
      <c r="B71" s="969"/>
      <c r="C71" s="969"/>
      <c r="D71" s="969"/>
      <c r="E71" s="1005"/>
      <c r="G71" s="1007"/>
      <c r="K71" s="1022" t="s">
        <v>667</v>
      </c>
      <c r="L71" s="1022"/>
      <c r="M71" s="1023">
        <f>SUM(M62:M70)</f>
        <v>0</v>
      </c>
    </row>
    <row r="72" spans="1:13" s="1006" customFormat="1" x14ac:dyDescent="0.2">
      <c r="A72" s="969"/>
      <c r="B72" s="969"/>
      <c r="C72" s="969"/>
      <c r="D72" s="969"/>
      <c r="E72" s="1005"/>
      <c r="G72" s="1007"/>
      <c r="K72" s="1016"/>
      <c r="L72" s="1016"/>
      <c r="M72" s="1024"/>
    </row>
    <row r="73" spans="1:13" s="1006" customFormat="1" x14ac:dyDescent="0.2">
      <c r="A73" s="969"/>
      <c r="B73" s="969"/>
      <c r="C73" s="969"/>
      <c r="D73" s="969"/>
      <c r="E73" s="1005"/>
      <c r="G73" s="1007"/>
      <c r="K73" s="1016" t="s">
        <v>779</v>
      </c>
      <c r="L73" s="1016"/>
      <c r="M73" s="1024"/>
    </row>
    <row r="74" spans="1:13" s="1006" customFormat="1" x14ac:dyDescent="0.2">
      <c r="A74" s="969"/>
      <c r="B74" s="969"/>
      <c r="C74" s="969"/>
      <c r="D74" s="969"/>
      <c r="E74" s="1005"/>
      <c r="G74" s="1007"/>
      <c r="K74" s="1018" t="s">
        <v>764</v>
      </c>
      <c r="L74" s="1018" t="s">
        <v>765</v>
      </c>
      <c r="M74" s="1019" t="s">
        <v>778</v>
      </c>
    </row>
    <row r="75" spans="1:13" s="1006" customFormat="1" x14ac:dyDescent="0.2">
      <c r="A75" s="969"/>
      <c r="B75" s="969"/>
      <c r="C75" s="969"/>
      <c r="D75" s="969"/>
      <c r="E75" s="1005"/>
      <c r="G75" s="1007"/>
      <c r="K75" s="1020" t="s">
        <v>309</v>
      </c>
      <c r="L75" s="1020" t="s">
        <v>766</v>
      </c>
      <c r="M75" s="1021"/>
    </row>
    <row r="76" spans="1:13" s="1006" customFormat="1" x14ac:dyDescent="0.2">
      <c r="A76" s="969"/>
      <c r="B76" s="969"/>
      <c r="C76" s="969"/>
      <c r="D76" s="969"/>
      <c r="E76" s="1005"/>
      <c r="G76" s="1007"/>
      <c r="K76" s="1020" t="s">
        <v>309</v>
      </c>
      <c r="L76" s="1020" t="s">
        <v>767</v>
      </c>
      <c r="M76" s="1021"/>
    </row>
    <row r="77" spans="1:13" s="1006" customFormat="1" x14ac:dyDescent="0.2">
      <c r="A77" s="969"/>
      <c r="B77" s="969"/>
      <c r="C77" s="969"/>
      <c r="D77" s="969"/>
      <c r="E77" s="1005"/>
      <c r="G77" s="1007"/>
      <c r="K77" s="1020" t="s">
        <v>309</v>
      </c>
      <c r="L77" s="1020" t="s">
        <v>768</v>
      </c>
      <c r="M77" s="1021"/>
    </row>
    <row r="78" spans="1:13" s="1006" customFormat="1" x14ac:dyDescent="0.2">
      <c r="A78" s="969"/>
      <c r="B78" s="969"/>
      <c r="C78" s="969"/>
      <c r="D78" s="969"/>
      <c r="E78" s="1005"/>
      <c r="G78" s="1007"/>
      <c r="K78" s="1020" t="s">
        <v>309</v>
      </c>
      <c r="L78" s="1020" t="s">
        <v>769</v>
      </c>
      <c r="M78" s="1021"/>
    </row>
    <row r="79" spans="1:13" s="1006" customFormat="1" x14ac:dyDescent="0.2">
      <c r="A79" s="969"/>
      <c r="B79" s="969"/>
      <c r="C79" s="969"/>
      <c r="D79" s="969"/>
      <c r="E79" s="1005"/>
      <c r="G79" s="1007"/>
      <c r="K79" s="1020" t="s">
        <v>309</v>
      </c>
      <c r="L79" s="1020" t="s">
        <v>770</v>
      </c>
      <c r="M79" s="1021"/>
    </row>
    <row r="80" spans="1:13" s="1006" customFormat="1" x14ac:dyDescent="0.2">
      <c r="A80" s="969"/>
      <c r="B80" s="969"/>
      <c r="C80" s="969"/>
      <c r="D80" s="969"/>
      <c r="E80" s="1005"/>
      <c r="G80" s="1007"/>
      <c r="K80" s="1020" t="s">
        <v>309</v>
      </c>
      <c r="L80" s="1020" t="s">
        <v>771</v>
      </c>
      <c r="M80" s="1021"/>
    </row>
    <row r="81" spans="1:13" s="1006" customFormat="1" x14ac:dyDescent="0.2">
      <c r="A81" s="969"/>
      <c r="B81" s="969"/>
      <c r="C81" s="969"/>
      <c r="D81" s="969"/>
      <c r="E81" s="1005"/>
      <c r="G81" s="1007"/>
      <c r="K81" s="1020" t="s">
        <v>258</v>
      </c>
      <c r="L81" s="1020" t="s">
        <v>776</v>
      </c>
      <c r="M81" s="1021"/>
    </row>
    <row r="82" spans="1:13" s="1006" customFormat="1" x14ac:dyDescent="0.2">
      <c r="A82" s="969"/>
      <c r="B82" s="969"/>
      <c r="C82" s="969"/>
      <c r="D82" s="969"/>
      <c r="E82" s="1005"/>
      <c r="G82" s="1007"/>
      <c r="K82" s="1020" t="s">
        <v>260</v>
      </c>
      <c r="L82" s="1020" t="s">
        <v>774</v>
      </c>
      <c r="M82" s="1021"/>
    </row>
    <row r="83" spans="1:13" s="1006" customFormat="1" x14ac:dyDescent="0.2">
      <c r="A83" s="969"/>
      <c r="B83" s="969"/>
      <c r="C83" s="969"/>
      <c r="D83" s="969"/>
      <c r="E83" s="1005"/>
      <c r="G83" s="1007"/>
      <c r="K83" s="1020" t="s">
        <v>260</v>
      </c>
      <c r="L83" s="1020" t="s">
        <v>775</v>
      </c>
      <c r="M83" s="1021"/>
    </row>
    <row r="84" spans="1:13" s="1006" customFormat="1" x14ac:dyDescent="0.2">
      <c r="A84" s="969"/>
      <c r="B84" s="969"/>
      <c r="C84" s="969"/>
      <c r="D84" s="969"/>
      <c r="E84" s="1005"/>
      <c r="G84" s="1007"/>
      <c r="K84" s="1022" t="s">
        <v>667</v>
      </c>
      <c r="L84" s="1022"/>
      <c r="M84" s="1023">
        <f>SUM(M75:M83)</f>
        <v>0</v>
      </c>
    </row>
    <row r="85" spans="1:13" s="1006" customFormat="1" x14ac:dyDescent="0.2">
      <c r="A85" s="969"/>
      <c r="B85" s="969"/>
      <c r="C85" s="969"/>
      <c r="D85" s="969"/>
      <c r="E85" s="1005"/>
      <c r="G85" s="1007"/>
    </row>
    <row r="86" spans="1:13" s="1006" customFormat="1" x14ac:dyDescent="0.2">
      <c r="A86" s="969"/>
      <c r="B86" s="969"/>
      <c r="C86" s="969"/>
      <c r="D86" s="969"/>
      <c r="E86" s="1005"/>
      <c r="G86" s="1007"/>
    </row>
    <row r="87" spans="1:13" s="1006" customFormat="1" x14ac:dyDescent="0.2">
      <c r="A87" s="969"/>
      <c r="B87" s="969"/>
      <c r="C87" s="969"/>
      <c r="D87" s="969"/>
      <c r="E87" s="1005"/>
      <c r="G87" s="1007"/>
    </row>
    <row r="88" spans="1:13" s="1006" customFormat="1" x14ac:dyDescent="0.2">
      <c r="A88" s="969"/>
      <c r="B88" s="969"/>
      <c r="C88" s="969"/>
      <c r="D88" s="969"/>
      <c r="E88" s="1005"/>
      <c r="G88" s="1007"/>
    </row>
    <row r="89" spans="1:13" s="1006" customFormat="1" x14ac:dyDescent="0.2">
      <c r="A89" s="969"/>
      <c r="B89" s="969"/>
      <c r="C89" s="969"/>
      <c r="D89" s="969"/>
      <c r="E89" s="1005"/>
      <c r="G89" s="1007"/>
    </row>
    <row r="90" spans="1:13" s="1006" customFormat="1" x14ac:dyDescent="0.2">
      <c r="A90" s="969"/>
      <c r="B90" s="969"/>
      <c r="C90" s="969"/>
      <c r="D90" s="969"/>
      <c r="E90" s="1005"/>
      <c r="G90" s="1007"/>
    </row>
    <row r="91" spans="1:13" s="1006" customFormat="1" x14ac:dyDescent="0.2">
      <c r="A91" s="969"/>
      <c r="B91" s="969"/>
      <c r="C91" s="969"/>
      <c r="D91" s="969"/>
      <c r="E91" s="1005"/>
      <c r="G91" s="1007"/>
    </row>
    <row r="92" spans="1:13" s="1006" customFormat="1" x14ac:dyDescent="0.2">
      <c r="A92" s="969"/>
      <c r="B92" s="969"/>
      <c r="C92" s="969"/>
      <c r="D92" s="969"/>
      <c r="E92" s="1005"/>
      <c r="G92" s="1007"/>
    </row>
    <row r="93" spans="1:13" s="1006" customFormat="1" x14ac:dyDescent="0.2">
      <c r="A93" s="969"/>
      <c r="B93" s="969"/>
      <c r="C93" s="969"/>
      <c r="D93" s="969"/>
      <c r="E93" s="1005"/>
      <c r="G93" s="1007"/>
    </row>
    <row r="94" spans="1:13" s="1006" customFormat="1" x14ac:dyDescent="0.2">
      <c r="A94" s="969"/>
      <c r="B94" s="969"/>
      <c r="C94" s="969"/>
      <c r="D94" s="969"/>
      <c r="E94" s="1005"/>
      <c r="G94" s="1007"/>
    </row>
    <row r="95" spans="1:13" s="1006" customFormat="1" x14ac:dyDescent="0.2">
      <c r="A95" s="969"/>
      <c r="B95" s="969"/>
      <c r="C95" s="969"/>
      <c r="D95" s="969"/>
      <c r="E95" s="1005"/>
      <c r="G95" s="1007"/>
    </row>
    <row r="96" spans="1:13" s="1006" customFormat="1" x14ac:dyDescent="0.2">
      <c r="A96" s="969"/>
      <c r="B96" s="969"/>
      <c r="C96" s="969"/>
      <c r="D96" s="969"/>
      <c r="E96" s="1005"/>
      <c r="G96" s="1007"/>
    </row>
    <row r="97" spans="1:7" s="1006" customFormat="1" x14ac:dyDescent="0.2">
      <c r="A97" s="969"/>
      <c r="B97" s="969"/>
      <c r="C97" s="969"/>
      <c r="D97" s="969"/>
      <c r="E97" s="1005"/>
      <c r="G97" s="1007"/>
    </row>
    <row r="98" spans="1:7" s="1006" customFormat="1" x14ac:dyDescent="0.2">
      <c r="A98" s="969"/>
      <c r="B98" s="969"/>
      <c r="C98" s="969"/>
      <c r="D98" s="969"/>
      <c r="E98" s="1005"/>
      <c r="G98" s="1007"/>
    </row>
    <row r="99" spans="1:7" s="1006" customFormat="1" x14ac:dyDescent="0.2">
      <c r="A99" s="969"/>
      <c r="B99" s="969"/>
      <c r="C99" s="969"/>
      <c r="D99" s="969"/>
      <c r="E99" s="1005"/>
      <c r="G99" s="1007"/>
    </row>
    <row r="100" spans="1:7" s="1006" customFormat="1" x14ac:dyDescent="0.2">
      <c r="A100" s="969"/>
      <c r="B100" s="969"/>
      <c r="C100" s="969"/>
      <c r="D100" s="969"/>
      <c r="E100" s="1005"/>
      <c r="G100" s="1007"/>
    </row>
    <row r="101" spans="1:7" s="1006" customFormat="1" x14ac:dyDescent="0.2">
      <c r="A101" s="969"/>
      <c r="B101" s="969"/>
      <c r="C101" s="969"/>
      <c r="D101" s="969"/>
      <c r="E101" s="1005"/>
      <c r="G101" s="1007"/>
    </row>
    <row r="102" spans="1:7" s="1006" customFormat="1" x14ac:dyDescent="0.2">
      <c r="A102" s="969"/>
      <c r="B102" s="969"/>
      <c r="C102" s="969"/>
      <c r="D102" s="969"/>
      <c r="E102" s="1005"/>
      <c r="G102" s="1007"/>
    </row>
    <row r="103" spans="1:7" s="1006" customFormat="1" x14ac:dyDescent="0.2">
      <c r="A103" s="969"/>
      <c r="B103" s="969"/>
      <c r="C103" s="969"/>
      <c r="D103" s="969"/>
      <c r="E103" s="1005"/>
      <c r="G103" s="1007"/>
    </row>
    <row r="104" spans="1:7" s="1006" customFormat="1" x14ac:dyDescent="0.2">
      <c r="A104" s="969"/>
      <c r="B104" s="969"/>
      <c r="C104" s="969"/>
      <c r="D104" s="969"/>
      <c r="E104" s="1005"/>
      <c r="G104" s="1007"/>
    </row>
    <row r="105" spans="1:7" s="1006" customFormat="1" x14ac:dyDescent="0.2">
      <c r="A105" s="969"/>
      <c r="B105" s="969"/>
      <c r="C105" s="969"/>
      <c r="D105" s="969"/>
      <c r="E105" s="1005"/>
      <c r="G105" s="1007"/>
    </row>
    <row r="106" spans="1:7" s="1006" customFormat="1" x14ac:dyDescent="0.2">
      <c r="A106" s="969"/>
      <c r="B106" s="969"/>
      <c r="C106" s="969"/>
      <c r="D106" s="969"/>
      <c r="E106" s="1005"/>
      <c r="G106" s="1007"/>
    </row>
    <row r="107" spans="1:7" s="1006" customFormat="1" x14ac:dyDescent="0.2">
      <c r="A107" s="969"/>
      <c r="B107" s="969"/>
      <c r="C107" s="969"/>
      <c r="D107" s="969"/>
      <c r="E107" s="1005"/>
      <c r="G107" s="1007"/>
    </row>
    <row r="108" spans="1:7" s="1006" customFormat="1" x14ac:dyDescent="0.2">
      <c r="A108" s="969"/>
      <c r="B108" s="969"/>
      <c r="C108" s="969"/>
      <c r="D108" s="969"/>
      <c r="E108" s="1005"/>
      <c r="G108" s="1007"/>
    </row>
    <row r="109" spans="1:7" s="1006" customFormat="1" x14ac:dyDescent="0.2">
      <c r="A109" s="969"/>
      <c r="B109" s="969"/>
      <c r="C109" s="969"/>
      <c r="D109" s="969"/>
      <c r="E109" s="1005"/>
      <c r="G109" s="1007"/>
    </row>
    <row r="110" spans="1:7" s="1006" customFormat="1" x14ac:dyDescent="0.2">
      <c r="A110" s="969"/>
      <c r="B110" s="969"/>
      <c r="C110" s="969"/>
      <c r="D110" s="969"/>
      <c r="E110" s="1005"/>
      <c r="G110" s="1007"/>
    </row>
    <row r="111" spans="1:7" s="1006" customFormat="1" x14ac:dyDescent="0.2">
      <c r="A111" s="969"/>
      <c r="B111" s="969"/>
      <c r="C111" s="969"/>
      <c r="D111" s="969"/>
      <c r="E111" s="1005"/>
      <c r="G111" s="1007"/>
    </row>
    <row r="112" spans="1:7" s="1006" customFormat="1" x14ac:dyDescent="0.2">
      <c r="A112" s="969"/>
      <c r="B112" s="969"/>
      <c r="C112" s="969"/>
      <c r="D112" s="969"/>
      <c r="E112" s="1005"/>
      <c r="G112" s="1007"/>
    </row>
    <row r="113" spans="1:7" s="1006" customFormat="1" x14ac:dyDescent="0.2">
      <c r="A113" s="969"/>
      <c r="B113" s="969"/>
      <c r="C113" s="969"/>
      <c r="D113" s="969"/>
      <c r="E113" s="1005"/>
      <c r="G113" s="1007"/>
    </row>
    <row r="114" spans="1:7" s="1006" customFormat="1" x14ac:dyDescent="0.2">
      <c r="A114" s="969"/>
      <c r="B114" s="969"/>
      <c r="C114" s="969"/>
      <c r="D114" s="969"/>
      <c r="E114" s="1005"/>
      <c r="G114" s="1007"/>
    </row>
    <row r="115" spans="1:7" s="1006" customFormat="1" x14ac:dyDescent="0.2">
      <c r="A115" s="969"/>
      <c r="B115" s="969"/>
      <c r="C115" s="969"/>
      <c r="D115" s="969"/>
      <c r="E115" s="1005"/>
      <c r="G115" s="1007"/>
    </row>
    <row r="116" spans="1:7" s="1006" customFormat="1" x14ac:dyDescent="0.2">
      <c r="A116" s="969"/>
      <c r="B116" s="969"/>
      <c r="C116" s="969"/>
      <c r="D116" s="969"/>
      <c r="E116" s="1005"/>
      <c r="G116" s="1007"/>
    </row>
    <row r="117" spans="1:7" s="1006" customFormat="1" x14ac:dyDescent="0.2">
      <c r="A117" s="969"/>
      <c r="B117" s="969"/>
      <c r="C117" s="969"/>
      <c r="D117" s="969"/>
      <c r="E117" s="1005"/>
      <c r="G117" s="1007"/>
    </row>
    <row r="118" spans="1:7" s="1006" customFormat="1" x14ac:dyDescent="0.2">
      <c r="A118" s="969"/>
      <c r="B118" s="969"/>
      <c r="C118" s="969"/>
      <c r="D118" s="969"/>
      <c r="E118" s="1005"/>
      <c r="G118" s="1007"/>
    </row>
    <row r="119" spans="1:7" s="1006" customFormat="1" x14ac:dyDescent="0.2">
      <c r="A119" s="969"/>
      <c r="B119" s="969"/>
      <c r="C119" s="969"/>
      <c r="D119" s="969"/>
      <c r="E119" s="1005"/>
      <c r="G119" s="1007"/>
    </row>
    <row r="120" spans="1:7" s="1006" customFormat="1" x14ac:dyDescent="0.2">
      <c r="A120" s="969"/>
      <c r="B120" s="969"/>
      <c r="C120" s="969"/>
      <c r="D120" s="969"/>
      <c r="E120" s="1005"/>
      <c r="G120" s="1007"/>
    </row>
    <row r="121" spans="1:7" s="1006" customFormat="1" x14ac:dyDescent="0.2">
      <c r="A121" s="969"/>
      <c r="B121" s="969"/>
      <c r="C121" s="969"/>
      <c r="D121" s="969"/>
      <c r="E121" s="1005"/>
      <c r="G121" s="1007"/>
    </row>
    <row r="122" spans="1:7" s="1006" customFormat="1" x14ac:dyDescent="0.2">
      <c r="A122" s="969"/>
      <c r="B122" s="969"/>
      <c r="C122" s="969"/>
      <c r="D122" s="969"/>
      <c r="E122" s="1005"/>
      <c r="G122" s="1007"/>
    </row>
    <row r="123" spans="1:7" s="1006" customFormat="1" x14ac:dyDescent="0.2">
      <c r="A123" s="969"/>
      <c r="B123" s="969"/>
      <c r="C123" s="969"/>
      <c r="D123" s="969"/>
      <c r="E123" s="1005"/>
      <c r="G123" s="1007"/>
    </row>
    <row r="124" spans="1:7" s="1006" customFormat="1" x14ac:dyDescent="0.2">
      <c r="A124" s="969"/>
      <c r="B124" s="969"/>
      <c r="C124" s="969"/>
      <c r="D124" s="969"/>
      <c r="E124" s="1005"/>
      <c r="G124" s="1007"/>
    </row>
    <row r="125" spans="1:7" s="1006" customFormat="1" x14ac:dyDescent="0.2">
      <c r="A125" s="969"/>
      <c r="B125" s="969"/>
      <c r="C125" s="969"/>
      <c r="D125" s="969"/>
      <c r="E125" s="1005"/>
      <c r="G125" s="1007"/>
    </row>
    <row r="126" spans="1:7" s="1006" customFormat="1" x14ac:dyDescent="0.2">
      <c r="A126" s="969"/>
      <c r="B126" s="969"/>
      <c r="C126" s="969"/>
      <c r="D126" s="969"/>
      <c r="E126" s="1005"/>
      <c r="G126" s="1007"/>
    </row>
    <row r="127" spans="1:7" s="1006" customFormat="1" x14ac:dyDescent="0.2">
      <c r="A127" s="969"/>
      <c r="B127" s="969"/>
      <c r="C127" s="969"/>
      <c r="D127" s="969"/>
      <c r="E127" s="1005"/>
      <c r="G127" s="1007"/>
    </row>
    <row r="128" spans="1:7" s="1006" customFormat="1" x14ac:dyDescent="0.2">
      <c r="A128" s="969"/>
      <c r="B128" s="969"/>
      <c r="C128" s="969"/>
      <c r="D128" s="969"/>
      <c r="E128" s="1005"/>
      <c r="G128" s="1007"/>
    </row>
    <row r="129" spans="1:7" s="1006" customFormat="1" x14ac:dyDescent="0.2">
      <c r="A129" s="969"/>
      <c r="B129" s="969"/>
      <c r="C129" s="969"/>
      <c r="D129" s="969"/>
      <c r="E129" s="1005"/>
      <c r="G129" s="1007"/>
    </row>
    <row r="130" spans="1:7" s="1006" customFormat="1" x14ac:dyDescent="0.2">
      <c r="A130" s="969"/>
      <c r="B130" s="969"/>
      <c r="C130" s="969"/>
      <c r="D130" s="969"/>
      <c r="E130" s="1005"/>
      <c r="G130" s="1007"/>
    </row>
    <row r="131" spans="1:7" s="1006" customFormat="1" x14ac:dyDescent="0.2">
      <c r="A131" s="969"/>
      <c r="B131" s="969"/>
      <c r="C131" s="969"/>
      <c r="D131" s="969"/>
      <c r="E131" s="1005"/>
      <c r="G131" s="1007"/>
    </row>
    <row r="132" spans="1:7" s="1006" customFormat="1" x14ac:dyDescent="0.2">
      <c r="A132" s="969"/>
      <c r="B132" s="969"/>
      <c r="C132" s="969"/>
      <c r="D132" s="969"/>
      <c r="E132" s="1005"/>
      <c r="G132" s="1007"/>
    </row>
  </sheetData>
  <mergeCells count="3">
    <mergeCell ref="A47:E47"/>
    <mergeCell ref="A3:A4"/>
    <mergeCell ref="E3:E4"/>
  </mergeCells>
  <printOptions horizontalCentered="1"/>
  <pageMargins left="0" right="0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6"/>
  <sheetViews>
    <sheetView workbookViewId="0">
      <selection activeCell="H21" sqref="H21"/>
    </sheetView>
  </sheetViews>
  <sheetFormatPr defaultRowHeight="15" x14ac:dyDescent="0.25"/>
  <cols>
    <col min="2" max="2" width="21.7109375" customWidth="1"/>
    <col min="3" max="6" width="13.140625" customWidth="1"/>
    <col min="7" max="7" width="21.7109375" style="324" customWidth="1"/>
    <col min="8" max="8" width="23" customWidth="1"/>
    <col min="9" max="9" width="23.7109375" customWidth="1"/>
    <col min="10" max="10" width="30" customWidth="1"/>
  </cols>
  <sheetData>
    <row r="1" spans="2:10" thickBot="1" x14ac:dyDescent="0.35"/>
    <row r="2" spans="2:10" thickBot="1" x14ac:dyDescent="0.35">
      <c r="B2" s="1442" t="s">
        <v>821</v>
      </c>
      <c r="C2" s="1443"/>
      <c r="D2" s="1443"/>
      <c r="E2" s="1443"/>
      <c r="F2" s="1444"/>
      <c r="H2" s="1445" t="s">
        <v>807</v>
      </c>
      <c r="I2" s="1446"/>
      <c r="J2" s="1447"/>
    </row>
    <row r="3" spans="2:10" thickBot="1" x14ac:dyDescent="0.35">
      <c r="B3" s="1105"/>
      <c r="C3" s="1106"/>
      <c r="D3" s="1315"/>
      <c r="E3" s="1324"/>
      <c r="F3" s="1316"/>
      <c r="H3" s="1325"/>
      <c r="I3" s="1317" t="s">
        <v>808</v>
      </c>
      <c r="J3" s="1326" t="s">
        <v>809</v>
      </c>
    </row>
    <row r="4" spans="2:10" thickBot="1" x14ac:dyDescent="0.35">
      <c r="B4" s="1334" t="s">
        <v>2</v>
      </c>
      <c r="C4" s="1332">
        <f>I5</f>
        <v>31027</v>
      </c>
      <c r="D4" s="1335">
        <f>I5</f>
        <v>31027</v>
      </c>
      <c r="E4" s="1335">
        <f>I5</f>
        <v>31027</v>
      </c>
      <c r="F4" s="1335">
        <f>I5</f>
        <v>31027</v>
      </c>
      <c r="H4" s="1448" t="s">
        <v>810</v>
      </c>
      <c r="I4" s="1449"/>
      <c r="J4" s="1450"/>
    </row>
    <row r="5" spans="2:10" thickBot="1" x14ac:dyDescent="0.35">
      <c r="B5" s="1338" t="s">
        <v>3</v>
      </c>
      <c r="C5" s="1339">
        <v>0.25</v>
      </c>
      <c r="D5" s="1340">
        <v>0.5</v>
      </c>
      <c r="E5" s="1340">
        <v>0.75</v>
      </c>
      <c r="F5" s="1340">
        <v>1</v>
      </c>
      <c r="H5" s="1328" t="s">
        <v>811</v>
      </c>
      <c r="I5" s="1318">
        <v>31027</v>
      </c>
      <c r="J5" s="1319" t="s">
        <v>816</v>
      </c>
    </row>
    <row r="6" spans="2:10" thickBot="1" x14ac:dyDescent="0.35">
      <c r="B6" s="1334" t="s">
        <v>4</v>
      </c>
      <c r="C6" s="1332">
        <f>C4*C5</f>
        <v>7756.75</v>
      </c>
      <c r="D6" s="1332">
        <f>D5*D4</f>
        <v>15513.5</v>
      </c>
      <c r="E6" s="1332">
        <f>E4*E5</f>
        <v>23270.25</v>
      </c>
      <c r="F6" s="1332">
        <f>F5*F4</f>
        <v>31027</v>
      </c>
      <c r="H6" s="1448" t="s">
        <v>38</v>
      </c>
      <c r="I6" s="1449"/>
      <c r="J6" s="1450"/>
    </row>
    <row r="7" spans="2:10" ht="14.45" x14ac:dyDescent="0.3">
      <c r="B7" s="1334" t="s">
        <v>22</v>
      </c>
      <c r="C7" s="1332">
        <f>C6*I7</f>
        <v>1816.63085</v>
      </c>
      <c r="D7" s="1333">
        <f>D6*I7</f>
        <v>3633.2617</v>
      </c>
      <c r="E7" s="1333">
        <f>E6*I7</f>
        <v>5449.8925499999996</v>
      </c>
      <c r="F7" s="1333">
        <f>F6*I7</f>
        <v>7266.5234</v>
      </c>
      <c r="H7" s="1329" t="s">
        <v>814</v>
      </c>
      <c r="I7" s="1320">
        <v>0.23419999999999999</v>
      </c>
      <c r="J7" s="1321" t="s">
        <v>817</v>
      </c>
    </row>
    <row r="8" spans="2:10" ht="14.45" x14ac:dyDescent="0.3">
      <c r="B8" s="1336" t="s">
        <v>812</v>
      </c>
      <c r="C8" s="1337">
        <f>(C6+C7)*$I$8</f>
        <v>1134.445630725</v>
      </c>
      <c r="D8" s="1337">
        <f t="shared" ref="D8:F8" si="0">(D6+D7)*$I$8</f>
        <v>2268.89126145</v>
      </c>
      <c r="E8" s="1337">
        <f t="shared" si="0"/>
        <v>3403.3368921749998</v>
      </c>
      <c r="F8" s="1337">
        <f t="shared" si="0"/>
        <v>4537.7825229</v>
      </c>
      <c r="H8" s="1330" t="s">
        <v>815</v>
      </c>
      <c r="I8" s="1327">
        <v>0.11849999999999999</v>
      </c>
      <c r="J8" s="1321" t="s">
        <v>817</v>
      </c>
    </row>
    <row r="9" spans="2:10" thickBot="1" x14ac:dyDescent="0.35">
      <c r="B9" s="1334" t="s">
        <v>813</v>
      </c>
      <c r="C9" s="1332">
        <f>C8+C7+C6</f>
        <v>10707.826480725</v>
      </c>
      <c r="D9" s="1332">
        <f t="shared" ref="D9:F9" si="1">D8+D7+D6</f>
        <v>21415.65296145</v>
      </c>
      <c r="E9" s="1332">
        <f t="shared" si="1"/>
        <v>32123.479442174998</v>
      </c>
      <c r="F9" s="1332">
        <f t="shared" si="1"/>
        <v>42831.305922899999</v>
      </c>
      <c r="H9" s="1331" t="s">
        <v>490</v>
      </c>
      <c r="I9" s="1322">
        <v>2.6200000000000001E-2</v>
      </c>
      <c r="J9" s="1323" t="s">
        <v>818</v>
      </c>
    </row>
    <row r="10" spans="2:10" ht="14.45" x14ac:dyDescent="0.3">
      <c r="B10" s="1334" t="s">
        <v>820</v>
      </c>
      <c r="C10" s="1332">
        <f>C9*($I$9+1)</f>
        <v>10988.371534519994</v>
      </c>
      <c r="D10" s="1332">
        <f t="shared" ref="D10:F10" si="2">D9*($I$9+1)</f>
        <v>21976.743069039989</v>
      </c>
      <c r="E10" s="1332">
        <f t="shared" si="2"/>
        <v>32965.114603559981</v>
      </c>
      <c r="F10" s="1332">
        <f t="shared" si="2"/>
        <v>43953.486138079978</v>
      </c>
    </row>
    <row r="11" spans="2:10" ht="14.45" x14ac:dyDescent="0.3">
      <c r="B11" s="1338" t="s">
        <v>819</v>
      </c>
      <c r="C11" s="1341">
        <f>C10/52</f>
        <v>211.31483720230759</v>
      </c>
      <c r="D11" s="1341">
        <f t="shared" ref="D11:F11" si="3">D10/52</f>
        <v>422.62967440461517</v>
      </c>
      <c r="E11" s="1341">
        <f t="shared" si="3"/>
        <v>633.94451160692267</v>
      </c>
      <c r="F11" s="1341">
        <f t="shared" si="3"/>
        <v>845.25934880923035</v>
      </c>
    </row>
    <row r="13" spans="2:10" ht="14.45" x14ac:dyDescent="0.3">
      <c r="B13" s="1342" t="s">
        <v>822</v>
      </c>
      <c r="F13" s="1343">
        <f>F10/2080</f>
        <v>21.131483720230758</v>
      </c>
    </row>
    <row r="16" spans="2:10" ht="21" x14ac:dyDescent="0.4">
      <c r="E16" s="1313" t="s">
        <v>823</v>
      </c>
      <c r="F16" s="1313"/>
      <c r="G16" s="1344"/>
      <c r="H16" s="1313"/>
    </row>
  </sheetData>
  <mergeCells count="4">
    <mergeCell ref="B2:F2"/>
    <mergeCell ref="H2:J2"/>
    <mergeCell ref="H6:J6"/>
    <mergeCell ref="H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32</vt:i4>
      </vt:variant>
    </vt:vector>
  </HeadingPairs>
  <TitlesOfParts>
    <vt:vector size="66" baseType="lpstr">
      <vt:lpstr>Updated Unit Summary after P.H</vt:lpstr>
      <vt:lpstr>CAF Spring 2015</vt:lpstr>
      <vt:lpstr>DCF Fiscal Impact</vt:lpstr>
      <vt:lpstr>DMH Fiscal Impact</vt:lpstr>
      <vt:lpstr>Rate summary - 2016 PH</vt:lpstr>
      <vt:lpstr>IRTP</vt:lpstr>
      <vt:lpstr>Consolidated Changes </vt:lpstr>
      <vt:lpstr> Fiscal Impact </vt:lpstr>
      <vt:lpstr>DC Program Add-on</vt:lpstr>
      <vt:lpstr>CIRT (rebased)</vt:lpstr>
      <vt:lpstr>IRTP (rebased)</vt:lpstr>
      <vt:lpstr>STARR</vt:lpstr>
      <vt:lpstr>Teen Parent (rebased)</vt:lpstr>
      <vt:lpstr>Group Home (rebased)</vt:lpstr>
      <vt:lpstr>STARR (rebased)</vt:lpstr>
      <vt:lpstr>CIRT</vt:lpstr>
      <vt:lpstr>Group Home</vt:lpstr>
      <vt:lpstr>Teen Parent</vt:lpstr>
      <vt:lpstr>Continuum (rebased)</vt:lpstr>
      <vt:lpstr>FA - SO (rebased)</vt:lpstr>
      <vt:lpstr>SpecPgm-TAY(rebased)</vt:lpstr>
      <vt:lpstr>SpecPgm-1t1 SL (rebased)</vt:lpstr>
      <vt:lpstr>TLP E-bed add-on (rebased)</vt:lpstr>
      <vt:lpstr>Continuum</vt:lpstr>
      <vt:lpstr>Intensive GH with exp. Nursing</vt:lpstr>
      <vt:lpstr>SpecPgm-1t2 GH (rebased)</vt:lpstr>
      <vt:lpstr>Inten GH w exp. Nurs (rebased)</vt:lpstr>
      <vt:lpstr>SpecPgm-Med.Com N.GH</vt:lpstr>
      <vt:lpstr>SpecPgm-Med.Com N.GH (rebased)</vt:lpstr>
      <vt:lpstr>SpecPgm-1t1 SL</vt:lpstr>
      <vt:lpstr>SpecPgm-1t2 GH</vt:lpstr>
      <vt:lpstr>SpecPgm-College Prep</vt:lpstr>
      <vt:lpstr>SpecPgm-TransIFC</vt:lpstr>
      <vt:lpstr>SpecPgm-Outrch Ind.Liv (rebased</vt:lpstr>
      <vt:lpstr>' Fiscal Impact '!Print_Area</vt:lpstr>
      <vt:lpstr>CIRT!Print_Area</vt:lpstr>
      <vt:lpstr>'CIRT (rebased)'!Print_Area</vt:lpstr>
      <vt:lpstr>'Consolidated Changes '!Print_Area</vt:lpstr>
      <vt:lpstr>Continuum!Print_Area</vt:lpstr>
      <vt:lpstr>'Continuum (rebased)'!Print_Area</vt:lpstr>
      <vt:lpstr>'DCF Fiscal Impact'!Print_Area</vt:lpstr>
      <vt:lpstr>'FA - SO (rebased)'!Print_Area</vt:lpstr>
      <vt:lpstr>'Group Home'!Print_Area</vt:lpstr>
      <vt:lpstr>'Group Home (rebased)'!Print_Area</vt:lpstr>
      <vt:lpstr>'Inten GH w exp. Nurs (rebased)'!Print_Area</vt:lpstr>
      <vt:lpstr>'Intensive GH with exp. Nursing'!Print_Area</vt:lpstr>
      <vt:lpstr>IRTP!Print_Area</vt:lpstr>
      <vt:lpstr>'IRTP (rebased)'!Print_Area</vt:lpstr>
      <vt:lpstr>'Rate summary - 2016 PH'!Print_Area</vt:lpstr>
      <vt:lpstr>'SpecPgm-1t1 SL'!Print_Area</vt:lpstr>
      <vt:lpstr>'SpecPgm-1t1 SL (rebased)'!Print_Area</vt:lpstr>
      <vt:lpstr>'SpecPgm-1t2 GH'!Print_Area</vt:lpstr>
      <vt:lpstr>'SpecPgm-1t2 GH (rebased)'!Print_Area</vt:lpstr>
      <vt:lpstr>'SpecPgm-College Prep'!Print_Area</vt:lpstr>
      <vt:lpstr>'SpecPgm-Med.Com N.GH'!Print_Area</vt:lpstr>
      <vt:lpstr>'SpecPgm-Med.Com N.GH (rebased)'!Print_Area</vt:lpstr>
      <vt:lpstr>'SpecPgm-Outrch Ind.Liv (rebased'!Print_Area</vt:lpstr>
      <vt:lpstr>'SpecPgm-TAY(rebased)'!Print_Area</vt:lpstr>
      <vt:lpstr>'SpecPgm-TransIFC'!Print_Area</vt:lpstr>
      <vt:lpstr>STARR!Print_Area</vt:lpstr>
      <vt:lpstr>'STARR (rebased)'!Print_Area</vt:lpstr>
      <vt:lpstr>'Teen Parent'!Print_Area</vt:lpstr>
      <vt:lpstr>'Teen Parent (rebased)'!Print_Area</vt:lpstr>
      <vt:lpstr>'TLP E-bed add-on (rebased)'!Print_Area</vt:lpstr>
      <vt:lpstr>'Updated Unit Summary after P.H'!Print_Area</vt:lpstr>
      <vt:lpstr>'Consolidated Changes '!Print_Titles</vt:lpstr>
    </vt:vector>
  </TitlesOfParts>
  <Company>DHCFP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</dc:creator>
  <cp:lastModifiedBy> </cp:lastModifiedBy>
  <cp:lastPrinted>2018-01-18T18:41:00Z</cp:lastPrinted>
  <dcterms:created xsi:type="dcterms:W3CDTF">2011-05-11T16:48:26Z</dcterms:created>
  <dcterms:modified xsi:type="dcterms:W3CDTF">2018-01-23T16:49:52Z</dcterms:modified>
</cp:coreProperties>
</file>