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itlin.Rowley\Documents\HLC Website\Balance of State\"/>
    </mc:Choice>
  </mc:AlternateContent>
  <xr:revisionPtr revIDLastSave="0" documentId="8_{D7F26BA0-0923-42C9-B7E8-8BE58E9C0642}" xr6:coauthVersionLast="47" xr6:coauthVersionMax="47" xr10:uidLastSave="{00000000-0000-0000-0000-000000000000}"/>
  <bookViews>
    <workbookView xWindow="-110" yWindow="-110" windowWidth="19420" windowHeight="10300" xr2:uid="{7A5718E8-8EF5-4C80-8392-50F9D4BC00FF}"/>
  </bookViews>
  <sheets>
    <sheet name="PSH" sheetId="1" r:id="rId1"/>
    <sheet name="TH, RRH, TH-RRH" sheetId="4" r:id="rId2"/>
    <sheet name="GIW" sheetId="3" r:id="rId3"/>
  </sheets>
  <definedNames>
    <definedName name="_xlnm._FilterDatabase" localSheetId="2" hidden="1">GIW!$A$1:$M$1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8" i="4"/>
  <c r="G42" i="1"/>
  <c r="G39" i="1"/>
  <c r="G38" i="1"/>
  <c r="G45" i="1"/>
  <c r="G39" i="4"/>
  <c r="G42" i="4"/>
  <c r="G21" i="4"/>
  <c r="G21" i="1"/>
  <c r="G18" i="4"/>
  <c r="G17" i="4"/>
  <c r="G15" i="4"/>
  <c r="G19" i="4"/>
  <c r="G20" i="4"/>
  <c r="G52" i="1"/>
  <c r="G52" i="4"/>
  <c r="G56" i="4"/>
  <c r="G51" i="4"/>
  <c r="G47" i="4"/>
  <c r="G46" i="4"/>
  <c r="G45" i="4"/>
  <c r="G38" i="4"/>
  <c r="G35" i="4"/>
  <c r="G34" i="4"/>
  <c r="G33" i="4"/>
  <c r="E30" i="4"/>
  <c r="G26" i="4"/>
  <c r="G24" i="4"/>
  <c r="G23" i="4"/>
  <c r="E11" i="4"/>
  <c r="E10" i="4"/>
  <c r="E9" i="4"/>
  <c r="E6" i="4"/>
  <c r="E5" i="4"/>
  <c r="E3" i="4"/>
  <c r="E29" i="4" s="1"/>
  <c r="F29" i="4" s="1"/>
  <c r="G29" i="4" s="1"/>
  <c r="G47" i="1"/>
  <c r="G46" i="1"/>
  <c r="G51" i="1"/>
  <c r="G35" i="1"/>
  <c r="G34" i="1"/>
  <c r="G33" i="1"/>
  <c r="G26" i="1"/>
  <c r="G24" i="1"/>
  <c r="G23" i="1"/>
  <c r="G20" i="1"/>
  <c r="E30" i="1"/>
  <c r="E3" i="1"/>
  <c r="E29" i="1" s="1"/>
  <c r="G55" i="1"/>
  <c r="E11" i="1"/>
  <c r="E10" i="1"/>
  <c r="E9" i="1"/>
  <c r="E6" i="1"/>
  <c r="E5" i="1"/>
  <c r="G19" i="1"/>
  <c r="G18" i="1"/>
  <c r="G17" i="1"/>
  <c r="G15" i="1"/>
  <c r="E31" i="1" l="1"/>
  <c r="E32" i="1" s="1"/>
  <c r="E31" i="4"/>
  <c r="E32" i="4" s="1"/>
  <c r="F29" i="1"/>
  <c r="G29" i="1" s="1"/>
</calcChain>
</file>

<file path=xl/sharedStrings.xml><?xml version="1.0" encoding="utf-8"?>
<sst xmlns="http://schemas.openxmlformats.org/spreadsheetml/2006/main" count="357" uniqueCount="179">
  <si>
    <t>Project Name</t>
  </si>
  <si>
    <t>Coordinated Entry</t>
  </si>
  <si>
    <t>Grant Number</t>
  </si>
  <si>
    <t>Project Type</t>
  </si>
  <si>
    <t>DV Project</t>
  </si>
  <si>
    <t>Renewal Amount</t>
  </si>
  <si>
    <t>Threshold Criteria</t>
  </si>
  <si>
    <t>1. Does the project participate in Coordinated Entry?</t>
  </si>
  <si>
    <t>2. Does the project practice Housing First/Low Barrier Implementation?</t>
  </si>
  <si>
    <t>3. Is the applicant an active CoC participant?</t>
  </si>
  <si>
    <t>Performance Measures</t>
  </si>
  <si>
    <t>Max Score</t>
  </si>
  <si>
    <t>Metric</t>
  </si>
  <si>
    <t>Score</t>
  </si>
  <si>
    <t>Comments</t>
  </si>
  <si>
    <t>1. Exits to Permanent Housing</t>
  </si>
  <si>
    <t>98+</t>
  </si>
  <si>
    <t xml:space="preserve">2. New or Increased Income and Earned Income </t>
  </si>
  <si>
    <t>2a. New or increased income or earned income - Minimum percent of participants with new or increased earned income for project stayers</t>
  </si>
  <si>
    <t>&gt;18</t>
  </si>
  <si>
    <t>2b. New or increased income or earned income - Minimum percent of participants with new or increased non-employment income for project stayers</t>
  </si>
  <si>
    <t>&gt;75</t>
  </si>
  <si>
    <t>2c. New or increased income or earned income - Minimum percent of participants with new or increased earned income for project leavers</t>
  </si>
  <si>
    <t>&gt;30</t>
  </si>
  <si>
    <t>2d. New or increased income or earned income - Minimum percent of participants with new or increased non-employment for project leavers</t>
  </si>
  <si>
    <t>3. Returns to Homelessness (Unless DV)</t>
  </si>
  <si>
    <t>&lt;5.2</t>
  </si>
  <si>
    <t>4. Vacancies</t>
  </si>
  <si>
    <t>4a. Bed Utilization</t>
  </si>
  <si>
    <t>&gt;88</t>
  </si>
  <si>
    <t>4b. Unit Utilization</t>
  </si>
  <si>
    <t>&gt;91</t>
  </si>
  <si>
    <t>Project Effectiveness</t>
  </si>
  <si>
    <t>Reversions</t>
  </si>
  <si>
    <t>&lt;10%</t>
  </si>
  <si>
    <t>Is this a rental assistance project</t>
  </si>
  <si>
    <t>Yes</t>
  </si>
  <si>
    <t>Are we measuring for the first complete grant year?</t>
  </si>
  <si>
    <t xml:space="preserve">       The last two digits of the grant number</t>
  </si>
  <si>
    <t>Amount of Grant Funds Spent</t>
  </si>
  <si>
    <t>Amount of Grant Funds Reverted</t>
  </si>
  <si>
    <t>% of Funds Reverted</t>
  </si>
  <si>
    <t xml:space="preserve"> </t>
  </si>
  <si>
    <t>APR submitted on time - 30 days after the close of the grant</t>
  </si>
  <si>
    <t>APR submitted on time - 90 days after the close of the grant</t>
  </si>
  <si>
    <t>Was the APR rejected by HUD?</t>
  </si>
  <si>
    <t>Equity Factors</t>
  </si>
  <si>
    <t>Serving High Need and Priority Populations</t>
  </si>
  <si>
    <t>Percent of participants with zero income at entry</t>
  </si>
  <si>
    <t>&gt;45</t>
  </si>
  <si>
    <t>Percent of participants with more than one disability type</t>
  </si>
  <si>
    <t>&gt;90</t>
  </si>
  <si>
    <t>Percent of participants entering project from a place not meant for human habitation</t>
  </si>
  <si>
    <t>&gt;35</t>
  </si>
  <si>
    <t>Did all new referrals between January 1, 2023 and July 31, 2023 come through CE?</t>
  </si>
  <si>
    <t>CoC Monitoring Score</t>
  </si>
  <si>
    <t>Were there any findings in the most recent monitoring?</t>
  </si>
  <si>
    <t>No</t>
  </si>
  <si>
    <t>Were there any concerns in the most recent monitoring?</t>
  </si>
  <si>
    <t>Bonus</t>
  </si>
  <si>
    <t>Survey related to additional resources submitted</t>
  </si>
  <si>
    <t>PH-PSH</t>
  </si>
  <si>
    <t xml:space="preserve">GIW Funding </t>
  </si>
  <si>
    <t>Component</t>
  </si>
  <si>
    <t>DV?</t>
  </si>
  <si>
    <t>Hsng 1st?</t>
  </si>
  <si>
    <t>Active?</t>
  </si>
  <si>
    <t>Amount Spent</t>
  </si>
  <si>
    <t>Advocates Supported Housing Consolidation</t>
  </si>
  <si>
    <t>MA0287L1T162215</t>
  </si>
  <si>
    <t>Alternative House, Transitional Housing Program</t>
  </si>
  <si>
    <t>MA0146L1T162215</t>
  </si>
  <si>
    <t>TH</t>
  </si>
  <si>
    <t>Alternative House, Transitional Housing Program Expansion</t>
  </si>
  <si>
    <t>MA0740D1T162201</t>
  </si>
  <si>
    <t>Joint TH &amp; PH-RRH</t>
  </si>
  <si>
    <t>Brookline Rental Assistance for the Chronically Homeless</t>
  </si>
  <si>
    <t>MA0396L1T162212</t>
  </si>
  <si>
    <t>Burlington YHDP RRH</t>
  </si>
  <si>
    <t>MA0748Y1T161900</t>
  </si>
  <si>
    <t>PH-RRH</t>
  </si>
  <si>
    <t>Burlington YHDP Youth Navigator</t>
  </si>
  <si>
    <t>MA0749Y1T161900</t>
  </si>
  <si>
    <t>SSO</t>
  </si>
  <si>
    <t>Campus Apartments Consolidation</t>
  </si>
  <si>
    <t>MA0413L1T162210</t>
  </si>
  <si>
    <t>Community Housing Initiative</t>
  </si>
  <si>
    <t>MA0242L1T162215</t>
  </si>
  <si>
    <t>Community Housing S+C</t>
  </si>
  <si>
    <t>MA0243L1T162215</t>
  </si>
  <si>
    <t>MA0584L1T162206</t>
  </si>
  <si>
    <t>CTI PH-PSH for People Experiencing Chronic Homelessness</t>
  </si>
  <si>
    <t>MA0674L1T162203</t>
  </si>
  <si>
    <t>CTI YHDP Crisis Transitional</t>
  </si>
  <si>
    <t>MA0743Y1T161900</t>
  </si>
  <si>
    <t>CTI YHDP TH RRH</t>
  </si>
  <si>
    <t>MA0744Y1T161900</t>
  </si>
  <si>
    <t>CTI YHDP Youth Navigation</t>
  </si>
  <si>
    <t>MA0745Y1T161900</t>
  </si>
  <si>
    <t>CTI Youth TH-RRH</t>
  </si>
  <si>
    <t>MA0606L1T162205</t>
  </si>
  <si>
    <t>Disabled Family Leasing</t>
  </si>
  <si>
    <t>MA0342L1T162211</t>
  </si>
  <si>
    <t>Emerson Street Shelter Plus Care</t>
  </si>
  <si>
    <t>MA0186L1T162215</t>
  </si>
  <si>
    <t>Emmaus Rapid Rehousing Program</t>
  </si>
  <si>
    <t>MA0640L1T162204</t>
  </si>
  <si>
    <t>E-Nav BoS</t>
  </si>
  <si>
    <t>MA0772L1T162200</t>
  </si>
  <si>
    <t>Greater Boston Mobile Stabilization Team</t>
  </si>
  <si>
    <t>MA0244L1T162215</t>
  </si>
  <si>
    <t>Greater Boston Rental Assistance for the Chronically Homeless</t>
  </si>
  <si>
    <t>MA0277L1T162215</t>
  </si>
  <si>
    <t>Greater Boston Sponsor Based S+C</t>
  </si>
  <si>
    <t>MA0245L1T162215</t>
  </si>
  <si>
    <t>Greater Boston Tenant Based S+C</t>
  </si>
  <si>
    <t>MA0246L1T162215</t>
  </si>
  <si>
    <t>HMIS Dedicated</t>
  </si>
  <si>
    <t>MA0614L1T162205</t>
  </si>
  <si>
    <t>HMIS</t>
  </si>
  <si>
    <t>Home Again/Fresh Start</t>
  </si>
  <si>
    <t>MA0341L1T162210</t>
  </si>
  <si>
    <t>Housing Pronto</t>
  </si>
  <si>
    <t>MA0613L1T162205</t>
  </si>
  <si>
    <t>Journey to Success</t>
  </si>
  <si>
    <t>MA0249L1T162215</t>
  </si>
  <si>
    <t>JRI Supportive Housing-Hope for Families Program</t>
  </si>
  <si>
    <t>MA0385L1T162211</t>
  </si>
  <si>
    <t>Julie House</t>
  </si>
  <si>
    <t>MA0395L1T162212</t>
  </si>
  <si>
    <t>LINCOLN ST</t>
  </si>
  <si>
    <t>MA0227L1T162215</t>
  </si>
  <si>
    <t>Metrowest Leased Housing Consolidation</t>
  </si>
  <si>
    <t>MA0344L1T162212</t>
  </si>
  <si>
    <t>Mystic Valley Homeless to Housing Consolidation</t>
  </si>
  <si>
    <t>MA0220L1T162215</t>
  </si>
  <si>
    <t>NEW BEGINNINGS</t>
  </si>
  <si>
    <t>MA0229L1T162215</t>
  </si>
  <si>
    <t>New Dawn</t>
  </si>
  <si>
    <t>MA0741D1T162201</t>
  </si>
  <si>
    <t>North East Scattered Site Tenancy S+C</t>
  </si>
  <si>
    <t>MA0252L1T162215</t>
  </si>
  <si>
    <t>North Star Housing</t>
  </si>
  <si>
    <t>MA0612L1T162205</t>
  </si>
  <si>
    <t>Pathfinder PH Program</t>
  </si>
  <si>
    <t>MA0150L1T162215</t>
  </si>
  <si>
    <t>Post Acute Treatment Services / Pre-Recovery Services (PDPR)</t>
  </si>
  <si>
    <t>MA0254L1T162215</t>
  </si>
  <si>
    <t>Proyecto Opciones</t>
  </si>
  <si>
    <t>MA0256L1T162215</t>
  </si>
  <si>
    <t>Respond PH-RRH DV Bonus</t>
  </si>
  <si>
    <t>MA0685D1T162203</t>
  </si>
  <si>
    <t>RESPOND YHDP TH-RRH</t>
  </si>
  <si>
    <t>MA0746Y1T161900</t>
  </si>
  <si>
    <t>Tri-City Rental Assistance Project</t>
  </si>
  <si>
    <t>MA0223L1T162215</t>
  </si>
  <si>
    <t>TSS TH-RRH Combined</t>
  </si>
  <si>
    <t>MA0645L1T162204</t>
  </si>
  <si>
    <t>Turn the Key</t>
  </si>
  <si>
    <t>MA0258L1T162215</t>
  </si>
  <si>
    <t>Wayside Shortstop Transitional Housing Program</t>
  </si>
  <si>
    <t>MA0275L1T162215</t>
  </si>
  <si>
    <t>Welcome Home 1 Expansion</t>
  </si>
  <si>
    <t>MA0442L1T162210</t>
  </si>
  <si>
    <t>YHDP Not Ranked</t>
  </si>
  <si>
    <t>YWCA Fina House Project</t>
  </si>
  <si>
    <t>MA0215L1T162215</t>
  </si>
  <si>
    <t>TH-RRH</t>
  </si>
  <si>
    <t>&gt;85</t>
  </si>
  <si>
    <t>&gt;25</t>
  </si>
  <si>
    <t>&lt;1</t>
  </si>
  <si>
    <t>&gt;15</t>
  </si>
  <si>
    <t>&gt;20</t>
  </si>
  <si>
    <t>CE Participation</t>
  </si>
  <si>
    <t>APR on time</t>
  </si>
  <si>
    <t>PLEE Involvement</t>
  </si>
  <si>
    <t>Are Persons with Lived Experience and Expertise of Homelessness (PLEE) decision-making partners in your organization?</t>
  </si>
  <si>
    <t>Has project staff participated in diversion, equity and inclusion training in the last 18 mo?</t>
  </si>
  <si>
    <t>Is DEI a component in staff and program evaluations?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</si>
</sst>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AFFCA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6DCE4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4" fontId="0" fillId="0" borderId="2" xfId="0" applyNumberFormat="1" applyBorder="1"/>
    <xf numFmtId="0" fontId="0" fillId="4" borderId="2" xfId="0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2" xfId="0" applyFill="1" applyBorder="1"/>
    <xf numFmtId="0" fontId="0" fillId="6" borderId="2" xfId="0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7" borderId="0" xfId="0" applyFill="1"/>
    <xf numFmtId="164" fontId="0" fillId="6" borderId="0" xfId="0" applyNumberFormat="1" applyFill="1" applyAlignment="1">
      <alignment horizontal="center" vertical="center"/>
    </xf>
    <xf numFmtId="0" fontId="0" fillId="8" borderId="0" xfId="0" applyFill="1" applyAlignment="1">
      <alignment wrapText="1"/>
    </xf>
    <xf numFmtId="9" fontId="0" fillId="6" borderId="0" xfId="0" applyNumberFormat="1" applyFill="1" applyAlignment="1">
      <alignment horizontal="center" vertical="center"/>
    </xf>
    <xf numFmtId="0" fontId="0" fillId="8" borderId="0" xfId="0" applyFill="1"/>
    <xf numFmtId="0" fontId="0" fillId="4" borderId="0" xfId="0" applyFill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/>
  </cellXfs>
  <cellStyles count="1">
    <cellStyle name="Normal" xfId="0" builtinId="0"/>
  </cellStyles>
  <dxfs count="10">
    <dxf>
      <font>
        <color rgb="FFFF0000"/>
      </font>
      <fill>
        <patternFill>
          <bgColor rgb="FFF88F8C"/>
        </patternFill>
      </fill>
    </dxf>
    <dxf>
      <font>
        <color rgb="FFFF0000"/>
      </font>
      <fill>
        <patternFill>
          <bgColor rgb="FFF88F8C"/>
        </patternFill>
      </fill>
    </dxf>
    <dxf>
      <font>
        <color rgb="FFFF0000"/>
      </font>
      <fill>
        <patternFill>
          <bgColor rgb="FFFE9898"/>
        </patternFill>
      </fill>
    </dxf>
    <dxf>
      <font>
        <color rgb="FFFF0000"/>
      </font>
      <fill>
        <patternFill>
          <bgColor rgb="FFFE9898"/>
        </patternFill>
      </fill>
    </dxf>
    <dxf>
      <font>
        <color rgb="FFFF0000"/>
      </font>
      <fill>
        <patternFill>
          <bgColor rgb="FFFE9898"/>
        </patternFill>
      </fill>
    </dxf>
    <dxf>
      <font>
        <color rgb="FFFF0000"/>
      </font>
      <fill>
        <patternFill>
          <bgColor rgb="FFF88F8C"/>
        </patternFill>
      </fill>
    </dxf>
    <dxf>
      <font>
        <color rgb="FFFF0000"/>
      </font>
      <fill>
        <patternFill>
          <bgColor rgb="FFF88F8C"/>
        </patternFill>
      </fill>
    </dxf>
    <dxf>
      <font>
        <color rgb="FFFF0000"/>
      </font>
      <fill>
        <patternFill>
          <bgColor rgb="FFFE9898"/>
        </patternFill>
      </fill>
    </dxf>
    <dxf>
      <font>
        <color rgb="FFFF0000"/>
      </font>
      <fill>
        <patternFill>
          <bgColor rgb="FFFE9898"/>
        </patternFill>
      </fill>
    </dxf>
    <dxf>
      <font>
        <color rgb="FFFF0000"/>
      </font>
      <fill>
        <patternFill>
          <bgColor rgb="FFFE9898"/>
        </patternFill>
      </fill>
    </dxf>
  </dxfs>
  <tableStyles count="0" defaultTableStyle="TableStyleMedium2" defaultPivotStyle="PivotStyleLight16"/>
  <colors>
    <mruColors>
      <color rgb="FFF88F8C"/>
      <color rgb="FFFE9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61B6-2D02-4512-BD40-21FAD56864B1}">
  <sheetPr codeName="Sheet1"/>
  <dimension ref="A2:I55"/>
  <sheetViews>
    <sheetView tabSelected="1" topLeftCell="A19" workbookViewId="0">
      <selection activeCell="I57" sqref="I57"/>
    </sheetView>
  </sheetViews>
  <sheetFormatPr defaultRowHeight="14.5" x14ac:dyDescent="0.35"/>
  <cols>
    <col min="2" max="2" width="55" customWidth="1"/>
    <col min="3" max="3" width="11" customWidth="1"/>
    <col min="4" max="4" width="1.7265625" customWidth="1"/>
    <col min="5" max="5" width="40.453125" customWidth="1"/>
    <col min="9" max="9" width="36.1796875" customWidth="1"/>
  </cols>
  <sheetData>
    <row r="2" spans="1:9" x14ac:dyDescent="0.35">
      <c r="A2" t="s">
        <v>0</v>
      </c>
      <c r="E2" s="15" t="s">
        <v>91</v>
      </c>
    </row>
    <row r="3" spans="1:9" x14ac:dyDescent="0.35">
      <c r="A3" t="s">
        <v>2</v>
      </c>
      <c r="E3" s="16" t="str">
        <f>_xlfn.XLOOKUP(E2,GIW!A2:A49,GIW!B2:B49)</f>
        <v>MA0674L1T162203</v>
      </c>
    </row>
    <row r="4" spans="1:9" x14ac:dyDescent="0.35">
      <c r="A4" t="s">
        <v>3</v>
      </c>
      <c r="E4" s="16" t="s">
        <v>61</v>
      </c>
    </row>
    <row r="5" spans="1:9" x14ac:dyDescent="0.35">
      <c r="A5" t="s">
        <v>4</v>
      </c>
      <c r="E5" s="16" t="str">
        <f>_xlfn.XLOOKUP(E2,GIW!A2:A49,GIW!E2:E49)</f>
        <v>No</v>
      </c>
    </row>
    <row r="6" spans="1:9" x14ac:dyDescent="0.35">
      <c r="A6" t="s">
        <v>5</v>
      </c>
      <c r="E6" s="17">
        <f>_xlfn.XLOOKUP(E2,GIW!A2:A49,GIW!C2:C49)</f>
        <v>84556</v>
      </c>
    </row>
    <row r="8" spans="1:9" x14ac:dyDescent="0.35">
      <c r="A8" s="4" t="s">
        <v>6</v>
      </c>
      <c r="B8" s="4"/>
    </row>
    <row r="9" spans="1:9" x14ac:dyDescent="0.35">
      <c r="A9" t="s">
        <v>7</v>
      </c>
      <c r="E9" s="18">
        <f>_xlfn.XLOOKUP(E2,GIW!A2:A49,GIW!F2:F49)</f>
        <v>0</v>
      </c>
    </row>
    <row r="10" spans="1:9" x14ac:dyDescent="0.35">
      <c r="A10" t="s">
        <v>8</v>
      </c>
      <c r="E10" s="18">
        <f>_xlfn.XLOOKUP(E2,GIW!A2:A49,GIW!G2:G49)</f>
        <v>0</v>
      </c>
    </row>
    <row r="11" spans="1:9" x14ac:dyDescent="0.35">
      <c r="A11" t="s">
        <v>9</v>
      </c>
      <c r="E11" s="18">
        <f>_xlfn.XLOOKUP(E2,GIW!A2:A49,GIW!H2:H49)</f>
        <v>0</v>
      </c>
    </row>
    <row r="14" spans="1:9" x14ac:dyDescent="0.35">
      <c r="A14" s="4" t="s">
        <v>10</v>
      </c>
      <c r="B14" s="4"/>
      <c r="C14" s="4" t="s">
        <v>11</v>
      </c>
      <c r="E14" s="24" t="s">
        <v>12</v>
      </c>
      <c r="F14" s="24"/>
      <c r="G14" s="24" t="s">
        <v>13</v>
      </c>
      <c r="H14" s="24"/>
      <c r="I14" s="24" t="s">
        <v>14</v>
      </c>
    </row>
    <row r="15" spans="1:9" x14ac:dyDescent="0.35">
      <c r="B15" t="s">
        <v>15</v>
      </c>
      <c r="C15">
        <v>25</v>
      </c>
      <c r="E15" t="s">
        <v>16</v>
      </c>
      <c r="G15">
        <f>IF(E15="98+",25,IF(E15="96-97",20,IF(E15="&lt;96",10)))</f>
        <v>25</v>
      </c>
    </row>
    <row r="16" spans="1:9" x14ac:dyDescent="0.35">
      <c r="B16" t="s">
        <v>17</v>
      </c>
      <c r="C16">
        <v>10</v>
      </c>
      <c r="E16" s="23"/>
      <c r="F16" s="23"/>
      <c r="G16" s="23"/>
    </row>
    <row r="17" spans="1:8" ht="43.5" x14ac:dyDescent="0.35">
      <c r="B17" s="2" t="s">
        <v>18</v>
      </c>
      <c r="E17" t="s">
        <v>19</v>
      </c>
      <c r="G17">
        <f>IF(E17="&lt;12.5",0,IF(E17="12.6-18",1.5,IF(E17="&gt;18",2.5,)))</f>
        <v>2.5</v>
      </c>
    </row>
    <row r="18" spans="1:8" ht="43.5" x14ac:dyDescent="0.35">
      <c r="B18" s="2" t="s">
        <v>20</v>
      </c>
      <c r="E18" t="s">
        <v>21</v>
      </c>
      <c r="G18">
        <f>IF(E18="&gt;75",2.5,IF(E18="58.9-75",1.5,IF(E18="58.8",0,)))</f>
        <v>2.5</v>
      </c>
    </row>
    <row r="19" spans="1:8" ht="43.5" x14ac:dyDescent="0.35">
      <c r="B19" s="2" t="s">
        <v>22</v>
      </c>
      <c r="E19" t="s">
        <v>23</v>
      </c>
      <c r="G19">
        <f>IF(E19="&gt;30",2.5,IF(E19="10.7-30",1.5,IF(E19="&lt;10.6",)))</f>
        <v>2.5</v>
      </c>
    </row>
    <row r="20" spans="1:8" ht="43.5" x14ac:dyDescent="0.35">
      <c r="B20" s="3" t="s">
        <v>24</v>
      </c>
      <c r="E20" t="s">
        <v>21</v>
      </c>
      <c r="G20">
        <f>IF(E20="&gt;75",2.5,IF(E20="58.9-75",1.5,IF(E20="&lt;58.8",0,)))</f>
        <v>2.5</v>
      </c>
    </row>
    <row r="21" spans="1:8" x14ac:dyDescent="0.35">
      <c r="B21" t="s">
        <v>25</v>
      </c>
      <c r="C21">
        <v>20</v>
      </c>
      <c r="E21" t="s">
        <v>26</v>
      </c>
      <c r="G21">
        <f>IF(E21="&lt;5.2",20,IF(E21="5.2-7",15,IF(E21="&gt;7",0,)))</f>
        <v>20</v>
      </c>
    </row>
    <row r="22" spans="1:8" x14ac:dyDescent="0.35">
      <c r="B22" s="3" t="s">
        <v>27</v>
      </c>
      <c r="C22">
        <v>15</v>
      </c>
      <c r="E22" s="23"/>
      <c r="F22" s="23"/>
      <c r="G22" s="23"/>
    </row>
    <row r="23" spans="1:8" x14ac:dyDescent="0.35">
      <c r="B23" t="s">
        <v>28</v>
      </c>
      <c r="E23" t="s">
        <v>29</v>
      </c>
      <c r="G23">
        <f>IF(E23="&gt;88",7.5,IF(E23="86.4-88",5,IF(E23="&lt;86.4",2,)))</f>
        <v>7.5</v>
      </c>
    </row>
    <row r="24" spans="1:8" x14ac:dyDescent="0.35">
      <c r="B24" t="s">
        <v>30</v>
      </c>
      <c r="E24" t="s">
        <v>31</v>
      </c>
      <c r="G24">
        <f>IF(E24="&gt;91",7.5,IF(E24="89.4-91",5,IF(E24="&lt;89.4",2,)))</f>
        <v>7.5</v>
      </c>
    </row>
    <row r="25" spans="1:8" x14ac:dyDescent="0.35">
      <c r="A25" s="4" t="s">
        <v>32</v>
      </c>
      <c r="B25" s="4"/>
    </row>
    <row r="26" spans="1:8" x14ac:dyDescent="0.35">
      <c r="B26" s="1" t="s">
        <v>33</v>
      </c>
      <c r="C26" s="1">
        <v>15</v>
      </c>
      <c r="D26" s="1"/>
      <c r="E26" s="1" t="s">
        <v>34</v>
      </c>
      <c r="F26" s="1"/>
      <c r="G26" s="1">
        <f>IF(E26="&gt;25",5,IF(E26="11-25",7.5,IF(E26="&lt;10%",15,)))</f>
        <v>15</v>
      </c>
      <c r="H26" s="1"/>
    </row>
    <row r="27" spans="1:8" x14ac:dyDescent="0.35">
      <c r="B27" s="1" t="s">
        <v>35</v>
      </c>
      <c r="C27" s="1"/>
      <c r="D27" s="1"/>
      <c r="E27" s="1" t="s">
        <v>36</v>
      </c>
      <c r="F27" s="21"/>
      <c r="G27" s="21"/>
      <c r="H27" s="1"/>
    </row>
    <row r="28" spans="1:8" x14ac:dyDescent="0.35">
      <c r="B28" s="1" t="s">
        <v>37</v>
      </c>
      <c r="C28" s="1"/>
      <c r="D28" s="1"/>
      <c r="E28" s="1" t="s">
        <v>36</v>
      </c>
      <c r="F28" s="21"/>
      <c r="G28" s="21"/>
      <c r="H28" s="1"/>
    </row>
    <row r="29" spans="1:8" s="1" customFormat="1" x14ac:dyDescent="0.35">
      <c r="B29" s="1" t="s">
        <v>38</v>
      </c>
      <c r="E29" s="1" t="str">
        <f>RIGHT(E3,2)</f>
        <v>03</v>
      </c>
      <c r="F29" s="1" t="b">
        <f>IF(E29="01",5)</f>
        <v>0</v>
      </c>
      <c r="G29" s="1">
        <f>IF(F29="FALSE",0,IF(F29="5",5,))</f>
        <v>0</v>
      </c>
    </row>
    <row r="30" spans="1:8" x14ac:dyDescent="0.35">
      <c r="B30" s="1" t="s">
        <v>39</v>
      </c>
      <c r="C30" s="1"/>
      <c r="D30" s="1"/>
      <c r="E30" s="17">
        <f>_xlfn.XLOOKUP(E2,GIW!A2:A49,GIW!I2:I49)</f>
        <v>0</v>
      </c>
      <c r="F30" s="21"/>
      <c r="G30" s="21"/>
      <c r="H30" s="1"/>
    </row>
    <row r="31" spans="1:8" x14ac:dyDescent="0.35">
      <c r="B31" s="1" t="s">
        <v>40</v>
      </c>
      <c r="C31" s="1"/>
      <c r="D31" s="1"/>
      <c r="E31" s="20">
        <f>E6-E30</f>
        <v>84556</v>
      </c>
      <c r="F31" s="21"/>
      <c r="G31" s="21"/>
      <c r="H31" s="1"/>
    </row>
    <row r="32" spans="1:8" x14ac:dyDescent="0.35">
      <c r="B32" s="1" t="s">
        <v>41</v>
      </c>
      <c r="C32" s="1"/>
      <c r="D32" s="1"/>
      <c r="E32" s="22">
        <f>E31/E6</f>
        <v>1</v>
      </c>
      <c r="F32" s="1"/>
      <c r="G32" s="1" t="s">
        <v>42</v>
      </c>
      <c r="H32" s="1"/>
    </row>
    <row r="33" spans="1:8" x14ac:dyDescent="0.35">
      <c r="B33" s="1" t="s">
        <v>43</v>
      </c>
      <c r="C33" s="1">
        <v>10</v>
      </c>
      <c r="D33" s="1"/>
      <c r="E33" s="1" t="s">
        <v>36</v>
      </c>
      <c r="F33" s="1"/>
      <c r="G33" s="1">
        <f>IF(E33="Yes",10,IF(E33="No",0,))</f>
        <v>10</v>
      </c>
      <c r="H33" s="1"/>
    </row>
    <row r="34" spans="1:8" x14ac:dyDescent="0.35">
      <c r="B34" s="1" t="s">
        <v>44</v>
      </c>
      <c r="C34" s="1">
        <v>10</v>
      </c>
      <c r="D34" s="1"/>
      <c r="E34" s="1" t="s">
        <v>36</v>
      </c>
      <c r="F34" s="1"/>
      <c r="G34" s="1">
        <f>IF(E34="Yes",10,IF(E34="No",0,))</f>
        <v>10</v>
      </c>
      <c r="H34" s="1"/>
    </row>
    <row r="35" spans="1:8" x14ac:dyDescent="0.35">
      <c r="B35" s="1" t="s">
        <v>45</v>
      </c>
      <c r="C35" s="1">
        <v>5</v>
      </c>
      <c r="D35" s="1"/>
      <c r="E35" s="1" t="s">
        <v>36</v>
      </c>
      <c r="F35" s="1"/>
      <c r="G35" s="1">
        <f>IF(E35="Yes",5,IF(E35="No",0,))</f>
        <v>5</v>
      </c>
      <c r="H35" s="1"/>
    </row>
    <row r="36" spans="1:8" x14ac:dyDescent="0.35">
      <c r="C36" s="1"/>
      <c r="D36" s="1"/>
      <c r="E36" s="1"/>
      <c r="F36" s="1"/>
      <c r="G36" s="1"/>
      <c r="H36" s="1"/>
    </row>
    <row r="37" spans="1:8" x14ac:dyDescent="0.35">
      <c r="A37" s="4" t="s">
        <v>46</v>
      </c>
      <c r="B37" s="5"/>
      <c r="C37" s="1"/>
      <c r="D37" s="1"/>
      <c r="E37" s="1"/>
      <c r="F37" s="1"/>
      <c r="G37" s="1"/>
      <c r="H37" s="1"/>
    </row>
    <row r="38" spans="1:8" ht="29" x14ac:dyDescent="0.35">
      <c r="B38" s="1" t="s">
        <v>177</v>
      </c>
      <c r="C38">
        <v>10</v>
      </c>
      <c r="E38" s="1" t="s">
        <v>36</v>
      </c>
      <c r="G38">
        <f>IF(E38="Yes",10,IF(E38="No",0,))</f>
        <v>10</v>
      </c>
      <c r="H38" s="1"/>
    </row>
    <row r="39" spans="1:8" x14ac:dyDescent="0.35">
      <c r="B39" s="1" t="s">
        <v>178</v>
      </c>
      <c r="C39" s="1">
        <v>5</v>
      </c>
      <c r="E39" s="1" t="s">
        <v>36</v>
      </c>
      <c r="G39">
        <f>IF(E39="Yes",5,IF(E39="No",0,))</f>
        <v>5</v>
      </c>
      <c r="H39" s="1"/>
    </row>
    <row r="40" spans="1:8" x14ac:dyDescent="0.35">
      <c r="B40" s="1"/>
      <c r="E40" s="1"/>
      <c r="H40" s="1"/>
    </row>
    <row r="41" spans="1:8" x14ac:dyDescent="0.35">
      <c r="A41" s="26" t="s">
        <v>175</v>
      </c>
      <c r="B41" s="26"/>
      <c r="E41" s="1"/>
      <c r="H41" s="1"/>
    </row>
    <row r="42" spans="1:8" ht="43.5" x14ac:dyDescent="0.35">
      <c r="B42" s="1" t="s">
        <v>176</v>
      </c>
      <c r="C42">
        <v>5</v>
      </c>
      <c r="E42" s="1" t="s">
        <v>36</v>
      </c>
      <c r="G42">
        <f>IF(E42="Yes",5,IF(E42="No",0,))</f>
        <v>5</v>
      </c>
      <c r="H42" s="1"/>
    </row>
    <row r="43" spans="1:8" x14ac:dyDescent="0.35">
      <c r="C43" s="1"/>
      <c r="D43" s="1"/>
      <c r="E43" s="1"/>
      <c r="F43" s="1"/>
      <c r="G43" s="1"/>
      <c r="H43" s="1"/>
    </row>
    <row r="44" spans="1:8" x14ac:dyDescent="0.35">
      <c r="A44" s="4" t="s">
        <v>47</v>
      </c>
      <c r="B44" s="5"/>
      <c r="C44" s="1"/>
      <c r="D44" s="1"/>
      <c r="E44" s="1"/>
      <c r="F44" s="1"/>
      <c r="G44" s="1"/>
      <c r="H44" s="1"/>
    </row>
    <row r="45" spans="1:8" x14ac:dyDescent="0.35">
      <c r="B45" s="1" t="s">
        <v>48</v>
      </c>
      <c r="C45" s="1">
        <v>10</v>
      </c>
      <c r="D45" s="1"/>
      <c r="E45" t="s">
        <v>49</v>
      </c>
      <c r="F45" s="1"/>
      <c r="G45" s="1">
        <f>IF(E45="&gt;45",10,IF(E45="26-45",5,IF(E45="&lt;26",2,)))</f>
        <v>10</v>
      </c>
      <c r="H45" s="1"/>
    </row>
    <row r="46" spans="1:8" x14ac:dyDescent="0.35">
      <c r="B46" s="1" t="s">
        <v>50</v>
      </c>
      <c r="C46" s="1">
        <v>15</v>
      </c>
      <c r="D46" s="1"/>
      <c r="E46" s="1" t="s">
        <v>51</v>
      </c>
      <c r="F46" s="1"/>
      <c r="G46" s="1">
        <f>IF(E46="&gt;90",15,IF(E46="67-90",10,IF(E46="&lt;67",5)))</f>
        <v>15</v>
      </c>
      <c r="H46" s="1"/>
    </row>
    <row r="47" spans="1:8" ht="29" x14ac:dyDescent="0.35">
      <c r="B47" s="1" t="s">
        <v>52</v>
      </c>
      <c r="C47" s="1">
        <v>20</v>
      </c>
      <c r="D47" s="1"/>
      <c r="E47" s="1" t="s">
        <v>53</v>
      </c>
      <c r="F47" s="1"/>
      <c r="G47" s="1">
        <f>IF(E47="&gt;35",20,IF(E47="21-35",10,IF(E47="&lt;21",5,)))</f>
        <v>20</v>
      </c>
      <c r="H47" s="1"/>
    </row>
    <row r="48" spans="1:8" ht="29" x14ac:dyDescent="0.35">
      <c r="B48" s="1" t="s">
        <v>54</v>
      </c>
      <c r="C48" s="1">
        <v>20</v>
      </c>
      <c r="D48" s="1"/>
      <c r="E48" s="1" t="s">
        <v>36</v>
      </c>
      <c r="F48" s="1"/>
      <c r="G48" s="1">
        <f>IF(E48="Yes",20,IF(E48="No",0,IF(E48="No new entries",20)))</f>
        <v>20</v>
      </c>
      <c r="H48" s="1"/>
    </row>
    <row r="49" spans="1:8" x14ac:dyDescent="0.35">
      <c r="C49" s="1"/>
      <c r="D49" s="1"/>
      <c r="E49" s="1"/>
      <c r="F49" s="1"/>
      <c r="G49" s="1"/>
      <c r="H49" s="1"/>
    </row>
    <row r="50" spans="1:8" x14ac:dyDescent="0.35">
      <c r="A50" s="4" t="s">
        <v>55</v>
      </c>
      <c r="B50" s="5"/>
      <c r="C50" s="1"/>
      <c r="D50" s="1"/>
      <c r="E50" s="1"/>
      <c r="F50" s="1"/>
      <c r="G50" s="1"/>
      <c r="H50" s="1"/>
    </row>
    <row r="51" spans="1:8" x14ac:dyDescent="0.35">
      <c r="B51" t="s">
        <v>56</v>
      </c>
      <c r="C51">
        <v>5</v>
      </c>
      <c r="E51" s="1" t="s">
        <v>57</v>
      </c>
      <c r="G51">
        <f>IF(E51="Yes",0,IF(E51="No",5,))</f>
        <v>5</v>
      </c>
    </row>
    <row r="52" spans="1:8" x14ac:dyDescent="0.35">
      <c r="B52" t="s">
        <v>58</v>
      </c>
      <c r="C52">
        <v>5</v>
      </c>
      <c r="E52" s="25" t="s">
        <v>170</v>
      </c>
      <c r="G52" s="1">
        <f>IF(E52="&gt;2",0,IF(E52="1-2",2.5,IF(E52="&lt;1",5,)))</f>
        <v>5</v>
      </c>
    </row>
    <row r="54" spans="1:8" x14ac:dyDescent="0.35">
      <c r="A54" s="19" t="s">
        <v>59</v>
      </c>
      <c r="B54" s="19"/>
    </row>
    <row r="55" spans="1:8" x14ac:dyDescent="0.35">
      <c r="B55" t="s">
        <v>60</v>
      </c>
      <c r="E55" s="1" t="s">
        <v>36</v>
      </c>
      <c r="G55">
        <f>IF(E55="Yes", 5,IF(E55="No",0,))</f>
        <v>5</v>
      </c>
    </row>
  </sheetData>
  <mergeCells count="1">
    <mergeCell ref="A41:B41"/>
  </mergeCells>
  <conditionalFormatting sqref="E9">
    <cfRule type="expression" dxfId="9" priority="3">
      <formula>$E$9="No"</formula>
    </cfRule>
    <cfRule type="expression" dxfId="8" priority="4">
      <formula>$E$10="No"</formula>
    </cfRule>
    <cfRule type="expression" dxfId="7" priority="5">
      <formula>$E$11="No"</formula>
    </cfRule>
  </conditionalFormatting>
  <conditionalFormatting sqref="E10">
    <cfRule type="expression" dxfId="6" priority="2">
      <formula>$E$10="No"</formula>
    </cfRule>
  </conditionalFormatting>
  <conditionalFormatting sqref="E11">
    <cfRule type="expression" dxfId="5" priority="1">
      <formula>$E$11="no"</formula>
    </cfRule>
  </conditionalFormatting>
  <dataValidations count="19">
    <dataValidation type="list" allowBlank="1" showInputMessage="1" showErrorMessage="1" sqref="E4" xr:uid="{206C7FA5-886A-4986-B081-EBEF3A1CC5E5}">
      <formula1>"PH-PSH,PH-RRH,TH,TH-RRH,SSO"</formula1>
    </dataValidation>
    <dataValidation type="list" allowBlank="1" showInputMessage="1" showErrorMessage="1" sqref="E33:E35 E27:E28 E5 E38:E42" xr:uid="{CD183EF5-8FA7-4117-B019-C1A19A9D48BF}">
      <formula1>"Yes,No"</formula1>
    </dataValidation>
    <dataValidation type="list" allowBlank="1" showInputMessage="1" showErrorMessage="1" sqref="H15" xr:uid="{60E6CBFC-5A8E-48FA-B746-ABE5CC3F89B6}">
      <formula1>"3,4,5"</formula1>
    </dataValidation>
    <dataValidation type="list" allowBlank="1" showInputMessage="1" showErrorMessage="1" sqref="E15" xr:uid="{3E421A75-8C13-4A8C-A637-F2203F10F5F5}">
      <formula1>"98+,96-97,&lt;96"</formula1>
    </dataValidation>
    <dataValidation type="list" allowBlank="1" showInputMessage="1" showErrorMessage="1" sqref="E17" xr:uid="{59115451-44C2-4014-80E7-FA21F2005852}">
      <formula1>"&lt;12.5,12.6-18,&gt;18"</formula1>
    </dataValidation>
    <dataValidation type="list" allowBlank="1" showInputMessage="1" showErrorMessage="1" sqref="E18" xr:uid="{E66487D2-7991-416C-A571-F6E335982B68}">
      <formula1>"&lt;58.8,58.9-75,&gt;75"</formula1>
    </dataValidation>
    <dataValidation type="list" allowBlank="1" showInputMessage="1" showErrorMessage="1" sqref="E19" xr:uid="{9A40BF6A-AC2A-4FC5-853D-6B64A5651FA2}">
      <formula1>"&lt;10.6,10.7-30,&gt;30"</formula1>
    </dataValidation>
    <dataValidation type="list" allowBlank="1" showInputMessage="1" showErrorMessage="1" sqref="E20" xr:uid="{B72FD5F6-13D3-4BFD-B37B-30EF0597D7AD}">
      <formula1>"&lt;46.6,46.7-75,&gt;75"</formula1>
    </dataValidation>
    <dataValidation type="list" allowBlank="1" showInputMessage="1" showErrorMessage="1" sqref="E26" xr:uid="{22F5B549-C51F-4F5F-8B33-E652CC09BE8C}">
      <formula1>"&lt;10%,11-25,&gt;25"</formula1>
    </dataValidation>
    <dataValidation type="list" allowBlank="1" showInputMessage="1" showErrorMessage="1" sqref="E47" xr:uid="{B3BE0E24-B9BB-494C-AD04-8FFDEC570686}">
      <formula1>"&lt;21,21-35,&gt;35"</formula1>
    </dataValidation>
    <dataValidation type="list" allowBlank="1" showInputMessage="1" showErrorMessage="1" sqref="E46" xr:uid="{4DDBDE2B-41ED-468B-9719-140DFA1F6941}">
      <formula1>"&lt;67,67-90,&gt;90"</formula1>
    </dataValidation>
    <dataValidation type="list" allowBlank="1" showInputMessage="1" showErrorMessage="1" sqref="E45" xr:uid="{B13BA95B-7A7E-451A-9CFF-ADEF34557975}">
      <formula1>"&lt;26,26-45,&gt;45"</formula1>
    </dataValidation>
    <dataValidation type="list" allowBlank="1" showInputMessage="1" showErrorMessage="1" sqref="E38:E42 E55 E51 E48" xr:uid="{D2156890-2030-4E2C-AA48-2C68D16576E1}">
      <formula1>"Yes,No,No new entries"</formula1>
    </dataValidation>
    <dataValidation type="list" allowBlank="1" showInputMessage="1" showErrorMessage="1" sqref="E21" xr:uid="{469076EA-39EB-4ACF-B1D0-CF3194548C35}">
      <formula1>"&lt;5.2,5.2-7,&gt;7"</formula1>
    </dataValidation>
    <dataValidation type="list" allowBlank="1" showInputMessage="1" showErrorMessage="1" sqref="E23" xr:uid="{B1C00A1E-37D9-46F2-A794-52BB30817A5F}">
      <formula1>"&lt;86.4,86.4-88,&gt;88"</formula1>
    </dataValidation>
    <dataValidation type="list" allowBlank="1" showInputMessage="1" showErrorMessage="1" sqref="E24" xr:uid="{718BB618-C4D5-4F2B-B516-4A74E91A3353}">
      <formula1>"&lt;89.4,89.4-91,&gt;91"</formula1>
    </dataValidation>
    <dataValidation allowBlank="1" showInputMessage="1" showErrorMessage="1" sqref="E29" xr:uid="{2E4D9559-CC56-4F31-998E-BC8BBB78575D}"/>
    <dataValidation type="list" allowBlank="1" showInputMessage="1" showErrorMessage="1" sqref="F32" xr:uid="{FBF0497C-D41B-43A4-A317-6BB256ACED41}">
      <formula1>"Less than 5%,5-15%,More than 15%"</formula1>
    </dataValidation>
    <dataValidation type="list" allowBlank="1" showInputMessage="1" showErrorMessage="1" sqref="E52" xr:uid="{ED7690FE-51C5-40F5-A3B3-5187B77B0675}">
      <formula1>"&gt;2,1-2,&lt;1"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6ECFDE-E82D-450B-94F8-79E91C9EF5C2}">
          <x14:formula1>
            <xm:f>GIW!$A$2:$A$49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E89AB-BE9A-4F49-87A7-1B04DEB43551}">
  <dimension ref="A2:I56"/>
  <sheetViews>
    <sheetView topLeftCell="A29" workbookViewId="0">
      <selection activeCell="E48" sqref="E48:G48"/>
    </sheetView>
  </sheetViews>
  <sheetFormatPr defaultRowHeight="14.5" x14ac:dyDescent="0.35"/>
  <cols>
    <col min="2" max="2" width="55" customWidth="1"/>
    <col min="3" max="3" width="11" customWidth="1"/>
    <col min="4" max="4" width="1.7265625" customWidth="1"/>
    <col min="5" max="5" width="40.453125" customWidth="1"/>
    <col min="9" max="9" width="36.1796875" customWidth="1"/>
  </cols>
  <sheetData>
    <row r="2" spans="1:9" x14ac:dyDescent="0.35">
      <c r="A2" t="s">
        <v>0</v>
      </c>
      <c r="E2" s="15" t="s">
        <v>95</v>
      </c>
    </row>
    <row r="3" spans="1:9" x14ac:dyDescent="0.35">
      <c r="A3" t="s">
        <v>2</v>
      </c>
      <c r="E3" s="16" t="str">
        <f>_xlfn.XLOOKUP(E2,GIW!A2:A49,GIW!B2:B49)</f>
        <v>MA0744Y1T161900</v>
      </c>
    </row>
    <row r="4" spans="1:9" x14ac:dyDescent="0.35">
      <c r="A4" t="s">
        <v>3</v>
      </c>
      <c r="E4" s="16" t="s">
        <v>167</v>
      </c>
    </row>
    <row r="5" spans="1:9" x14ac:dyDescent="0.35">
      <c r="A5" t="s">
        <v>4</v>
      </c>
      <c r="E5" s="16" t="str">
        <f>_xlfn.XLOOKUP(E2,GIW!A2:A49,GIW!E2:E49)</f>
        <v>No</v>
      </c>
    </row>
    <row r="6" spans="1:9" x14ac:dyDescent="0.35">
      <c r="A6" t="s">
        <v>5</v>
      </c>
      <c r="E6" s="17">
        <f>_xlfn.XLOOKUP(E2,GIW!A2:A49,GIW!C2:C49)</f>
        <v>753158</v>
      </c>
    </row>
    <row r="8" spans="1:9" x14ac:dyDescent="0.35">
      <c r="A8" s="4" t="s">
        <v>6</v>
      </c>
      <c r="B8" s="4"/>
    </row>
    <row r="9" spans="1:9" x14ac:dyDescent="0.35">
      <c r="A9" t="s">
        <v>7</v>
      </c>
      <c r="E9" s="18">
        <f>_xlfn.XLOOKUP(E2,GIW!A2:A49,GIW!F2:F49)</f>
        <v>0</v>
      </c>
    </row>
    <row r="10" spans="1:9" x14ac:dyDescent="0.35">
      <c r="A10" t="s">
        <v>8</v>
      </c>
      <c r="E10" s="18">
        <f>_xlfn.XLOOKUP(E2,GIW!A2:A49,GIW!G2:G49)</f>
        <v>0</v>
      </c>
    </row>
    <row r="11" spans="1:9" x14ac:dyDescent="0.35">
      <c r="A11" t="s">
        <v>9</v>
      </c>
      <c r="E11" s="18">
        <f>_xlfn.XLOOKUP(E2,GIW!A2:A49,GIW!H2:H49)</f>
        <v>0</v>
      </c>
    </row>
    <row r="14" spans="1:9" x14ac:dyDescent="0.35">
      <c r="A14" s="4" t="s">
        <v>10</v>
      </c>
      <c r="B14" s="4"/>
      <c r="C14" s="4" t="s">
        <v>11</v>
      </c>
      <c r="E14" s="24" t="s">
        <v>12</v>
      </c>
      <c r="F14" s="24"/>
      <c r="G14" s="24" t="s">
        <v>13</v>
      </c>
      <c r="H14" s="24"/>
      <c r="I14" s="24" t="s">
        <v>14</v>
      </c>
    </row>
    <row r="15" spans="1:9" x14ac:dyDescent="0.35">
      <c r="B15" t="s">
        <v>15</v>
      </c>
      <c r="C15">
        <v>25</v>
      </c>
      <c r="E15" t="s">
        <v>168</v>
      </c>
      <c r="G15">
        <f>IF(E15="&gt;85",25,IF(E15="78.14*85",20,IF(E15="&lt;78.14",10)))</f>
        <v>25</v>
      </c>
    </row>
    <row r="16" spans="1:9" x14ac:dyDescent="0.35">
      <c r="B16" t="s">
        <v>17</v>
      </c>
      <c r="C16">
        <v>10</v>
      </c>
      <c r="E16" s="23"/>
      <c r="F16" s="23"/>
      <c r="G16" s="23"/>
    </row>
    <row r="17" spans="1:8" ht="43.5" x14ac:dyDescent="0.35">
      <c r="B17" s="2" t="s">
        <v>18</v>
      </c>
      <c r="E17" t="s">
        <v>169</v>
      </c>
      <c r="G17">
        <f>IF(E17="&lt;15.39",0,IF(E17="15.39-25",1.5,IF(E17="&gt;25",2.5,)))</f>
        <v>2.5</v>
      </c>
    </row>
    <row r="18" spans="1:8" ht="43.5" x14ac:dyDescent="0.35">
      <c r="B18" s="2" t="s">
        <v>20</v>
      </c>
      <c r="E18" t="s">
        <v>171</v>
      </c>
      <c r="G18">
        <f>IF(E18="&lt;7.70",0,IF(E18="7.70-15",1.5,IF(E18="&gt;15",2.5,)))</f>
        <v>2.5</v>
      </c>
    </row>
    <row r="19" spans="1:8" ht="43.5" x14ac:dyDescent="0.35">
      <c r="B19" s="2" t="s">
        <v>22</v>
      </c>
      <c r="E19" t="s">
        <v>23</v>
      </c>
      <c r="G19">
        <f>IF(E19="&gt;30",2.5,IF(E19="15.06-30",1.5,IF(E19="&lt;15.06",0)))</f>
        <v>2.5</v>
      </c>
    </row>
    <row r="20" spans="1:8" ht="43.5" x14ac:dyDescent="0.35">
      <c r="B20" s="3" t="s">
        <v>24</v>
      </c>
      <c r="E20" t="s">
        <v>172</v>
      </c>
      <c r="G20">
        <f>IF(E20="&gt;20",2.5,IF(E20="9.69-20",1.5,IF(E20="&lt;9.69",0,)))</f>
        <v>2.5</v>
      </c>
    </row>
    <row r="21" spans="1:8" x14ac:dyDescent="0.35">
      <c r="B21" t="s">
        <v>25</v>
      </c>
      <c r="C21">
        <v>20</v>
      </c>
      <c r="E21" t="s">
        <v>26</v>
      </c>
      <c r="G21">
        <f>IF(E21="&lt;5.2",20,IF(E21="5.2-7",15,IF(E21="&gt;7",0,)))</f>
        <v>20</v>
      </c>
    </row>
    <row r="22" spans="1:8" x14ac:dyDescent="0.35">
      <c r="B22" s="3" t="s">
        <v>27</v>
      </c>
      <c r="C22">
        <v>15</v>
      </c>
      <c r="E22" s="23"/>
      <c r="F22" s="23"/>
      <c r="G22" s="23"/>
    </row>
    <row r="23" spans="1:8" x14ac:dyDescent="0.35">
      <c r="B23" t="s">
        <v>28</v>
      </c>
      <c r="E23" t="s">
        <v>29</v>
      </c>
      <c r="G23">
        <f>IF(E23="&gt;88",7.5,IF(E23="86.4-88",5,IF(E23="&lt;86.4",2,)))</f>
        <v>7.5</v>
      </c>
    </row>
    <row r="24" spans="1:8" x14ac:dyDescent="0.35">
      <c r="B24" t="s">
        <v>30</v>
      </c>
      <c r="E24" t="s">
        <v>31</v>
      </c>
      <c r="G24">
        <f>IF(E24="&gt;91",7.5,IF(E24="89.4-91",5,IF(E24="&lt;89.4",2,)))</f>
        <v>7.5</v>
      </c>
    </row>
    <row r="25" spans="1:8" x14ac:dyDescent="0.35">
      <c r="A25" s="4" t="s">
        <v>32</v>
      </c>
      <c r="B25" s="4"/>
    </row>
    <row r="26" spans="1:8" x14ac:dyDescent="0.35">
      <c r="B26" s="1" t="s">
        <v>33</v>
      </c>
      <c r="C26" s="1">
        <v>15</v>
      </c>
      <c r="D26" s="1"/>
      <c r="E26" s="1" t="s">
        <v>34</v>
      </c>
      <c r="F26" s="1"/>
      <c r="G26" s="1">
        <f>IF(E26="&gt;25",5,IF(E26="11-25",7.5,IF(E26="&lt;10%",15,)))</f>
        <v>15</v>
      </c>
      <c r="H26" s="1"/>
    </row>
    <row r="27" spans="1:8" x14ac:dyDescent="0.35">
      <c r="B27" s="1" t="s">
        <v>35</v>
      </c>
      <c r="C27" s="1"/>
      <c r="D27" s="1"/>
      <c r="E27" s="1" t="s">
        <v>36</v>
      </c>
      <c r="F27" s="21"/>
      <c r="G27" s="21"/>
      <c r="H27" s="1"/>
    </row>
    <row r="28" spans="1:8" x14ac:dyDescent="0.35">
      <c r="B28" s="1" t="s">
        <v>37</v>
      </c>
      <c r="C28" s="1"/>
      <c r="D28" s="1"/>
      <c r="E28" s="1" t="s">
        <v>36</v>
      </c>
      <c r="F28" s="21"/>
      <c r="G28" s="21"/>
      <c r="H28" s="1"/>
    </row>
    <row r="29" spans="1:8" s="1" customFormat="1" x14ac:dyDescent="0.35">
      <c r="B29" s="1" t="s">
        <v>38</v>
      </c>
      <c r="E29" s="1" t="str">
        <f>RIGHT(E3,2)</f>
        <v>00</v>
      </c>
      <c r="F29" s="1" t="b">
        <f>IF(E29="01",5)</f>
        <v>0</v>
      </c>
      <c r="G29" s="1">
        <f>IF(F29="FALSE",0,IF(F29="5",5,))</f>
        <v>0</v>
      </c>
    </row>
    <row r="30" spans="1:8" x14ac:dyDescent="0.35">
      <c r="B30" s="1" t="s">
        <v>39</v>
      </c>
      <c r="C30" s="1"/>
      <c r="D30" s="1"/>
      <c r="E30" s="17">
        <f>_xlfn.XLOOKUP(E2,GIW!A2:A49,GIW!I2:I49)</f>
        <v>0</v>
      </c>
      <c r="F30" s="21"/>
      <c r="G30" s="21"/>
      <c r="H30" s="1"/>
    </row>
    <row r="31" spans="1:8" x14ac:dyDescent="0.35">
      <c r="B31" s="1" t="s">
        <v>40</v>
      </c>
      <c r="C31" s="1"/>
      <c r="D31" s="1"/>
      <c r="E31" s="20">
        <f>E6-E30</f>
        <v>753158</v>
      </c>
      <c r="F31" s="21"/>
      <c r="G31" s="21"/>
      <c r="H31" s="1"/>
    </row>
    <row r="32" spans="1:8" x14ac:dyDescent="0.35">
      <c r="B32" s="1" t="s">
        <v>41</v>
      </c>
      <c r="C32" s="1"/>
      <c r="D32" s="1"/>
      <c r="E32" s="22">
        <f>E31/E6</f>
        <v>1</v>
      </c>
      <c r="F32" s="1"/>
      <c r="G32" s="1" t="s">
        <v>42</v>
      </c>
      <c r="H32" s="1"/>
    </row>
    <row r="33" spans="1:8" x14ac:dyDescent="0.35">
      <c r="B33" s="1" t="s">
        <v>43</v>
      </c>
      <c r="C33" s="1">
        <v>10</v>
      </c>
      <c r="D33" s="1"/>
      <c r="E33" s="1" t="s">
        <v>36</v>
      </c>
      <c r="F33" s="1"/>
      <c r="G33" s="1">
        <f>IF(E33="Yes",10,IF(E33="No",0,))</f>
        <v>10</v>
      </c>
      <c r="H33" s="1"/>
    </row>
    <row r="34" spans="1:8" x14ac:dyDescent="0.35">
      <c r="B34" s="1" t="s">
        <v>44</v>
      </c>
      <c r="C34" s="1">
        <v>10</v>
      </c>
      <c r="D34" s="1"/>
      <c r="E34" s="1" t="s">
        <v>36</v>
      </c>
      <c r="F34" s="1"/>
      <c r="G34" s="1">
        <f>IF(E34="Yes",10,IF(E34="No",0,))</f>
        <v>10</v>
      </c>
      <c r="H34" s="1"/>
    </row>
    <row r="35" spans="1:8" x14ac:dyDescent="0.35">
      <c r="B35" s="1" t="s">
        <v>45</v>
      </c>
      <c r="C35" s="1">
        <v>5</v>
      </c>
      <c r="D35" s="1"/>
      <c r="E35" s="1" t="s">
        <v>36</v>
      </c>
      <c r="F35" s="1"/>
      <c r="G35" s="1">
        <f>IF(E35="Yes",5,IF(E35="No",0,))</f>
        <v>5</v>
      </c>
      <c r="H35" s="1"/>
    </row>
    <row r="36" spans="1:8" x14ac:dyDescent="0.35">
      <c r="C36" s="1"/>
      <c r="D36" s="1"/>
      <c r="E36" s="1"/>
      <c r="F36" s="1"/>
      <c r="G36" s="1"/>
      <c r="H36" s="1"/>
    </row>
    <row r="37" spans="1:8" x14ac:dyDescent="0.35">
      <c r="A37" s="4" t="s">
        <v>46</v>
      </c>
      <c r="B37" s="5"/>
      <c r="C37" s="1"/>
      <c r="D37" s="1"/>
      <c r="E37" s="1"/>
      <c r="F37" s="1"/>
      <c r="G37" s="1"/>
      <c r="H37" s="1"/>
    </row>
    <row r="38" spans="1:8" ht="29" x14ac:dyDescent="0.35">
      <c r="B38" s="1" t="s">
        <v>177</v>
      </c>
      <c r="C38">
        <v>10</v>
      </c>
      <c r="E38" s="1" t="s">
        <v>36</v>
      </c>
      <c r="G38">
        <f>IF(E38="Yes",10,IF(E38="No",0,))</f>
        <v>10</v>
      </c>
      <c r="H38" s="1"/>
    </row>
    <row r="39" spans="1:8" x14ac:dyDescent="0.35">
      <c r="B39" s="1" t="s">
        <v>178</v>
      </c>
      <c r="C39" s="1">
        <v>5</v>
      </c>
      <c r="E39" s="1" t="s">
        <v>36</v>
      </c>
      <c r="G39">
        <f>IF(E39="Yes",5,IF(E39="No",0,))</f>
        <v>5</v>
      </c>
      <c r="H39" s="1"/>
    </row>
    <row r="40" spans="1:8" x14ac:dyDescent="0.35">
      <c r="B40" s="1"/>
      <c r="E40" s="1"/>
      <c r="H40" s="1"/>
    </row>
    <row r="41" spans="1:8" x14ac:dyDescent="0.35">
      <c r="A41" s="26" t="s">
        <v>175</v>
      </c>
      <c r="B41" s="26"/>
      <c r="E41" s="1"/>
      <c r="H41" s="1"/>
    </row>
    <row r="42" spans="1:8" ht="43.5" x14ac:dyDescent="0.35">
      <c r="B42" s="1" t="s">
        <v>176</v>
      </c>
      <c r="C42">
        <v>5</v>
      </c>
      <c r="E42" s="1" t="s">
        <v>36</v>
      </c>
      <c r="G42">
        <f>IF(E42="Yes",5,IF(E42="No",0,))</f>
        <v>5</v>
      </c>
      <c r="H42" s="1"/>
    </row>
    <row r="43" spans="1:8" x14ac:dyDescent="0.35">
      <c r="C43" s="1"/>
      <c r="D43" s="1"/>
      <c r="E43" s="1"/>
      <c r="F43" s="1"/>
      <c r="G43" s="1"/>
      <c r="H43" s="1"/>
    </row>
    <row r="44" spans="1:8" x14ac:dyDescent="0.35">
      <c r="A44" s="4" t="s">
        <v>47</v>
      </c>
      <c r="B44" s="5"/>
      <c r="C44" s="1"/>
      <c r="D44" s="1"/>
      <c r="E44" s="1"/>
      <c r="F44" s="1"/>
      <c r="G44" s="1"/>
      <c r="H44" s="1"/>
    </row>
    <row r="45" spans="1:8" x14ac:dyDescent="0.35">
      <c r="B45" s="1" t="s">
        <v>48</v>
      </c>
      <c r="C45" s="1">
        <v>10</v>
      </c>
      <c r="D45" s="1"/>
      <c r="E45" t="s">
        <v>49</v>
      </c>
      <c r="F45" s="1"/>
      <c r="G45" s="1">
        <f>IF(E45="&gt;45",10,IF(E45="26-45",5,IF(E45="&lt;26",2,)))</f>
        <v>10</v>
      </c>
      <c r="H45" s="1"/>
    </row>
    <row r="46" spans="1:8" x14ac:dyDescent="0.35">
      <c r="B46" s="1" t="s">
        <v>50</v>
      </c>
      <c r="C46" s="1">
        <v>15</v>
      </c>
      <c r="D46" s="1"/>
      <c r="E46" s="1" t="s">
        <v>51</v>
      </c>
      <c r="F46" s="1"/>
      <c r="G46" s="1">
        <f>IF(E46="&gt;90",15,IF(E46="67-90",10,IF(E46="&lt;67",5)))</f>
        <v>15</v>
      </c>
      <c r="H46" s="1"/>
    </row>
    <row r="47" spans="1:8" ht="29" x14ac:dyDescent="0.35">
      <c r="B47" s="1" t="s">
        <v>52</v>
      </c>
      <c r="C47" s="1">
        <v>20</v>
      </c>
      <c r="D47" s="1"/>
      <c r="E47" s="1" t="s">
        <v>53</v>
      </c>
      <c r="F47" s="1"/>
      <c r="G47" s="1">
        <f>IF(E47="&gt;35",20,IF(E47="21-35",10,IF(E47="&lt;21",5,)))</f>
        <v>20</v>
      </c>
      <c r="H47" s="1"/>
    </row>
    <row r="48" spans="1:8" ht="29" x14ac:dyDescent="0.35">
      <c r="B48" s="1" t="s">
        <v>54</v>
      </c>
      <c r="C48" s="1">
        <v>20</v>
      </c>
      <c r="D48" s="1"/>
      <c r="E48" s="1" t="s">
        <v>36</v>
      </c>
      <c r="F48" s="1"/>
      <c r="G48" s="1">
        <f>IF(E48="Yes",20,IF(E48="No",0,IF(E48="No new entries",20)))</f>
        <v>20</v>
      </c>
      <c r="H48" s="1"/>
    </row>
    <row r="49" spans="1:8" x14ac:dyDescent="0.35">
      <c r="C49" s="1"/>
      <c r="D49" s="1"/>
      <c r="E49" s="1"/>
      <c r="F49" s="1"/>
      <c r="G49" s="1"/>
      <c r="H49" s="1"/>
    </row>
    <row r="50" spans="1:8" x14ac:dyDescent="0.35">
      <c r="A50" s="4" t="s">
        <v>55</v>
      </c>
      <c r="B50" s="5"/>
      <c r="C50" s="1"/>
      <c r="D50" s="1"/>
      <c r="E50" s="1"/>
      <c r="F50" s="1"/>
      <c r="G50" s="1"/>
      <c r="H50" s="1"/>
    </row>
    <row r="51" spans="1:8" x14ac:dyDescent="0.35">
      <c r="B51" t="s">
        <v>56</v>
      </c>
      <c r="C51">
        <v>5</v>
      </c>
      <c r="E51" s="1" t="s">
        <v>57</v>
      </c>
      <c r="G51">
        <f>IF(E51="Yes",0,IF(E51="No",5,))</f>
        <v>5</v>
      </c>
    </row>
    <row r="52" spans="1:8" x14ac:dyDescent="0.35">
      <c r="B52" t="s">
        <v>58</v>
      </c>
      <c r="C52">
        <v>5</v>
      </c>
      <c r="E52" s="25" t="s">
        <v>170</v>
      </c>
      <c r="G52" s="1">
        <f>IF(E52="&gt;2",0,IF(E52="1-2",2.5,IF(E52="&lt;1",5,)))</f>
        <v>5</v>
      </c>
    </row>
    <row r="55" spans="1:8" x14ac:dyDescent="0.35">
      <c r="A55" s="19" t="s">
        <v>59</v>
      </c>
      <c r="B55" s="19"/>
    </row>
    <row r="56" spans="1:8" x14ac:dyDescent="0.35">
      <c r="B56" t="s">
        <v>60</v>
      </c>
      <c r="E56" s="1" t="s">
        <v>36</v>
      </c>
      <c r="G56">
        <f>IF(E56="Yes", 5,IF(E56="No",0,))</f>
        <v>5</v>
      </c>
    </row>
  </sheetData>
  <mergeCells count="1">
    <mergeCell ref="A41:B41"/>
  </mergeCells>
  <conditionalFormatting sqref="E9">
    <cfRule type="expression" dxfId="4" priority="3">
      <formula>$E$9="No"</formula>
    </cfRule>
    <cfRule type="expression" dxfId="3" priority="4">
      <formula>$E$10="No"</formula>
    </cfRule>
    <cfRule type="expression" dxfId="2" priority="5">
      <formula>$E$11="No"</formula>
    </cfRule>
  </conditionalFormatting>
  <conditionalFormatting sqref="E10">
    <cfRule type="expression" dxfId="1" priority="2">
      <formula>$E$10="No"</formula>
    </cfRule>
  </conditionalFormatting>
  <conditionalFormatting sqref="E11">
    <cfRule type="expression" dxfId="0" priority="1">
      <formula>$E$11="no"</formula>
    </cfRule>
  </conditionalFormatting>
  <dataValidations count="19">
    <dataValidation type="list" allowBlank="1" showInputMessage="1" showErrorMessage="1" sqref="E52" xr:uid="{C5D05D41-5F1C-4D01-820B-B02966BC4EAD}">
      <formula1>"&gt;2,1-2,&lt;1"</formula1>
    </dataValidation>
    <dataValidation type="list" allowBlank="1" showInputMessage="1" showErrorMessage="1" sqref="F32" xr:uid="{10E174BE-60E8-4153-90BD-7F4F21D80287}">
      <formula1>"Less than 5%,5-15%,More than 15%"</formula1>
    </dataValidation>
    <dataValidation allowBlank="1" showInputMessage="1" showErrorMessage="1" sqref="E29" xr:uid="{57367244-1AB2-4A17-B042-73FDDFD89B53}"/>
    <dataValidation type="list" allowBlank="1" showInputMessage="1" showErrorMessage="1" sqref="E24" xr:uid="{D8F84A83-F3BF-4017-8B18-0A5F7BEB7956}">
      <formula1>"&lt;89.4,89.4-91,&gt;91"</formula1>
    </dataValidation>
    <dataValidation type="list" allowBlank="1" showInputMessage="1" showErrorMessage="1" sqref="E23" xr:uid="{451D62BB-C769-40E6-9870-9E72BE24AD96}">
      <formula1>"&lt;86.4,86.4-88,&gt;88"</formula1>
    </dataValidation>
    <dataValidation type="list" allowBlank="1" showInputMessage="1" showErrorMessage="1" sqref="E21" xr:uid="{919A1B07-61C2-42AB-9E24-9B46A38D1D62}">
      <formula1>"&lt;5.2,5.2-7,&gt;7"</formula1>
    </dataValidation>
    <dataValidation type="list" allowBlank="1" showInputMessage="1" showErrorMessage="1" sqref="E48 E56 E51 E38:E42" xr:uid="{20877FBB-1DC5-4F88-85C1-6A86ED05B3EE}">
      <formula1>"Yes,No,No new entries"</formula1>
    </dataValidation>
    <dataValidation type="list" allowBlank="1" showInputMessage="1" showErrorMessage="1" sqref="E45" xr:uid="{9326A981-4C5B-4BD4-BB55-579590138A46}">
      <formula1>"&lt;26,26-45,&gt;45"</formula1>
    </dataValidation>
    <dataValidation type="list" allowBlank="1" showInputMessage="1" showErrorMessage="1" sqref="E46" xr:uid="{A584A2B4-163D-4127-97EB-1434F7C62526}">
      <formula1>"&lt;67,67-90,&gt;90"</formula1>
    </dataValidation>
    <dataValidation type="list" allowBlank="1" showInputMessage="1" showErrorMessage="1" sqref="E47" xr:uid="{B27858D8-3247-4B15-83BC-388266599C8F}">
      <formula1>"&lt;21,21-35,&gt;35"</formula1>
    </dataValidation>
    <dataValidation type="list" allowBlank="1" showInputMessage="1" showErrorMessage="1" sqref="E26" xr:uid="{9C9B96B1-FC8A-4DF7-94E8-7F81E15BFEB0}">
      <formula1>"&lt;10%,11-25,&gt;25"</formula1>
    </dataValidation>
    <dataValidation type="list" allowBlank="1" showInputMessage="1" showErrorMessage="1" sqref="E20" xr:uid="{E1C1F5A7-7C75-4F05-ADF7-FCDD206197AE}">
      <formula1>"&lt;9.69,9.69-20,&gt;20"</formula1>
    </dataValidation>
    <dataValidation type="list" allowBlank="1" showInputMessage="1" showErrorMessage="1" sqref="E19" xr:uid="{66E805B0-49E4-4F8E-A393-1169358FE58F}">
      <formula1>"&lt;15.05,15.06-30,&gt;30"</formula1>
    </dataValidation>
    <dataValidation type="list" allowBlank="1" showInputMessage="1" showErrorMessage="1" sqref="E18" xr:uid="{FB2D7A72-BBEC-4531-81E2-8230502B6F8B}">
      <formula1>"&lt;7.70,7.70-15,&gt;15"</formula1>
    </dataValidation>
    <dataValidation type="list" allowBlank="1" showInputMessage="1" showErrorMessage="1" sqref="E17" xr:uid="{8606E4AD-D1AA-444E-B5BA-2C089A286EBD}">
      <formula1>"&lt;15.39,15.39-25,&gt;25"</formula1>
    </dataValidation>
    <dataValidation type="list" allowBlank="1" showInputMessage="1" showErrorMessage="1" sqref="E15" xr:uid="{3701C9BF-18E8-4C01-B85D-836867F053D9}">
      <formula1>"&lt;78.14,78.14-85,&gt;85"</formula1>
    </dataValidation>
    <dataValidation type="list" allowBlank="1" showInputMessage="1" showErrorMessage="1" sqref="H15" xr:uid="{60BD2C9E-C237-4ECB-839F-3531C3431FEA}">
      <formula1>"3,4,5"</formula1>
    </dataValidation>
    <dataValidation type="list" allowBlank="1" showInputMessage="1" showErrorMessage="1" sqref="E5 E33:E35 E27:E28 E38:E42" xr:uid="{DAC8D742-834D-40C2-8A9F-9F2DCE6DB767}">
      <formula1>"Yes,No"</formula1>
    </dataValidation>
    <dataValidation type="list" allowBlank="1" showInputMessage="1" showErrorMessage="1" sqref="E4" xr:uid="{293E602E-76DF-494C-B085-E745A6BC6CB7}">
      <formula1>"PH-PSH,PH-RRH,TH,TH-RRH,SSO"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C8FB32-8511-4C93-ACE0-21AEE40671E1}">
          <x14:formula1>
            <xm:f>GIW!$A$2:$A$49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9872-6A86-4770-AF86-D2B1846F7EC9}">
  <sheetPr codeName="Sheet3"/>
  <dimension ref="A1:M49"/>
  <sheetViews>
    <sheetView workbookViewId="0">
      <selection activeCell="J2" sqref="J2"/>
    </sheetView>
  </sheetViews>
  <sheetFormatPr defaultRowHeight="14.5" x14ac:dyDescent="0.35"/>
  <cols>
    <col min="1" max="1" width="58.1796875" customWidth="1"/>
    <col min="2" max="2" width="20" customWidth="1"/>
    <col min="3" max="3" width="12.54296875" style="9" customWidth="1"/>
    <col min="4" max="4" width="18.54296875" customWidth="1"/>
  </cols>
  <sheetData>
    <row r="1" spans="1:13" s="14" customFormat="1" ht="30" customHeight="1" x14ac:dyDescent="0.35">
      <c r="A1" s="12" t="s">
        <v>0</v>
      </c>
      <c r="B1" s="12" t="s">
        <v>2</v>
      </c>
      <c r="C1" s="12" t="s">
        <v>62</v>
      </c>
      <c r="D1" s="12" t="s">
        <v>63</v>
      </c>
      <c r="E1" s="12" t="s">
        <v>64</v>
      </c>
      <c r="F1" s="13" t="s">
        <v>173</v>
      </c>
      <c r="G1" s="13" t="s">
        <v>65</v>
      </c>
      <c r="H1" s="13" t="s">
        <v>66</v>
      </c>
      <c r="I1" s="13" t="s">
        <v>67</v>
      </c>
      <c r="J1" s="13" t="s">
        <v>174</v>
      </c>
    </row>
    <row r="2" spans="1:13" x14ac:dyDescent="0.35">
      <c r="A2" s="6" t="s">
        <v>68</v>
      </c>
      <c r="B2" s="7" t="s">
        <v>69</v>
      </c>
      <c r="C2" s="10">
        <v>793237</v>
      </c>
      <c r="D2" s="7" t="s">
        <v>61</v>
      </c>
      <c r="E2" s="7" t="s">
        <v>57</v>
      </c>
      <c r="F2" s="7"/>
      <c r="G2" s="7"/>
      <c r="H2" s="7"/>
      <c r="I2" s="7"/>
      <c r="J2" s="7"/>
      <c r="K2" s="7"/>
      <c r="L2" s="7"/>
      <c r="M2" s="7"/>
    </row>
    <row r="3" spans="1:13" x14ac:dyDescent="0.35">
      <c r="A3" s="6" t="s">
        <v>70</v>
      </c>
      <c r="B3" s="7" t="s">
        <v>71</v>
      </c>
      <c r="C3" s="10">
        <v>169754</v>
      </c>
      <c r="D3" s="7" t="s">
        <v>72</v>
      </c>
      <c r="E3" s="7" t="s">
        <v>36</v>
      </c>
      <c r="F3" s="7"/>
      <c r="G3" s="7"/>
      <c r="H3" s="7"/>
      <c r="I3" s="7"/>
      <c r="J3" s="7"/>
      <c r="K3" s="7"/>
      <c r="L3" s="7"/>
      <c r="M3" s="7"/>
    </row>
    <row r="4" spans="1:13" x14ac:dyDescent="0.35">
      <c r="A4" s="6" t="s">
        <v>73</v>
      </c>
      <c r="B4" s="7" t="s">
        <v>74</v>
      </c>
      <c r="C4" s="10">
        <v>169365</v>
      </c>
      <c r="D4" s="7" t="s">
        <v>75</v>
      </c>
      <c r="E4" s="7" t="s">
        <v>36</v>
      </c>
      <c r="F4" s="7"/>
      <c r="G4" s="7"/>
      <c r="H4" s="7"/>
      <c r="I4" s="7"/>
      <c r="J4" s="7"/>
      <c r="K4" s="7"/>
      <c r="L4" s="7"/>
      <c r="M4" s="7"/>
    </row>
    <row r="5" spans="1:13" x14ac:dyDescent="0.35">
      <c r="A5" s="6" t="s">
        <v>76</v>
      </c>
      <c r="B5" s="7" t="s">
        <v>77</v>
      </c>
      <c r="C5" s="10">
        <v>73132</v>
      </c>
      <c r="D5" s="7" t="s">
        <v>61</v>
      </c>
      <c r="E5" s="7" t="s">
        <v>57</v>
      </c>
      <c r="F5" s="7"/>
      <c r="G5" s="7"/>
      <c r="H5" s="7"/>
      <c r="I5" s="7"/>
      <c r="J5" s="7"/>
      <c r="K5" s="7"/>
      <c r="L5" s="7"/>
      <c r="M5" s="7"/>
    </row>
    <row r="6" spans="1:13" x14ac:dyDescent="0.35">
      <c r="A6" s="6" t="s">
        <v>78</v>
      </c>
      <c r="B6" s="8" t="s">
        <v>79</v>
      </c>
      <c r="C6" s="10">
        <v>301058.5</v>
      </c>
      <c r="D6" s="7" t="s">
        <v>80</v>
      </c>
      <c r="E6" s="7" t="s">
        <v>57</v>
      </c>
      <c r="F6" s="7"/>
      <c r="G6" s="7"/>
      <c r="H6" s="7"/>
      <c r="I6" s="7"/>
      <c r="J6" s="7"/>
      <c r="K6" s="7"/>
      <c r="L6" s="7"/>
      <c r="M6" s="7"/>
    </row>
    <row r="7" spans="1:13" x14ac:dyDescent="0.35">
      <c r="A7" s="6" t="s">
        <v>81</v>
      </c>
      <c r="B7" s="8" t="s">
        <v>82</v>
      </c>
      <c r="C7" s="10">
        <v>90118</v>
      </c>
      <c r="D7" s="7" t="s">
        <v>83</v>
      </c>
      <c r="E7" s="7" t="s">
        <v>57</v>
      </c>
      <c r="F7" s="7"/>
      <c r="G7" s="7"/>
      <c r="H7" s="7"/>
      <c r="I7" s="7"/>
      <c r="J7" s="7"/>
      <c r="K7" s="7"/>
      <c r="L7" s="7"/>
      <c r="M7" s="7"/>
    </row>
    <row r="8" spans="1:13" x14ac:dyDescent="0.35">
      <c r="A8" s="6" t="s">
        <v>84</v>
      </c>
      <c r="B8" s="7" t="s">
        <v>85</v>
      </c>
      <c r="C8" s="10">
        <v>720845</v>
      </c>
      <c r="D8" s="7" t="s">
        <v>61</v>
      </c>
      <c r="E8" s="7" t="s">
        <v>57</v>
      </c>
      <c r="F8" s="7"/>
      <c r="G8" s="7"/>
      <c r="H8" s="7"/>
      <c r="I8" s="7"/>
      <c r="J8" s="7"/>
      <c r="K8" s="7"/>
      <c r="L8" s="7"/>
      <c r="M8" s="7"/>
    </row>
    <row r="9" spans="1:13" x14ac:dyDescent="0.35">
      <c r="A9" s="6" t="s">
        <v>86</v>
      </c>
      <c r="B9" s="7" t="s">
        <v>87</v>
      </c>
      <c r="C9" s="10">
        <v>128400</v>
      </c>
      <c r="D9" s="7" t="s">
        <v>61</v>
      </c>
      <c r="E9" s="7" t="s">
        <v>36</v>
      </c>
      <c r="F9" s="7"/>
      <c r="G9" s="7"/>
      <c r="H9" s="7"/>
      <c r="I9" s="7"/>
      <c r="J9" s="7"/>
      <c r="K9" s="7"/>
      <c r="L9" s="7"/>
      <c r="M9" s="7"/>
    </row>
    <row r="10" spans="1:13" x14ac:dyDescent="0.35">
      <c r="A10" s="6" t="s">
        <v>88</v>
      </c>
      <c r="B10" s="7" t="s">
        <v>89</v>
      </c>
      <c r="C10" s="10">
        <v>954343</v>
      </c>
      <c r="D10" s="7" t="s">
        <v>61</v>
      </c>
      <c r="E10" s="7" t="s">
        <v>57</v>
      </c>
      <c r="F10" s="7"/>
      <c r="G10" s="7"/>
      <c r="H10" s="7"/>
      <c r="I10" s="7"/>
      <c r="J10" s="7"/>
      <c r="K10" s="7"/>
      <c r="L10" s="7"/>
      <c r="M10" s="7"/>
    </row>
    <row r="11" spans="1:13" x14ac:dyDescent="0.35">
      <c r="A11" s="6" t="s">
        <v>1</v>
      </c>
      <c r="B11" s="7" t="s">
        <v>90</v>
      </c>
      <c r="C11" s="10">
        <v>1366560</v>
      </c>
      <c r="D11" s="7" t="s">
        <v>83</v>
      </c>
      <c r="E11" s="7" t="s">
        <v>57</v>
      </c>
      <c r="F11" s="7" t="s">
        <v>36</v>
      </c>
      <c r="G11" s="7" t="s">
        <v>36</v>
      </c>
      <c r="H11" s="7" t="s">
        <v>36</v>
      </c>
      <c r="I11" s="7">
        <v>1366560</v>
      </c>
      <c r="J11" s="7"/>
      <c r="K11" s="7"/>
      <c r="L11" s="7"/>
      <c r="M11" s="7"/>
    </row>
    <row r="12" spans="1:13" x14ac:dyDescent="0.35">
      <c r="A12" s="6" t="s">
        <v>91</v>
      </c>
      <c r="B12" s="7" t="s">
        <v>92</v>
      </c>
      <c r="C12" s="10">
        <v>84556</v>
      </c>
      <c r="D12" s="7" t="s">
        <v>61</v>
      </c>
      <c r="E12" s="7" t="s">
        <v>57</v>
      </c>
      <c r="F12" s="7"/>
      <c r="G12" s="7"/>
      <c r="H12" s="7"/>
      <c r="I12" s="7"/>
      <c r="J12" s="7"/>
      <c r="K12" s="7"/>
      <c r="L12" s="7"/>
      <c r="M12" s="7"/>
    </row>
    <row r="13" spans="1:13" x14ac:dyDescent="0.35">
      <c r="A13" s="6" t="s">
        <v>93</v>
      </c>
      <c r="B13" s="8" t="s">
        <v>94</v>
      </c>
      <c r="C13" s="10">
        <v>1139551</v>
      </c>
      <c r="D13" s="7" t="s">
        <v>72</v>
      </c>
      <c r="E13" s="7" t="s">
        <v>57</v>
      </c>
      <c r="F13" s="7"/>
      <c r="G13" s="7"/>
      <c r="H13" s="7"/>
      <c r="I13" s="7"/>
      <c r="J13" s="7"/>
      <c r="K13" s="7"/>
      <c r="L13" s="7"/>
      <c r="M13" s="7"/>
    </row>
    <row r="14" spans="1:13" x14ac:dyDescent="0.35">
      <c r="A14" s="6" t="s">
        <v>95</v>
      </c>
      <c r="B14" s="8" t="s">
        <v>96</v>
      </c>
      <c r="C14" s="10">
        <v>753158</v>
      </c>
      <c r="D14" s="7" t="s">
        <v>75</v>
      </c>
      <c r="E14" s="7" t="s">
        <v>57</v>
      </c>
      <c r="F14" s="7"/>
      <c r="G14" s="7"/>
      <c r="H14" s="7"/>
      <c r="I14" s="7"/>
      <c r="J14" s="7"/>
      <c r="K14" s="7"/>
      <c r="L14" s="7"/>
      <c r="M14" s="7"/>
    </row>
    <row r="15" spans="1:13" x14ac:dyDescent="0.35">
      <c r="A15" s="6" t="s">
        <v>97</v>
      </c>
      <c r="B15" s="8" t="s">
        <v>98</v>
      </c>
      <c r="C15" s="10">
        <v>466969.5</v>
      </c>
      <c r="D15" s="7" t="s">
        <v>83</v>
      </c>
      <c r="E15" s="7" t="s">
        <v>57</v>
      </c>
      <c r="F15" s="7"/>
      <c r="G15" s="7"/>
      <c r="H15" s="7"/>
      <c r="I15" s="7"/>
      <c r="J15" s="7"/>
      <c r="K15" s="7"/>
      <c r="L15" s="7"/>
      <c r="M15" s="7"/>
    </row>
    <row r="16" spans="1:13" x14ac:dyDescent="0.35">
      <c r="A16" s="6" t="s">
        <v>99</v>
      </c>
      <c r="B16" s="7" t="s">
        <v>100</v>
      </c>
      <c r="C16" s="10">
        <v>201468</v>
      </c>
      <c r="D16" s="7" t="s">
        <v>75</v>
      </c>
      <c r="E16" s="7" t="s">
        <v>57</v>
      </c>
      <c r="F16" s="7"/>
      <c r="G16" s="7"/>
      <c r="H16" s="7"/>
      <c r="I16" s="7"/>
      <c r="J16" s="7"/>
      <c r="K16" s="7"/>
      <c r="L16" s="7"/>
      <c r="M16" s="7"/>
    </row>
    <row r="17" spans="1:13" x14ac:dyDescent="0.35">
      <c r="A17" s="6" t="s">
        <v>101</v>
      </c>
      <c r="B17" s="7" t="s">
        <v>102</v>
      </c>
      <c r="C17" s="10">
        <v>695203</v>
      </c>
      <c r="D17" s="7" t="s">
        <v>61</v>
      </c>
      <c r="E17" s="7" t="s">
        <v>57</v>
      </c>
      <c r="F17" s="7"/>
      <c r="G17" s="7"/>
      <c r="H17" s="7"/>
      <c r="I17" s="7"/>
      <c r="J17" s="7"/>
      <c r="K17" s="7"/>
      <c r="L17" s="7"/>
      <c r="M17" s="7"/>
    </row>
    <row r="18" spans="1:13" x14ac:dyDescent="0.35">
      <c r="A18" s="6" t="s">
        <v>103</v>
      </c>
      <c r="B18" s="7" t="s">
        <v>104</v>
      </c>
      <c r="C18" s="10">
        <v>130157</v>
      </c>
      <c r="D18" s="7" t="s">
        <v>61</v>
      </c>
      <c r="E18" s="7" t="s">
        <v>57</v>
      </c>
      <c r="F18" s="7"/>
      <c r="G18" s="7"/>
      <c r="H18" s="7"/>
      <c r="I18" s="7"/>
      <c r="J18" s="7"/>
      <c r="K18" s="7"/>
      <c r="L18" s="7"/>
      <c r="M18" s="7"/>
    </row>
    <row r="19" spans="1:13" x14ac:dyDescent="0.35">
      <c r="A19" s="6" t="s">
        <v>105</v>
      </c>
      <c r="B19" s="7" t="s">
        <v>106</v>
      </c>
      <c r="C19" s="10">
        <v>285142</v>
      </c>
      <c r="D19" s="7" t="s">
        <v>61</v>
      </c>
      <c r="E19" s="7" t="s">
        <v>57</v>
      </c>
      <c r="F19" s="7"/>
      <c r="G19" s="7"/>
      <c r="H19" s="7"/>
      <c r="I19" s="7"/>
      <c r="J19" s="7"/>
      <c r="K19" s="7"/>
      <c r="L19" s="7"/>
      <c r="M19" s="7"/>
    </row>
    <row r="20" spans="1:13" x14ac:dyDescent="0.35">
      <c r="A20" s="6" t="s">
        <v>107</v>
      </c>
      <c r="B20" s="7" t="s">
        <v>108</v>
      </c>
      <c r="C20" s="10">
        <v>1496930</v>
      </c>
      <c r="D20" s="7" t="s">
        <v>80</v>
      </c>
      <c r="E20" s="7" t="s">
        <v>57</v>
      </c>
      <c r="F20" s="7"/>
      <c r="G20" s="7"/>
      <c r="H20" s="7"/>
      <c r="I20" s="7"/>
      <c r="J20" s="7"/>
      <c r="K20" s="7"/>
      <c r="L20" s="7"/>
      <c r="M20" s="7"/>
    </row>
    <row r="21" spans="1:13" x14ac:dyDescent="0.35">
      <c r="A21" s="6" t="s">
        <v>109</v>
      </c>
      <c r="B21" s="7" t="s">
        <v>110</v>
      </c>
      <c r="C21" s="10">
        <v>198955</v>
      </c>
      <c r="D21" s="7" t="s">
        <v>83</v>
      </c>
      <c r="E21" s="7" t="s">
        <v>57</v>
      </c>
      <c r="F21" s="7"/>
      <c r="G21" s="7"/>
      <c r="H21" s="7"/>
      <c r="I21" s="7"/>
      <c r="J21" s="7"/>
      <c r="K21" s="7"/>
      <c r="L21" s="7"/>
      <c r="M21" s="7"/>
    </row>
    <row r="22" spans="1:13" x14ac:dyDescent="0.35">
      <c r="A22" s="6" t="s">
        <v>111</v>
      </c>
      <c r="B22" s="7" t="s">
        <v>112</v>
      </c>
      <c r="C22" s="10">
        <v>455490</v>
      </c>
      <c r="D22" s="7" t="s">
        <v>61</v>
      </c>
      <c r="E22" s="7" t="s">
        <v>57</v>
      </c>
      <c r="F22" s="7"/>
      <c r="G22" s="7"/>
      <c r="H22" s="7"/>
      <c r="I22" s="7"/>
      <c r="J22" s="7"/>
      <c r="K22" s="7"/>
      <c r="L22" s="7"/>
      <c r="M22" s="7"/>
    </row>
    <row r="23" spans="1:13" x14ac:dyDescent="0.35">
      <c r="A23" s="6" t="s">
        <v>113</v>
      </c>
      <c r="B23" s="7" t="s">
        <v>114</v>
      </c>
      <c r="C23" s="10">
        <v>347508</v>
      </c>
      <c r="D23" s="7" t="s">
        <v>61</v>
      </c>
      <c r="E23" s="7" t="s">
        <v>57</v>
      </c>
      <c r="F23" s="7"/>
      <c r="G23" s="7"/>
      <c r="H23" s="7"/>
      <c r="I23" s="7"/>
      <c r="J23" s="7"/>
      <c r="K23" s="7"/>
      <c r="L23" s="7"/>
      <c r="M23" s="7"/>
    </row>
    <row r="24" spans="1:13" x14ac:dyDescent="0.35">
      <c r="A24" s="6" t="s">
        <v>115</v>
      </c>
      <c r="B24" s="7" t="s">
        <v>116</v>
      </c>
      <c r="C24" s="10">
        <v>1499882</v>
      </c>
      <c r="D24" s="7" t="s">
        <v>61</v>
      </c>
      <c r="E24" s="7" t="s">
        <v>57</v>
      </c>
      <c r="F24" s="7"/>
      <c r="G24" s="7"/>
      <c r="H24" s="7"/>
      <c r="I24" s="7"/>
      <c r="J24" s="7"/>
      <c r="K24" s="7"/>
      <c r="L24" s="7"/>
      <c r="M24" s="7"/>
    </row>
    <row r="25" spans="1:13" x14ac:dyDescent="0.35">
      <c r="A25" s="6" t="s">
        <v>117</v>
      </c>
      <c r="B25" s="7" t="s">
        <v>118</v>
      </c>
      <c r="C25" s="10">
        <v>608490</v>
      </c>
      <c r="D25" s="7" t="s">
        <v>119</v>
      </c>
      <c r="E25" s="7" t="s">
        <v>57</v>
      </c>
      <c r="F25" s="7"/>
      <c r="G25" s="7"/>
      <c r="H25" s="7"/>
      <c r="I25" s="7"/>
      <c r="J25" s="7"/>
      <c r="K25" s="7"/>
      <c r="L25" s="7"/>
      <c r="M25" s="7"/>
    </row>
    <row r="26" spans="1:13" x14ac:dyDescent="0.35">
      <c r="A26" s="6" t="s">
        <v>120</v>
      </c>
      <c r="B26" s="7" t="s">
        <v>121</v>
      </c>
      <c r="C26" s="10">
        <v>242541</v>
      </c>
      <c r="D26" s="7" t="s">
        <v>61</v>
      </c>
      <c r="E26" s="7" t="s">
        <v>57</v>
      </c>
      <c r="F26" s="7"/>
      <c r="G26" s="7"/>
      <c r="H26" s="7"/>
      <c r="I26" s="7"/>
      <c r="J26" s="7"/>
      <c r="K26" s="7"/>
      <c r="L26" s="7"/>
      <c r="M26" s="7"/>
    </row>
    <row r="27" spans="1:13" x14ac:dyDescent="0.35">
      <c r="A27" s="6" t="s">
        <v>122</v>
      </c>
      <c r="B27" s="7" t="s">
        <v>123</v>
      </c>
      <c r="C27" s="10">
        <v>875577</v>
      </c>
      <c r="D27" s="7" t="s">
        <v>61</v>
      </c>
      <c r="E27" s="7" t="s">
        <v>57</v>
      </c>
      <c r="F27" s="7"/>
      <c r="G27" s="7"/>
      <c r="H27" s="7"/>
      <c r="I27" s="7"/>
      <c r="J27" s="7"/>
      <c r="K27" s="7"/>
      <c r="L27" s="7"/>
      <c r="M27" s="7"/>
    </row>
    <row r="28" spans="1:13" x14ac:dyDescent="0.35">
      <c r="A28" s="6" t="s">
        <v>124</v>
      </c>
      <c r="B28" s="7" t="s">
        <v>125</v>
      </c>
      <c r="C28" s="10">
        <v>862142</v>
      </c>
      <c r="D28" s="7" t="s">
        <v>61</v>
      </c>
      <c r="E28" s="7" t="s">
        <v>57</v>
      </c>
      <c r="F28" s="7"/>
      <c r="G28" s="7"/>
      <c r="H28" s="7"/>
      <c r="I28" s="7"/>
      <c r="J28" s="7"/>
      <c r="K28" s="7"/>
      <c r="L28" s="7"/>
      <c r="M28" s="7"/>
    </row>
    <row r="29" spans="1:13" x14ac:dyDescent="0.35">
      <c r="A29" s="6" t="s">
        <v>126</v>
      </c>
      <c r="B29" s="7" t="s">
        <v>127</v>
      </c>
      <c r="C29" s="10">
        <v>144598</v>
      </c>
      <c r="D29" s="7" t="s">
        <v>61</v>
      </c>
      <c r="E29" s="7" t="s">
        <v>57</v>
      </c>
      <c r="F29" s="7"/>
      <c r="G29" s="7"/>
      <c r="H29" s="7"/>
      <c r="I29" s="7"/>
      <c r="J29" s="7"/>
      <c r="K29" s="7"/>
      <c r="L29" s="7"/>
      <c r="M29" s="7"/>
    </row>
    <row r="30" spans="1:13" x14ac:dyDescent="0.35">
      <c r="A30" s="6" t="s">
        <v>128</v>
      </c>
      <c r="B30" s="7" t="s">
        <v>129</v>
      </c>
      <c r="C30" s="10">
        <v>136250</v>
      </c>
      <c r="D30" s="7" t="s">
        <v>61</v>
      </c>
      <c r="E30" s="7" t="s">
        <v>57</v>
      </c>
      <c r="F30" s="7"/>
      <c r="G30" s="7"/>
      <c r="H30" s="7"/>
      <c r="I30" s="7"/>
      <c r="J30" s="7"/>
      <c r="K30" s="7"/>
      <c r="L30" s="7"/>
      <c r="M30" s="7"/>
    </row>
    <row r="31" spans="1:13" x14ac:dyDescent="0.35">
      <c r="A31" s="6" t="s">
        <v>130</v>
      </c>
      <c r="B31" s="7" t="s">
        <v>131</v>
      </c>
      <c r="C31" s="10">
        <v>109727</v>
      </c>
      <c r="D31" s="7" t="s">
        <v>61</v>
      </c>
      <c r="E31" s="7" t="s">
        <v>57</v>
      </c>
      <c r="F31" s="7"/>
      <c r="G31" s="7"/>
      <c r="H31" s="7"/>
      <c r="I31" s="7"/>
      <c r="J31" s="7"/>
      <c r="K31" s="7"/>
      <c r="L31" s="7"/>
      <c r="M31" s="7"/>
    </row>
    <row r="32" spans="1:13" x14ac:dyDescent="0.35">
      <c r="A32" s="6" t="s">
        <v>132</v>
      </c>
      <c r="B32" s="7" t="s">
        <v>133</v>
      </c>
      <c r="C32" s="10">
        <v>554841</v>
      </c>
      <c r="D32" s="7" t="s">
        <v>61</v>
      </c>
      <c r="E32" s="7" t="s">
        <v>57</v>
      </c>
      <c r="F32" s="7"/>
      <c r="G32" s="7"/>
      <c r="H32" s="7"/>
      <c r="I32" s="7"/>
      <c r="J32" s="7"/>
      <c r="K32" s="7"/>
      <c r="L32" s="7"/>
      <c r="M32" s="7"/>
    </row>
    <row r="33" spans="1:13" x14ac:dyDescent="0.35">
      <c r="A33" s="6" t="s">
        <v>134</v>
      </c>
      <c r="B33" s="7" t="s">
        <v>135</v>
      </c>
      <c r="C33" s="10">
        <v>2252091</v>
      </c>
      <c r="D33" s="7" t="s">
        <v>61</v>
      </c>
      <c r="E33" s="7" t="s">
        <v>57</v>
      </c>
      <c r="F33" s="7"/>
      <c r="G33" s="7"/>
      <c r="H33" s="7"/>
      <c r="I33" s="7"/>
      <c r="J33" s="7"/>
      <c r="K33" s="7"/>
      <c r="L33" s="7"/>
      <c r="M33" s="7"/>
    </row>
    <row r="34" spans="1:13" x14ac:dyDescent="0.35">
      <c r="A34" s="6" t="s">
        <v>136</v>
      </c>
      <c r="B34" s="7" t="s">
        <v>137</v>
      </c>
      <c r="C34" s="10">
        <v>146748</v>
      </c>
      <c r="D34" s="7" t="s">
        <v>61</v>
      </c>
      <c r="E34" s="7" t="s">
        <v>57</v>
      </c>
      <c r="F34" s="7"/>
      <c r="G34" s="7"/>
      <c r="H34" s="7"/>
      <c r="I34" s="7"/>
      <c r="J34" s="7"/>
      <c r="K34" s="7"/>
      <c r="L34" s="7"/>
      <c r="M34" s="7"/>
    </row>
    <row r="35" spans="1:13" x14ac:dyDescent="0.35">
      <c r="A35" s="6" t="s">
        <v>138</v>
      </c>
      <c r="B35" s="7" t="s">
        <v>139</v>
      </c>
      <c r="C35" s="10">
        <v>2160222</v>
      </c>
      <c r="D35" s="7" t="s">
        <v>75</v>
      </c>
      <c r="E35" s="7" t="s">
        <v>36</v>
      </c>
      <c r="F35" s="7"/>
      <c r="G35" s="7"/>
      <c r="H35" s="7"/>
      <c r="I35" s="7"/>
      <c r="J35" s="7"/>
      <c r="K35" s="7"/>
      <c r="L35" s="7"/>
      <c r="M35" s="7"/>
    </row>
    <row r="36" spans="1:13" x14ac:dyDescent="0.35">
      <c r="A36" s="6" t="s">
        <v>140</v>
      </c>
      <c r="B36" s="7" t="s">
        <v>141</v>
      </c>
      <c r="C36" s="10">
        <v>234958</v>
      </c>
      <c r="D36" s="7" t="s">
        <v>61</v>
      </c>
      <c r="E36" s="7" t="s">
        <v>57</v>
      </c>
      <c r="F36" s="7"/>
      <c r="G36" s="7"/>
      <c r="H36" s="7"/>
      <c r="I36" s="7"/>
      <c r="J36" s="7"/>
      <c r="K36" s="7"/>
      <c r="L36" s="7"/>
      <c r="M36" s="7"/>
    </row>
    <row r="37" spans="1:13" x14ac:dyDescent="0.35">
      <c r="A37" s="6" t="s">
        <v>142</v>
      </c>
      <c r="B37" s="7" t="s">
        <v>143</v>
      </c>
      <c r="C37" s="10">
        <v>705034</v>
      </c>
      <c r="D37" s="7" t="s">
        <v>61</v>
      </c>
      <c r="E37" s="7" t="s">
        <v>57</v>
      </c>
      <c r="F37" s="7"/>
      <c r="G37" s="7"/>
      <c r="H37" s="7"/>
      <c r="I37" s="7"/>
      <c r="J37" s="7"/>
      <c r="K37" s="7"/>
      <c r="L37" s="7"/>
      <c r="M37" s="7"/>
    </row>
    <row r="38" spans="1:13" x14ac:dyDescent="0.35">
      <c r="A38" s="6" t="s">
        <v>144</v>
      </c>
      <c r="B38" s="7" t="s">
        <v>145</v>
      </c>
      <c r="C38" s="10">
        <v>289945</v>
      </c>
      <c r="D38" s="7" t="s">
        <v>61</v>
      </c>
      <c r="E38" s="7" t="s">
        <v>57</v>
      </c>
      <c r="F38" s="7"/>
      <c r="G38" s="7"/>
      <c r="H38" s="7"/>
      <c r="I38" s="7"/>
      <c r="J38" s="7"/>
      <c r="K38" s="7"/>
      <c r="L38" s="7"/>
      <c r="M38" s="7"/>
    </row>
    <row r="39" spans="1:13" x14ac:dyDescent="0.35">
      <c r="A39" s="6" t="s">
        <v>146</v>
      </c>
      <c r="B39" s="7" t="s">
        <v>147</v>
      </c>
      <c r="C39" s="10">
        <v>204522</v>
      </c>
      <c r="D39" s="7" t="s">
        <v>61</v>
      </c>
      <c r="E39" s="7" t="s">
        <v>57</v>
      </c>
      <c r="F39" s="7"/>
      <c r="G39" s="7"/>
      <c r="H39" s="7"/>
      <c r="I39" s="7"/>
      <c r="J39" s="7"/>
      <c r="K39" s="7"/>
      <c r="L39" s="7"/>
      <c r="M39" s="7"/>
    </row>
    <row r="40" spans="1:13" x14ac:dyDescent="0.35">
      <c r="A40" s="6" t="s">
        <v>148</v>
      </c>
      <c r="B40" s="7" t="s">
        <v>149</v>
      </c>
      <c r="C40" s="10">
        <v>311787</v>
      </c>
      <c r="D40" s="7" t="s">
        <v>61</v>
      </c>
      <c r="E40" s="7" t="s">
        <v>57</v>
      </c>
      <c r="F40" s="7"/>
      <c r="G40" s="7"/>
      <c r="H40" s="7"/>
      <c r="I40" s="7"/>
      <c r="J40" s="7"/>
      <c r="K40" s="7"/>
      <c r="L40" s="7"/>
      <c r="M40" s="7"/>
    </row>
    <row r="41" spans="1:13" x14ac:dyDescent="0.35">
      <c r="A41" s="6" t="s">
        <v>150</v>
      </c>
      <c r="B41" s="7" t="s">
        <v>151</v>
      </c>
      <c r="C41" s="10">
        <v>488978</v>
      </c>
      <c r="D41" s="7" t="s">
        <v>80</v>
      </c>
      <c r="E41" s="7" t="s">
        <v>36</v>
      </c>
      <c r="F41" s="7"/>
      <c r="G41" s="7"/>
      <c r="H41" s="7"/>
      <c r="I41" s="7"/>
      <c r="J41" s="7"/>
      <c r="K41" s="7"/>
      <c r="L41" s="7"/>
      <c r="M41" s="7"/>
    </row>
    <row r="42" spans="1:13" x14ac:dyDescent="0.35">
      <c r="A42" s="6" t="s">
        <v>152</v>
      </c>
      <c r="B42" s="8" t="s">
        <v>153</v>
      </c>
      <c r="C42" s="10">
        <v>318735</v>
      </c>
      <c r="D42" s="7" t="s">
        <v>75</v>
      </c>
      <c r="E42" s="7" t="s">
        <v>36</v>
      </c>
      <c r="F42" s="7"/>
      <c r="G42" s="7"/>
      <c r="H42" s="7"/>
      <c r="I42" s="7"/>
      <c r="J42" s="7"/>
      <c r="K42" s="7"/>
      <c r="L42" s="7"/>
      <c r="M42" s="7"/>
    </row>
    <row r="43" spans="1:13" x14ac:dyDescent="0.35">
      <c r="A43" s="6" t="s">
        <v>154</v>
      </c>
      <c r="B43" s="7" t="s">
        <v>155</v>
      </c>
      <c r="C43" s="10">
        <v>192596</v>
      </c>
      <c r="D43" s="7" t="s">
        <v>61</v>
      </c>
      <c r="E43" s="7" t="s">
        <v>57</v>
      </c>
      <c r="F43" s="7"/>
      <c r="G43" s="7"/>
      <c r="H43" s="7"/>
      <c r="I43" s="7"/>
      <c r="J43" s="7"/>
      <c r="K43" s="7"/>
      <c r="L43" s="7"/>
      <c r="M43" s="7"/>
    </row>
    <row r="44" spans="1:13" x14ac:dyDescent="0.35">
      <c r="A44" s="6" t="s">
        <v>156</v>
      </c>
      <c r="B44" s="7" t="s">
        <v>157</v>
      </c>
      <c r="C44" s="10">
        <v>609365</v>
      </c>
      <c r="D44" s="7" t="s">
        <v>75</v>
      </c>
      <c r="E44" s="7" t="s">
        <v>36</v>
      </c>
      <c r="F44" s="7"/>
      <c r="G44" s="7"/>
      <c r="H44" s="7"/>
      <c r="I44" s="7"/>
      <c r="J44" s="7"/>
      <c r="K44" s="7"/>
      <c r="L44" s="7"/>
      <c r="M44" s="7"/>
    </row>
    <row r="45" spans="1:13" x14ac:dyDescent="0.35">
      <c r="A45" s="6" t="s">
        <v>158</v>
      </c>
      <c r="B45" s="7" t="s">
        <v>159</v>
      </c>
      <c r="C45" s="10">
        <v>1589472</v>
      </c>
      <c r="D45" s="7" t="s">
        <v>61</v>
      </c>
      <c r="E45" s="7" t="s">
        <v>57</v>
      </c>
      <c r="F45" s="7"/>
      <c r="G45" s="7"/>
      <c r="H45" s="7"/>
      <c r="I45" s="7"/>
      <c r="J45" s="7"/>
      <c r="K45" s="7"/>
      <c r="L45" s="7"/>
      <c r="M45" s="7"/>
    </row>
    <row r="46" spans="1:13" x14ac:dyDescent="0.35">
      <c r="A46" s="6" t="s">
        <v>160</v>
      </c>
      <c r="B46" s="7" t="s">
        <v>161</v>
      </c>
      <c r="C46" s="10">
        <v>232500</v>
      </c>
      <c r="D46" s="7" t="s">
        <v>72</v>
      </c>
      <c r="E46" s="7" t="s">
        <v>57</v>
      </c>
      <c r="F46" s="7"/>
      <c r="G46" s="7"/>
      <c r="H46" s="7"/>
      <c r="I46" s="7"/>
      <c r="J46" s="7"/>
      <c r="K46" s="7"/>
      <c r="L46" s="7"/>
      <c r="M46" s="7"/>
    </row>
    <row r="47" spans="1:13" x14ac:dyDescent="0.35">
      <c r="A47" s="6" t="s">
        <v>162</v>
      </c>
      <c r="B47" s="7" t="s">
        <v>163</v>
      </c>
      <c r="C47" s="10">
        <v>788033</v>
      </c>
      <c r="D47" s="7" t="s">
        <v>61</v>
      </c>
      <c r="E47" s="7" t="s">
        <v>57</v>
      </c>
      <c r="F47" s="7"/>
      <c r="G47" s="7"/>
      <c r="H47" s="7"/>
      <c r="I47" s="7"/>
      <c r="J47" s="7"/>
      <c r="K47" s="7"/>
      <c r="L47" s="7"/>
      <c r="M47" s="7"/>
    </row>
    <row r="48" spans="1:13" x14ac:dyDescent="0.35">
      <c r="A48" s="11" t="s">
        <v>164</v>
      </c>
      <c r="B48" s="7"/>
      <c r="C48" s="10"/>
      <c r="D48" s="7"/>
      <c r="E48" s="7" t="s">
        <v>57</v>
      </c>
      <c r="F48" s="7"/>
      <c r="G48" s="7"/>
      <c r="H48" s="7"/>
      <c r="I48" s="7"/>
      <c r="J48" s="7"/>
      <c r="K48" s="7"/>
      <c r="L48" s="7"/>
      <c r="M48" s="7"/>
    </row>
    <row r="49" spans="1:13" x14ac:dyDescent="0.35">
      <c r="A49" s="6" t="s">
        <v>165</v>
      </c>
      <c r="B49" s="7" t="s">
        <v>166</v>
      </c>
      <c r="C49" s="10">
        <v>146465</v>
      </c>
      <c r="D49" s="7" t="s">
        <v>61</v>
      </c>
      <c r="E49" s="7" t="s">
        <v>57</v>
      </c>
      <c r="F49" s="7"/>
      <c r="G49" s="7"/>
      <c r="H49" s="7"/>
      <c r="I49" s="7"/>
      <c r="J49" s="7"/>
      <c r="K49" s="7"/>
      <c r="L49" s="7"/>
      <c r="M49" s="7"/>
    </row>
  </sheetData>
  <autoFilter ref="A1:M49" xr:uid="{5BAF9872-6A86-4770-AF86-D2B1846F7EC9}">
    <sortState xmlns:xlrd2="http://schemas.microsoft.com/office/spreadsheetml/2017/richdata2" ref="A2:M49">
      <sortCondition ref="A1"/>
    </sortState>
  </autoFilter>
  <dataValidations count="1">
    <dataValidation allowBlank="1" showInputMessage="1" showErrorMessage="1" sqref="I1" xr:uid="{2C667596-8EFC-4D9F-845E-B8C3B44CBC02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f803aa-ae09-447b-95af-6dda8326dd8b">
      <Terms xmlns="http://schemas.microsoft.com/office/infopath/2007/PartnerControls"/>
    </lcf76f155ced4ddcb4097134ff3c332f>
    <TaxCatchAll xmlns="a63a9c72-e43b-4077-bbd1-fe0cd88be8b0" xsi:nil="true"/>
    <SharedWithUsers xmlns="a63a9c72-e43b-4077-bbd1-fe0cd88be8b0">
      <UserInfo>
        <DisplayName>Calkins, Gordon (EOHLC)</DisplayName>
        <AccountId>48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BF716E057E448AF15C9A904E7F366" ma:contentTypeVersion="15" ma:contentTypeDescription="Create a new document." ma:contentTypeScope="" ma:versionID="8007eeab48353a1403cfc5954bf39c19">
  <xsd:schema xmlns:xsd="http://www.w3.org/2001/XMLSchema" xmlns:xs="http://www.w3.org/2001/XMLSchema" xmlns:p="http://schemas.microsoft.com/office/2006/metadata/properties" xmlns:ns2="9bf803aa-ae09-447b-95af-6dda8326dd8b" xmlns:ns3="a63a9c72-e43b-4077-bbd1-fe0cd88be8b0" targetNamespace="http://schemas.microsoft.com/office/2006/metadata/properties" ma:root="true" ma:fieldsID="c8d9f8f40e49b3417f1cf39bb2cf36f5" ns2:_="" ns3:_="">
    <xsd:import namespace="9bf803aa-ae09-447b-95af-6dda8326dd8b"/>
    <xsd:import namespace="a63a9c72-e43b-4077-bbd1-fe0cd88be8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803aa-ae09-447b-95af-6dda8326dd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9c72-e43b-4077-bbd1-fe0cd88be8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e2e1669-d933-4379-b17c-7ea1a7c0d711}" ma:internalName="TaxCatchAll" ma:showField="CatchAllData" ma:web="a63a9c72-e43b-4077-bbd1-fe0cd88be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605493-1D2A-4B73-B1F1-22FB0B3AF6E7}">
  <ds:schemaRefs>
    <ds:schemaRef ds:uri="http://schemas.microsoft.com/office/2006/metadata/properties"/>
    <ds:schemaRef ds:uri="http://schemas.microsoft.com/office/infopath/2007/PartnerControls"/>
    <ds:schemaRef ds:uri="9bf803aa-ae09-447b-95af-6dda8326dd8b"/>
    <ds:schemaRef ds:uri="a63a9c72-e43b-4077-bbd1-fe0cd88be8b0"/>
  </ds:schemaRefs>
</ds:datastoreItem>
</file>

<file path=customXml/itemProps2.xml><?xml version="1.0" encoding="utf-8"?>
<ds:datastoreItem xmlns:ds="http://schemas.openxmlformats.org/officeDocument/2006/customXml" ds:itemID="{68D538F6-227F-4C08-A1C5-3CD7E98D3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803aa-ae09-447b-95af-6dda8326dd8b"/>
    <ds:schemaRef ds:uri="a63a9c72-e43b-4077-bbd1-fe0cd88be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1534C-639B-4780-8B8A-6E1580400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PSH</vt:lpstr>
      <vt:lpstr>TH, RRH, TH-RRH</vt:lpstr>
      <vt:lpstr>GIW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Byron, Karen (EOHLC) she/her</dc:creator>
  <cp:keywords/>
  <dc:description/>
  <cp:lastModifiedBy>Rowley, Caitlin (OCD)</cp:lastModifiedBy>
  <cp:revision/>
  <dcterms:created xsi:type="dcterms:W3CDTF">2023-07-16T20:41:57Z</dcterms:created>
  <dcterms:modified xsi:type="dcterms:W3CDTF">2023-08-10T21:02:57Z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0x010100EAFBF716E057E448AF15C9A904E7F366</vt:lpwstr>
  </property>
</Properties>
</file>